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grupotao-my.sharepoint.com/personal/lvega_taocorporation_com/Documents/Personales/Oxford/EP/"/>
    </mc:Choice>
  </mc:AlternateContent>
  <xr:revisionPtr revIDLastSave="42" documentId="8_{4DD489C7-DAE0-430F-9B48-6916B2AD5446}" xr6:coauthVersionLast="47" xr6:coauthVersionMax="47" xr10:uidLastSave="{E708ED62-5C07-4A21-ADAD-B124249A77FE}"/>
  <bookViews>
    <workbookView xWindow="-19320" yWindow="1335" windowWidth="19440" windowHeight="10320" firstSheet="11" activeTab="15" xr2:uid="{00000000-000D-0000-FFFF-FFFF00000000}"/>
  </bookViews>
  <sheets>
    <sheet name="Title Page" sheetId="1" r:id="rId1"/>
    <sheet name="Dashboard" sheetId="2" r:id="rId2"/>
    <sheet name="Platform Cash Flow---&gt;" sheetId="3" r:id="rId3"/>
    <sheet name="Platform Assumptions" sheetId="4" r:id="rId4"/>
    <sheet name="The Commons Platform CF" sheetId="5" r:id="rId5"/>
    <sheet name="Single Project Cash Flows---&gt;" sheetId="6" r:id="rId6"/>
    <sheet name="Single Project Assumptions" sheetId="7" r:id="rId7"/>
    <sheet name="Rolled Up Cash Flows" sheetId="8" r:id="rId8"/>
    <sheet name="Option Phase" sheetId="9" r:id="rId9"/>
    <sheet name="Entitlement Phase" sheetId="10" r:id="rId10"/>
    <sheet name="Development Phase" sheetId="11" r:id="rId11"/>
    <sheet name="Operational Phase" sheetId="12" r:id="rId12"/>
    <sheet name="Calc_Helper" sheetId="13" state="hidden" r:id="rId13"/>
    <sheet name="Results_10yr" sheetId="14" r:id="rId14"/>
    <sheet name="Hoja1" sheetId="17" state="hidden" r:id="rId15"/>
    <sheet name="Business Alternatives" sheetId="15" r:id="rId16"/>
    <sheet name="Scenarios" sheetId="16" r:id="rId17"/>
  </sheets>
  <definedNames>
    <definedName name="_xlnm.Print_Area" localSheetId="1">Dashboard!$C$3:$AB$31</definedName>
    <definedName name="Avg_Sale_Price">'Single Project Assumptions'!$L$37</definedName>
    <definedName name="Base_Dates_120">Calc_Helper!$C$3:$DR$3</definedName>
    <definedName name="Closing_Selected_120">Calc_Helper!$C$73:$DR$73</definedName>
    <definedName name="Deposit_Per_Unit">'Single Project Assumptions'!$L$42</definedName>
    <definedName name="DevCF_All_120">Calc_Helper!$C$57:$DR$57</definedName>
    <definedName name="DevCF_All_Neg_120">Calc_Helper!$C$56:$DR$56</definedName>
    <definedName name="DevCF_All_Pos_120">Calc_Helper!$C$55:$DR$55</definedName>
    <definedName name="DevCF_P1_120">Calc_Helper!$C$58:$DR$58</definedName>
    <definedName name="DevCF_P2Plus_120">Calc_Helper!$C$59:$DR$59</definedName>
    <definedName name="DevCF_Selected_120">Calc_Helper!$C$72:$DR$72</definedName>
    <definedName name="Model_StartDate">'Single Project Assumptions'!$D$6</definedName>
    <definedName name="Sales_BrokerSelected_120">Calc_Helper!$C$74:$DR$74</definedName>
    <definedName name="Sales_Selected_120">Calc_Helper!$C$70:$DR$70</definedName>
    <definedName name="Units_Per_Project">'Single Project Assumptions'!$D$21</definedName>
  </definedNames>
  <calcPr calcId="191029" calcCompleted="0"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4" i="14" l="1"/>
  <c r="B19" i="14"/>
  <c r="B8" i="14"/>
  <c r="B6" i="14"/>
  <c r="K128" i="13"/>
  <c r="J128" i="13"/>
  <c r="I128" i="13"/>
  <c r="H128" i="13"/>
  <c r="G128" i="13"/>
  <c r="F128" i="13"/>
  <c r="E128" i="13"/>
  <c r="D128" i="13"/>
  <c r="C128" i="13"/>
  <c r="K127" i="13"/>
  <c r="J127" i="13"/>
  <c r="I127" i="13"/>
  <c r="H127" i="13"/>
  <c r="G127" i="13"/>
  <c r="F127" i="13"/>
  <c r="E127" i="13"/>
  <c r="D127" i="13"/>
  <c r="C127" i="13"/>
  <c r="K126" i="13"/>
  <c r="J126" i="13"/>
  <c r="I126" i="13"/>
  <c r="H126" i="13"/>
  <c r="G126" i="13"/>
  <c r="F126" i="13"/>
  <c r="E126" i="13"/>
  <c r="D126" i="13"/>
  <c r="C126" i="13"/>
  <c r="B126" i="13"/>
  <c r="K125" i="13"/>
  <c r="J125" i="13"/>
  <c r="I125" i="13"/>
  <c r="H125" i="13"/>
  <c r="G125" i="13"/>
  <c r="F125" i="13"/>
  <c r="E125" i="13"/>
  <c r="D125" i="13"/>
  <c r="C125" i="13"/>
  <c r="J124" i="13"/>
  <c r="I124" i="13"/>
  <c r="H124" i="13"/>
  <c r="G124" i="13"/>
  <c r="F124" i="13"/>
  <c r="E124" i="13"/>
  <c r="D124" i="13"/>
  <c r="C124" i="13"/>
  <c r="J123" i="13"/>
  <c r="I123" i="13"/>
  <c r="H123" i="13"/>
  <c r="G123" i="13"/>
  <c r="F123" i="13"/>
  <c r="E123" i="13"/>
  <c r="D123" i="13"/>
  <c r="C123" i="13"/>
  <c r="J122" i="13"/>
  <c r="I122" i="13"/>
  <c r="H122" i="13"/>
  <c r="G122" i="13"/>
  <c r="F122" i="13"/>
  <c r="E122" i="13"/>
  <c r="D122" i="13"/>
  <c r="C122" i="13"/>
  <c r="B122" i="13"/>
  <c r="J121" i="13"/>
  <c r="I121" i="13"/>
  <c r="H121" i="13"/>
  <c r="G121" i="13"/>
  <c r="F121" i="13"/>
  <c r="E121" i="13"/>
  <c r="D121" i="13"/>
  <c r="C121" i="13"/>
  <c r="I120" i="13"/>
  <c r="H120" i="13"/>
  <c r="G120" i="13"/>
  <c r="F120" i="13"/>
  <c r="E120" i="13"/>
  <c r="D120" i="13"/>
  <c r="C120" i="13"/>
  <c r="I119" i="13"/>
  <c r="H119" i="13"/>
  <c r="G119" i="13"/>
  <c r="F119" i="13"/>
  <c r="E119" i="13"/>
  <c r="D119" i="13"/>
  <c r="C119" i="13"/>
  <c r="I118" i="13"/>
  <c r="H118" i="13"/>
  <c r="G118" i="13"/>
  <c r="F118" i="13"/>
  <c r="E118" i="13"/>
  <c r="D118" i="13"/>
  <c r="C118" i="13"/>
  <c r="B118" i="13"/>
  <c r="I117" i="13"/>
  <c r="H117" i="13"/>
  <c r="G117" i="13"/>
  <c r="F117" i="13"/>
  <c r="E117" i="13"/>
  <c r="D117" i="13"/>
  <c r="C117" i="13"/>
  <c r="H116" i="13"/>
  <c r="G116" i="13"/>
  <c r="F116" i="13"/>
  <c r="E116" i="13"/>
  <c r="D116" i="13"/>
  <c r="C116" i="13"/>
  <c r="H115" i="13"/>
  <c r="G115" i="13"/>
  <c r="F115" i="13"/>
  <c r="E115" i="13"/>
  <c r="D115" i="13"/>
  <c r="C115" i="13"/>
  <c r="H114" i="13"/>
  <c r="G114" i="13"/>
  <c r="F114" i="13"/>
  <c r="E114" i="13"/>
  <c r="D114" i="13"/>
  <c r="C114" i="13"/>
  <c r="B114" i="13"/>
  <c r="H113" i="13"/>
  <c r="G113" i="13"/>
  <c r="F113" i="13"/>
  <c r="E113" i="13"/>
  <c r="D113" i="13"/>
  <c r="C113" i="13"/>
  <c r="G112" i="13"/>
  <c r="F112" i="13"/>
  <c r="E112" i="13"/>
  <c r="D112" i="13"/>
  <c r="C112" i="13"/>
  <c r="G111" i="13"/>
  <c r="F111" i="13"/>
  <c r="E111" i="13"/>
  <c r="D111" i="13"/>
  <c r="C111" i="13"/>
  <c r="G110" i="13"/>
  <c r="F110" i="13"/>
  <c r="E110" i="13"/>
  <c r="D110" i="13"/>
  <c r="C110" i="13"/>
  <c r="B110" i="13"/>
  <c r="G109" i="13"/>
  <c r="F109" i="13"/>
  <c r="E109" i="13"/>
  <c r="D109" i="13"/>
  <c r="C109" i="13"/>
  <c r="F108" i="13"/>
  <c r="E108" i="13"/>
  <c r="D108" i="13"/>
  <c r="C108" i="13"/>
  <c r="F107" i="13"/>
  <c r="E107" i="13"/>
  <c r="D107" i="13"/>
  <c r="C107" i="13"/>
  <c r="F106" i="13"/>
  <c r="E106" i="13"/>
  <c r="D106" i="13"/>
  <c r="C106" i="13"/>
  <c r="B106" i="13"/>
  <c r="F105" i="13"/>
  <c r="E105" i="13"/>
  <c r="D105" i="13"/>
  <c r="C105" i="13"/>
  <c r="E104" i="13"/>
  <c r="D104" i="13"/>
  <c r="C104" i="13"/>
  <c r="E103" i="13"/>
  <c r="D103" i="13"/>
  <c r="C103" i="13"/>
  <c r="E102" i="13"/>
  <c r="D102" i="13"/>
  <c r="C102" i="13"/>
  <c r="B102" i="13"/>
  <c r="E101" i="13"/>
  <c r="D101" i="13"/>
  <c r="C101" i="13"/>
  <c r="D100" i="13"/>
  <c r="C100" i="13"/>
  <c r="D99" i="13"/>
  <c r="C99" i="13"/>
  <c r="D98" i="13"/>
  <c r="C98" i="13"/>
  <c r="B98" i="13"/>
  <c r="D97" i="13"/>
  <c r="C97" i="13"/>
  <c r="C96" i="13"/>
  <c r="C95" i="13"/>
  <c r="C94" i="13"/>
  <c r="B94" i="13"/>
  <c r="C93" i="13"/>
  <c r="B90" i="13"/>
  <c r="L67" i="13"/>
  <c r="K67" i="13"/>
  <c r="J67" i="13"/>
  <c r="I67" i="13"/>
  <c r="H67" i="13"/>
  <c r="G67" i="13"/>
  <c r="F67" i="13"/>
  <c r="E67" i="13"/>
  <c r="D67" i="13"/>
  <c r="C67" i="13"/>
  <c r="C19" i="13"/>
  <c r="C18" i="13"/>
  <c r="C17" i="13"/>
  <c r="W48" i="13" s="1"/>
  <c r="C16" i="13"/>
  <c r="C15" i="13"/>
  <c r="CW42" i="13" s="1"/>
  <c r="C14" i="13"/>
  <c r="C13" i="13"/>
  <c r="CQ36" i="13" s="1"/>
  <c r="C12" i="13"/>
  <c r="C11" i="13"/>
  <c r="DM30" i="13" s="1"/>
  <c r="C10" i="13"/>
  <c r="E4" i="12"/>
  <c r="E3" i="12" s="1"/>
  <c r="E4" i="11"/>
  <c r="F4" i="11" s="1"/>
  <c r="G4" i="11" s="1"/>
  <c r="E4" i="10"/>
  <c r="L60" i="7"/>
  <c r="H54" i="7"/>
  <c r="L53" i="7"/>
  <c r="T51" i="7"/>
  <c r="T52" i="7" s="1"/>
  <c r="P51" i="7"/>
  <c r="P52" i="7" s="1"/>
  <c r="T50" i="7"/>
  <c r="AP13" i="2" s="1"/>
  <c r="P50" i="7"/>
  <c r="AP12" i="2" s="1"/>
  <c r="L42" i="7"/>
  <c r="L38" i="7"/>
  <c r="D37" i="7"/>
  <c r="D39" i="7" s="1"/>
  <c r="D48" i="7" s="1"/>
  <c r="L26" i="7"/>
  <c r="L28" i="7" s="1"/>
  <c r="L29" i="7" s="1"/>
  <c r="L30" i="7" s="1"/>
  <c r="L56" i="7" s="1"/>
  <c r="D23" i="7"/>
  <c r="Q21" i="7"/>
  <c r="H21" i="7"/>
  <c r="H41" i="7" s="1"/>
  <c r="P15" i="7"/>
  <c r="L40" i="7" s="1"/>
  <c r="D11" i="7"/>
  <c r="H52" i="7" s="1"/>
  <c r="C8" i="5"/>
  <c r="C9" i="5" s="1"/>
  <c r="C10" i="5" s="1"/>
  <c r="C11" i="5" s="1"/>
  <c r="C12" i="5" s="1"/>
  <c r="C13" i="5" s="1"/>
  <c r="C14" i="5" s="1"/>
  <c r="C15" i="5" s="1"/>
  <c r="C16" i="5" s="1"/>
  <c r="C8" i="4"/>
  <c r="C9" i="4" s="1"/>
  <c r="C10" i="4" s="1"/>
  <c r="C11" i="4" s="1"/>
  <c r="C12" i="4" s="1"/>
  <c r="C13" i="4" s="1"/>
  <c r="C14" i="4" s="1"/>
  <c r="C15" i="4" s="1"/>
  <c r="I7" i="4"/>
  <c r="DO19" i="5" s="1"/>
  <c r="B7" i="4"/>
  <c r="D6" i="4"/>
  <c r="E20" i="2"/>
  <c r="Y12" i="2"/>
  <c r="AA12" i="2" s="1"/>
  <c r="U12" i="2"/>
  <c r="E12" i="2"/>
  <c r="U7" i="2"/>
  <c r="E7" i="2"/>
  <c r="AN6" i="2"/>
  <c r="AN5" i="2"/>
  <c r="E3" i="11" l="1"/>
  <c r="AF28" i="13"/>
  <c r="BC28" i="13"/>
  <c r="CM28" i="13"/>
  <c r="AJ19" i="5"/>
  <c r="BD29" i="13"/>
  <c r="AK19" i="5"/>
  <c r="P34" i="13"/>
  <c r="CQ19" i="5"/>
  <c r="BX34" i="13"/>
  <c r="CJ34" i="13"/>
  <c r="CB29" i="13"/>
  <c r="CG29" i="13"/>
  <c r="X30" i="13"/>
  <c r="AV30" i="13"/>
  <c r="AX30" i="13"/>
  <c r="Z28" i="13"/>
  <c r="DE30" i="13"/>
  <c r="DK28" i="13"/>
  <c r="CU41" i="13"/>
  <c r="DP28" i="13"/>
  <c r="C42" i="13"/>
  <c r="BU30" i="13"/>
  <c r="BD28" i="13"/>
  <c r="T29" i="13"/>
  <c r="DD29" i="13"/>
  <c r="P40" i="13"/>
  <c r="BH28" i="13"/>
  <c r="X29" i="13"/>
  <c r="DE29" i="13"/>
  <c r="BV30" i="13"/>
  <c r="AD40" i="13"/>
  <c r="BI28" i="13"/>
  <c r="Y29" i="13"/>
  <c r="DF29" i="13"/>
  <c r="CA30" i="13"/>
  <c r="AK40" i="13"/>
  <c r="BJ28" i="13"/>
  <c r="Z29" i="13"/>
  <c r="DK29" i="13"/>
  <c r="CB30" i="13"/>
  <c r="AX40" i="13"/>
  <c r="CF28" i="13"/>
  <c r="AW29" i="13"/>
  <c r="N30" i="13"/>
  <c r="DK40" i="13"/>
  <c r="CY30" i="13"/>
  <c r="G28" i="13"/>
  <c r="CG28" i="13"/>
  <c r="AX29" i="13"/>
  <c r="S30" i="13"/>
  <c r="CZ30" i="13"/>
  <c r="H41" i="13"/>
  <c r="L39" i="7"/>
  <c r="Y28" i="13"/>
  <c r="CH28" i="13"/>
  <c r="BC29" i="13"/>
  <c r="T30" i="13"/>
  <c r="DD30" i="13"/>
  <c r="N41" i="13"/>
  <c r="AE28" i="13"/>
  <c r="DF28" i="13"/>
  <c r="CA29" i="13"/>
  <c r="AR30" i="13"/>
  <c r="CV41" i="13"/>
  <c r="W12" i="2"/>
  <c r="AJ28" i="13"/>
  <c r="DL28" i="13"/>
  <c r="CF29" i="13"/>
  <c r="AW30" i="13"/>
  <c r="BY34" i="13"/>
  <c r="AR46" i="13"/>
  <c r="P57" i="7"/>
  <c r="P58" i="7" s="1"/>
  <c r="M41" i="13"/>
  <c r="DK41" i="13"/>
  <c r="AT46" i="13"/>
  <c r="DR46" i="13"/>
  <c r="L50" i="7"/>
  <c r="CN28" i="13"/>
  <c r="DQ28" i="13"/>
  <c r="AE29" i="13"/>
  <c r="BH29" i="13"/>
  <c r="CH29" i="13"/>
  <c r="DL29" i="13"/>
  <c r="Y30" i="13"/>
  <c r="BC30" i="13"/>
  <c r="CF30" i="13"/>
  <c r="DF30" i="13"/>
  <c r="AO35" i="13"/>
  <c r="BB40" i="13"/>
  <c r="AC41" i="13"/>
  <c r="U42" i="13"/>
  <c r="C47" i="13"/>
  <c r="AS46" i="13"/>
  <c r="AU19" i="5"/>
  <c r="P30" i="7"/>
  <c r="F4" i="12"/>
  <c r="G4" i="12" s="1"/>
  <c r="H28" i="13"/>
  <c r="AK28" i="13"/>
  <c r="BO28" i="13"/>
  <c r="CR28" i="13"/>
  <c r="DR28" i="13"/>
  <c r="AF29" i="13"/>
  <c r="BI29" i="13"/>
  <c r="CM29" i="13"/>
  <c r="DP29" i="13"/>
  <c r="Z30" i="13"/>
  <c r="BD30" i="13"/>
  <c r="CG30" i="13"/>
  <c r="DK30" i="13"/>
  <c r="BM35" i="13"/>
  <c r="BC40" i="13"/>
  <c r="AK41" i="13"/>
  <c r="X42" i="13"/>
  <c r="D47" i="13"/>
  <c r="Y7" i="2"/>
  <c r="CF19" i="5"/>
  <c r="L28" i="13"/>
  <c r="AL28" i="13"/>
  <c r="BP28" i="13"/>
  <c r="CS28" i="13"/>
  <c r="G29" i="13"/>
  <c r="AJ29" i="13"/>
  <c r="BJ29" i="13"/>
  <c r="CN29" i="13"/>
  <c r="DQ29" i="13"/>
  <c r="AE30" i="13"/>
  <c r="BH30" i="13"/>
  <c r="CH30" i="13"/>
  <c r="DL30" i="13"/>
  <c r="BO35" i="13"/>
  <c r="BQ40" i="13"/>
  <c r="AY41" i="13"/>
  <c r="Y42" i="13"/>
  <c r="CC47" i="13"/>
  <c r="P28" i="7"/>
  <c r="CG19" i="5"/>
  <c r="H37" i="7"/>
  <c r="H39" i="7" s="1"/>
  <c r="L20" i="7" s="1"/>
  <c r="L22" i="7" s="1"/>
  <c r="L31" i="7" s="1"/>
  <c r="P20" i="7" s="1"/>
  <c r="M28" i="13"/>
  <c r="AQ28" i="13"/>
  <c r="BT28" i="13"/>
  <c r="CT28" i="13"/>
  <c r="H29" i="13"/>
  <c r="AK29" i="13"/>
  <c r="BO29" i="13"/>
  <c r="CR29" i="13"/>
  <c r="DR29" i="13"/>
  <c r="AF30" i="13"/>
  <c r="BI30" i="13"/>
  <c r="CM30" i="13"/>
  <c r="DP30" i="13"/>
  <c r="AM36" i="13"/>
  <c r="BX40" i="13"/>
  <c r="BC41" i="13"/>
  <c r="AZ42" i="13"/>
  <c r="CD47" i="13"/>
  <c r="N28" i="13"/>
  <c r="AR28" i="13"/>
  <c r="BU28" i="13"/>
  <c r="CY28" i="13"/>
  <c r="L29" i="13"/>
  <c r="AL29" i="13"/>
  <c r="BP29" i="13"/>
  <c r="CS29" i="13"/>
  <c r="G30" i="13"/>
  <c r="AJ30" i="13"/>
  <c r="BJ30" i="13"/>
  <c r="CN30" i="13"/>
  <c r="DQ30" i="13"/>
  <c r="BK36" i="13"/>
  <c r="CK40" i="13"/>
  <c r="BD41" i="13"/>
  <c r="CB42" i="13"/>
  <c r="CE47" i="13"/>
  <c r="S28" i="13"/>
  <c r="AV28" i="13"/>
  <c r="BV28" i="13"/>
  <c r="CZ28" i="13"/>
  <c r="M29" i="13"/>
  <c r="AQ29" i="13"/>
  <c r="BT29" i="13"/>
  <c r="CT29" i="13"/>
  <c r="H30" i="13"/>
  <c r="AK30" i="13"/>
  <c r="BO30" i="13"/>
  <c r="CR30" i="13"/>
  <c r="DR30" i="13"/>
  <c r="BL36" i="13"/>
  <c r="CO40" i="13"/>
  <c r="BU41" i="13"/>
  <c r="CC42" i="13"/>
  <c r="AW48" i="13"/>
  <c r="T28" i="13"/>
  <c r="AW28" i="13"/>
  <c r="CA28" i="13"/>
  <c r="DD28" i="13"/>
  <c r="N29" i="13"/>
  <c r="AR29" i="13"/>
  <c r="BU29" i="13"/>
  <c r="CY29" i="13"/>
  <c r="L30" i="13"/>
  <c r="AL30" i="13"/>
  <c r="BP30" i="13"/>
  <c r="CS30" i="13"/>
  <c r="E34" i="13"/>
  <c r="J40" i="13"/>
  <c r="CP40" i="13"/>
  <c r="CA41" i="13"/>
  <c r="CF42" i="13"/>
  <c r="AX48" i="13"/>
  <c r="X28" i="13"/>
  <c r="AX28" i="13"/>
  <c r="CB28" i="13"/>
  <c r="DE28" i="13"/>
  <c r="S29" i="13"/>
  <c r="AV29" i="13"/>
  <c r="BV29" i="13"/>
  <c r="CZ29" i="13"/>
  <c r="M30" i="13"/>
  <c r="AQ30" i="13"/>
  <c r="BT30" i="13"/>
  <c r="CT30" i="13"/>
  <c r="G34" i="13"/>
  <c r="O40" i="13"/>
  <c r="DE40" i="13"/>
  <c r="CO41" i="13"/>
  <c r="DL42" i="13"/>
  <c r="AY48" i="13"/>
  <c r="T57" i="7"/>
  <c r="T58" i="7" s="1"/>
  <c r="D52" i="7"/>
  <c r="D50" i="7"/>
  <c r="G12" i="2" s="1"/>
  <c r="C12" i="2"/>
  <c r="C20" i="2" s="1"/>
  <c r="B10" i="13"/>
  <c r="D7" i="4"/>
  <c r="D22" i="4"/>
  <c r="E22" i="4" s="1"/>
  <c r="F22" i="4" s="1"/>
  <c r="G22" i="4" s="1"/>
  <c r="H22" i="4" s="1"/>
  <c r="I22" i="4" s="1"/>
  <c r="J22" i="4" s="1"/>
  <c r="K22" i="4" s="1"/>
  <c r="L22" i="4" s="1"/>
  <c r="M22" i="4" s="1"/>
  <c r="N22" i="4" s="1"/>
  <c r="O22" i="4" s="1"/>
  <c r="P22" i="4" s="1"/>
  <c r="Q22" i="4" s="1"/>
  <c r="R22" i="4" s="1"/>
  <c r="S22" i="4" s="1"/>
  <c r="T22" i="4" s="1"/>
  <c r="U22" i="4" s="1"/>
  <c r="V22" i="4" s="1"/>
  <c r="W22" i="4" s="1"/>
  <c r="X22" i="4" s="1"/>
  <c r="Y22" i="4" s="1"/>
  <c r="Z22" i="4" s="1"/>
  <c r="AA22" i="4" s="1"/>
  <c r="AB22" i="4" s="1"/>
  <c r="AC22" i="4" s="1"/>
  <c r="AD22" i="4" s="1"/>
  <c r="AE22" i="4" s="1"/>
  <c r="AF22" i="4" s="1"/>
  <c r="AG22" i="4" s="1"/>
  <c r="AH22" i="4" s="1"/>
  <c r="AI22" i="4" s="1"/>
  <c r="AJ22" i="4" s="1"/>
  <c r="AK22" i="4" s="1"/>
  <c r="AL22" i="4" s="1"/>
  <c r="AM22" i="4" s="1"/>
  <c r="AN22" i="4" s="1"/>
  <c r="AO22" i="4" s="1"/>
  <c r="AP22" i="4" s="1"/>
  <c r="AQ22" i="4" s="1"/>
  <c r="AR22" i="4" s="1"/>
  <c r="AS22" i="4" s="1"/>
  <c r="AT22" i="4" s="1"/>
  <c r="AU22" i="4" s="1"/>
  <c r="AV22" i="4" s="1"/>
  <c r="AW22" i="4" s="1"/>
  <c r="AX22" i="4" s="1"/>
  <c r="AY22" i="4" s="1"/>
  <c r="AZ22" i="4" s="1"/>
  <c r="BA22" i="4" s="1"/>
  <c r="BB22" i="4" s="1"/>
  <c r="BC22" i="4" s="1"/>
  <c r="BD22" i="4" s="1"/>
  <c r="BE22" i="4" s="1"/>
  <c r="BF22" i="4" s="1"/>
  <c r="BG22" i="4" s="1"/>
  <c r="BH22" i="4" s="1"/>
  <c r="BI22" i="4" s="1"/>
  <c r="BJ22" i="4" s="1"/>
  <c r="BK22" i="4" s="1"/>
  <c r="BL22" i="4" s="1"/>
  <c r="BM22" i="4" s="1"/>
  <c r="BN22" i="4" s="1"/>
  <c r="BO22" i="4" s="1"/>
  <c r="BP22" i="4" s="1"/>
  <c r="BQ22" i="4" s="1"/>
  <c r="BR22" i="4" s="1"/>
  <c r="BS22" i="4" s="1"/>
  <c r="BT22" i="4" s="1"/>
  <c r="BU22" i="4" s="1"/>
  <c r="BV22" i="4" s="1"/>
  <c r="BW22" i="4" s="1"/>
  <c r="BX22" i="4" s="1"/>
  <c r="BY22" i="4" s="1"/>
  <c r="BZ22" i="4" s="1"/>
  <c r="CA22" i="4" s="1"/>
  <c r="CB22" i="4" s="1"/>
  <c r="CC22" i="4" s="1"/>
  <c r="CD22" i="4" s="1"/>
  <c r="CE22" i="4" s="1"/>
  <c r="CF22" i="4" s="1"/>
  <c r="CG22" i="4" s="1"/>
  <c r="CH22" i="4" s="1"/>
  <c r="CI22" i="4" s="1"/>
  <c r="CJ22" i="4" s="1"/>
  <c r="CK22" i="4" s="1"/>
  <c r="CL22" i="4" s="1"/>
  <c r="CM22" i="4" s="1"/>
  <c r="CN22" i="4" s="1"/>
  <c r="CO22" i="4" s="1"/>
  <c r="CP22" i="4" s="1"/>
  <c r="CQ22" i="4" s="1"/>
  <c r="CR22" i="4" s="1"/>
  <c r="CS22" i="4" s="1"/>
  <c r="CT22" i="4" s="1"/>
  <c r="CU22" i="4" s="1"/>
  <c r="CV22" i="4" s="1"/>
  <c r="CW22" i="4" s="1"/>
  <c r="CX22" i="4" s="1"/>
  <c r="CY22" i="4" s="1"/>
  <c r="CZ22" i="4" s="1"/>
  <c r="DA22" i="4" s="1"/>
  <c r="DB22" i="4" s="1"/>
  <c r="DC22" i="4" s="1"/>
  <c r="DD22" i="4" s="1"/>
  <c r="DE22" i="4" s="1"/>
  <c r="DF22" i="4" s="1"/>
  <c r="DG22" i="4" s="1"/>
  <c r="DH22" i="4" s="1"/>
  <c r="DI22" i="4" s="1"/>
  <c r="DJ22" i="4" s="1"/>
  <c r="DK22" i="4" s="1"/>
  <c r="DL22" i="4" s="1"/>
  <c r="DM22" i="4" s="1"/>
  <c r="DN22" i="4" s="1"/>
  <c r="DO22" i="4" s="1"/>
  <c r="DP22" i="4" s="1"/>
  <c r="DQ22" i="4" s="1"/>
  <c r="DR22" i="4" s="1"/>
  <c r="DS22" i="4" s="1"/>
  <c r="DT22" i="4" s="1"/>
  <c r="B8" i="4"/>
  <c r="AV19" i="5"/>
  <c r="CR19" i="5"/>
  <c r="AW19" i="5"/>
  <c r="CS19" i="5"/>
  <c r="K19" i="5"/>
  <c r="BG19" i="5"/>
  <c r="DC19" i="5"/>
  <c r="L19" i="5"/>
  <c r="BH19" i="5"/>
  <c r="DD19" i="5"/>
  <c r="M19" i="5"/>
  <c r="BI19" i="5"/>
  <c r="DE19" i="5"/>
  <c r="W19" i="5"/>
  <c r="BS19" i="5"/>
  <c r="DN19" i="5"/>
  <c r="DB19" i="5"/>
  <c r="CP19" i="5"/>
  <c r="CD19" i="5"/>
  <c r="BR19" i="5"/>
  <c r="BF19" i="5"/>
  <c r="AT19" i="5"/>
  <c r="AH19" i="5"/>
  <c r="V19" i="5"/>
  <c r="J19" i="5"/>
  <c r="DM19" i="5"/>
  <c r="DA19" i="5"/>
  <c r="CO19" i="5"/>
  <c r="CC19" i="5"/>
  <c r="BQ19" i="5"/>
  <c r="BE19" i="5"/>
  <c r="AS19" i="5"/>
  <c r="AG19" i="5"/>
  <c r="U19" i="5"/>
  <c r="I19" i="5"/>
  <c r="DL19" i="5"/>
  <c r="CZ19" i="5"/>
  <c r="CN19" i="5"/>
  <c r="CB19" i="5"/>
  <c r="BP19" i="5"/>
  <c r="BD19" i="5"/>
  <c r="AR19" i="5"/>
  <c r="AF19" i="5"/>
  <c r="T19" i="5"/>
  <c r="H19" i="5"/>
  <c r="DK19" i="5"/>
  <c r="CY19" i="5"/>
  <c r="CM19" i="5"/>
  <c r="CA19" i="5"/>
  <c r="BO19" i="5"/>
  <c r="BC19" i="5"/>
  <c r="AQ19" i="5"/>
  <c r="AE19" i="5"/>
  <c r="S19" i="5"/>
  <c r="G19" i="5"/>
  <c r="DJ19" i="5"/>
  <c r="CX19" i="5"/>
  <c r="CL19" i="5"/>
  <c r="BZ19" i="5"/>
  <c r="BN19" i="5"/>
  <c r="BB19" i="5"/>
  <c r="AP19" i="5"/>
  <c r="AD19" i="5"/>
  <c r="R19" i="5"/>
  <c r="F19" i="5"/>
  <c r="DU19" i="5"/>
  <c r="DI19" i="5"/>
  <c r="CW19" i="5"/>
  <c r="CK19" i="5"/>
  <c r="BY19" i="5"/>
  <c r="BM19" i="5"/>
  <c r="BA19" i="5"/>
  <c r="AO19" i="5"/>
  <c r="AC19" i="5"/>
  <c r="Q19" i="5"/>
  <c r="E19" i="5"/>
  <c r="DT19" i="5"/>
  <c r="DH19" i="5"/>
  <c r="CV19" i="5"/>
  <c r="CJ19" i="5"/>
  <c r="BX19" i="5"/>
  <c r="BL19" i="5"/>
  <c r="AZ19" i="5"/>
  <c r="AN19" i="5"/>
  <c r="AB19" i="5"/>
  <c r="P19" i="5"/>
  <c r="DS19" i="5"/>
  <c r="DG19" i="5"/>
  <c r="CU19" i="5"/>
  <c r="CI19" i="5"/>
  <c r="BW19" i="5"/>
  <c r="BK19" i="5"/>
  <c r="AY19" i="5"/>
  <c r="AM19" i="5"/>
  <c r="AA19" i="5"/>
  <c r="O19" i="5"/>
  <c r="DR19" i="5"/>
  <c r="DF19" i="5"/>
  <c r="CT19" i="5"/>
  <c r="CH19" i="5"/>
  <c r="BV19" i="5"/>
  <c r="BJ19" i="5"/>
  <c r="AX19" i="5"/>
  <c r="AL19" i="5"/>
  <c r="Z19" i="5"/>
  <c r="N19" i="5"/>
  <c r="X19" i="5"/>
  <c r="BT19" i="5"/>
  <c r="DP19" i="5"/>
  <c r="Y19" i="5"/>
  <c r="BU19" i="5"/>
  <c r="DQ19" i="5"/>
  <c r="AI19" i="5"/>
  <c r="CE19" i="5"/>
  <c r="E4" i="9"/>
  <c r="E4" i="8"/>
  <c r="D15" i="7"/>
  <c r="E4" i="5"/>
  <c r="H50" i="7"/>
  <c r="D13" i="7"/>
  <c r="F4" i="10"/>
  <c r="E3" i="10"/>
  <c r="F3" i="11"/>
  <c r="G3" i="11"/>
  <c r="C3" i="13"/>
  <c r="D3" i="13"/>
  <c r="E3" i="13"/>
  <c r="H4" i="11"/>
  <c r="DG148" i="13"/>
  <c r="CU148" i="13"/>
  <c r="CI148" i="13"/>
  <c r="BW148" i="13"/>
  <c r="BK148" i="13"/>
  <c r="AY148" i="13"/>
  <c r="AM148" i="13"/>
  <c r="AA148" i="13"/>
  <c r="O148" i="13"/>
  <c r="C148" i="13"/>
  <c r="DR148" i="13"/>
  <c r="DF148" i="13"/>
  <c r="CT148" i="13"/>
  <c r="CH148" i="13"/>
  <c r="BV148" i="13"/>
  <c r="BJ148" i="13"/>
  <c r="AX148" i="13"/>
  <c r="AL148" i="13"/>
  <c r="Z148" i="13"/>
  <c r="N148" i="13"/>
  <c r="DL148" i="13"/>
  <c r="CZ148" i="13"/>
  <c r="CN148" i="13"/>
  <c r="CB148" i="13"/>
  <c r="BP148" i="13"/>
  <c r="BD148" i="13"/>
  <c r="AR148" i="13"/>
  <c r="AF148" i="13"/>
  <c r="T148" i="13"/>
  <c r="H148" i="13"/>
  <c r="DP148" i="13"/>
  <c r="DA148" i="13"/>
  <c r="CK148" i="13"/>
  <c r="BT148" i="13"/>
  <c r="BE148" i="13"/>
  <c r="AO148" i="13"/>
  <c r="X148" i="13"/>
  <c r="I148" i="13"/>
  <c r="DO148" i="13"/>
  <c r="CY148" i="13"/>
  <c r="CJ148" i="13"/>
  <c r="BS148" i="13"/>
  <c r="BC148" i="13"/>
  <c r="AN148" i="13"/>
  <c r="W148" i="13"/>
  <c r="G148" i="13"/>
  <c r="DN148" i="13"/>
  <c r="CX148" i="13"/>
  <c r="CG148" i="13"/>
  <c r="BR148" i="13"/>
  <c r="BB148" i="13"/>
  <c r="AK148" i="13"/>
  <c r="V148" i="13"/>
  <c r="F148" i="13"/>
  <c r="DK148" i="13"/>
  <c r="CV148" i="13"/>
  <c r="CE148" i="13"/>
  <c r="BO148" i="13"/>
  <c r="AZ148" i="13"/>
  <c r="AI148" i="13"/>
  <c r="S148" i="13"/>
  <c r="D148" i="13"/>
  <c r="DJ148" i="13"/>
  <c r="CS148" i="13"/>
  <c r="CD148" i="13"/>
  <c r="BN148" i="13"/>
  <c r="AW148" i="13"/>
  <c r="AH148" i="13"/>
  <c r="R148" i="13"/>
  <c r="DI148" i="13"/>
  <c r="CR148" i="13"/>
  <c r="CC148" i="13"/>
  <c r="BM148" i="13"/>
  <c r="AV148" i="13"/>
  <c r="AG148" i="13"/>
  <c r="Q148" i="13"/>
  <c r="DH148" i="13"/>
  <c r="CQ148" i="13"/>
  <c r="CA148" i="13"/>
  <c r="BL148" i="13"/>
  <c r="AU148" i="13"/>
  <c r="AE148" i="13"/>
  <c r="P148" i="13"/>
  <c r="DE148" i="13"/>
  <c r="CP148" i="13"/>
  <c r="BZ148" i="13"/>
  <c r="BI148" i="13"/>
  <c r="AT148" i="13"/>
  <c r="AD148" i="13"/>
  <c r="M148" i="13"/>
  <c r="DD148" i="13"/>
  <c r="CO148" i="13"/>
  <c r="BY148" i="13"/>
  <c r="BH148" i="13"/>
  <c r="AS148" i="13"/>
  <c r="AC148" i="13"/>
  <c r="L148" i="13"/>
  <c r="BQ148" i="13"/>
  <c r="E148" i="13"/>
  <c r="BG148" i="13"/>
  <c r="DQ148" i="13"/>
  <c r="BF148" i="13"/>
  <c r="DM148" i="13"/>
  <c r="BA148" i="13"/>
  <c r="DC148" i="13"/>
  <c r="AQ148" i="13"/>
  <c r="DB148" i="13"/>
  <c r="AP148" i="13"/>
  <c r="CW148" i="13"/>
  <c r="AJ148" i="13"/>
  <c r="CM148" i="13"/>
  <c r="AB148" i="13"/>
  <c r="CL148" i="13"/>
  <c r="Y148" i="13"/>
  <c r="J148" i="13"/>
  <c r="CF148" i="13"/>
  <c r="BX148" i="13"/>
  <c r="BU148" i="13"/>
  <c r="U148" i="13"/>
  <c r="K148" i="13"/>
  <c r="DK54" i="13"/>
  <c r="CY54" i="13"/>
  <c r="CM54" i="13"/>
  <c r="CA54" i="13"/>
  <c r="BO54" i="13"/>
  <c r="BC54" i="13"/>
  <c r="AQ54" i="13"/>
  <c r="AE54" i="13"/>
  <c r="S54" i="13"/>
  <c r="G54" i="13"/>
  <c r="DK53" i="13"/>
  <c r="CY53" i="13"/>
  <c r="CM53" i="13"/>
  <c r="CA53" i="13"/>
  <c r="BO53" i="13"/>
  <c r="BC53" i="13"/>
  <c r="AQ53" i="13"/>
  <c r="AE53" i="13"/>
  <c r="S53" i="13"/>
  <c r="G53" i="13"/>
  <c r="DK52" i="13"/>
  <c r="CY52" i="13"/>
  <c r="CM52" i="13"/>
  <c r="CA52" i="13"/>
  <c r="BO52" i="13"/>
  <c r="BC52" i="13"/>
  <c r="AQ52" i="13"/>
  <c r="AE52" i="13"/>
  <c r="S52" i="13"/>
  <c r="G52" i="13"/>
  <c r="DJ54" i="13"/>
  <c r="CX54" i="13"/>
  <c r="CL54" i="13"/>
  <c r="BZ54" i="13"/>
  <c r="BN54" i="13"/>
  <c r="BB54" i="13"/>
  <c r="AP54" i="13"/>
  <c r="AD54" i="13"/>
  <c r="R54" i="13"/>
  <c r="F54" i="13"/>
  <c r="DJ53" i="13"/>
  <c r="CX53" i="13"/>
  <c r="CL53" i="13"/>
  <c r="BZ53" i="13"/>
  <c r="BN53" i="13"/>
  <c r="BB53" i="13"/>
  <c r="AP53" i="13"/>
  <c r="AD53" i="13"/>
  <c r="R53" i="13"/>
  <c r="F53" i="13"/>
  <c r="DJ52" i="13"/>
  <c r="CX52" i="13"/>
  <c r="CL52" i="13"/>
  <c r="BZ52" i="13"/>
  <c r="BN52" i="13"/>
  <c r="BB52" i="13"/>
  <c r="AP52" i="13"/>
  <c r="AD52" i="13"/>
  <c r="R52" i="13"/>
  <c r="F52" i="13"/>
  <c r="DI54" i="13"/>
  <c r="CW54" i="13"/>
  <c r="CK54" i="13"/>
  <c r="BY54" i="13"/>
  <c r="BM54" i="13"/>
  <c r="BA54" i="13"/>
  <c r="AO54" i="13"/>
  <c r="AC54" i="13"/>
  <c r="Q54" i="13"/>
  <c r="E54" i="13"/>
  <c r="DI53" i="13"/>
  <c r="CW53" i="13"/>
  <c r="CK53" i="13"/>
  <c r="BY53" i="13"/>
  <c r="BM53" i="13"/>
  <c r="BA53" i="13"/>
  <c r="AO53" i="13"/>
  <c r="AC53" i="13"/>
  <c r="Q53" i="13"/>
  <c r="E53" i="13"/>
  <c r="DI52" i="13"/>
  <c r="CW52" i="13"/>
  <c r="CK52" i="13"/>
  <c r="BY52" i="13"/>
  <c r="BM52" i="13"/>
  <c r="BA52" i="13"/>
  <c r="AO52" i="13"/>
  <c r="AC52" i="13"/>
  <c r="Q52" i="13"/>
  <c r="E52" i="13"/>
  <c r="DR54" i="13"/>
  <c r="DF54" i="13"/>
  <c r="CT54" i="13"/>
  <c r="CH54" i="13"/>
  <c r="BV54" i="13"/>
  <c r="BJ54" i="13"/>
  <c r="AX54" i="13"/>
  <c r="AL54" i="13"/>
  <c r="Z54" i="13"/>
  <c r="N54" i="13"/>
  <c r="DR53" i="13"/>
  <c r="DF53" i="13"/>
  <c r="CT53" i="13"/>
  <c r="CH53" i="13"/>
  <c r="BV53" i="13"/>
  <c r="BJ53" i="13"/>
  <c r="AX53" i="13"/>
  <c r="AL53" i="13"/>
  <c r="Z53" i="13"/>
  <c r="N53" i="13"/>
  <c r="DR52" i="13"/>
  <c r="DF52" i="13"/>
  <c r="CT52" i="13"/>
  <c r="CH52" i="13"/>
  <c r="BV52" i="13"/>
  <c r="BJ52" i="13"/>
  <c r="AX52" i="13"/>
  <c r="AL52" i="13"/>
  <c r="Z52" i="13"/>
  <c r="N52" i="13"/>
  <c r="DO54" i="13"/>
  <c r="DC54" i="13"/>
  <c r="CQ54" i="13"/>
  <c r="CE54" i="13"/>
  <c r="BS54" i="13"/>
  <c r="BG54" i="13"/>
  <c r="AU54" i="13"/>
  <c r="AI54" i="13"/>
  <c r="W54" i="13"/>
  <c r="K54" i="13"/>
  <c r="DO53" i="13"/>
  <c r="DC53" i="13"/>
  <c r="CQ53" i="13"/>
  <c r="CE53" i="13"/>
  <c r="DA54" i="13"/>
  <c r="CF54" i="13"/>
  <c r="BK54" i="13"/>
  <c r="AR54" i="13"/>
  <c r="V54" i="13"/>
  <c r="DQ53" i="13"/>
  <c r="CV53" i="13"/>
  <c r="CC53" i="13"/>
  <c r="BI53" i="13"/>
  <c r="AS53" i="13"/>
  <c r="Y53" i="13"/>
  <c r="I53" i="13"/>
  <c r="DE52" i="13"/>
  <c r="CO52" i="13"/>
  <c r="BU52" i="13"/>
  <c r="BE52" i="13"/>
  <c r="AK52" i="13"/>
  <c r="U52" i="13"/>
  <c r="CZ54" i="13"/>
  <c r="CD54" i="13"/>
  <c r="BI54" i="13"/>
  <c r="AN54" i="13"/>
  <c r="U54" i="13"/>
  <c r="DP53" i="13"/>
  <c r="CU53" i="13"/>
  <c r="CB53" i="13"/>
  <c r="BH53" i="13"/>
  <c r="AR53" i="13"/>
  <c r="X53" i="13"/>
  <c r="H53" i="13"/>
  <c r="DD52" i="13"/>
  <c r="CN52" i="13"/>
  <c r="BT52" i="13"/>
  <c r="BD52" i="13"/>
  <c r="AJ52" i="13"/>
  <c r="T52" i="13"/>
  <c r="DQ54" i="13"/>
  <c r="CV54" i="13"/>
  <c r="CC54" i="13"/>
  <c r="BH54" i="13"/>
  <c r="AM54" i="13"/>
  <c r="T54" i="13"/>
  <c r="DN53" i="13"/>
  <c r="CS53" i="13"/>
  <c r="BX53" i="13"/>
  <c r="BG53" i="13"/>
  <c r="AN53" i="13"/>
  <c r="W53" i="13"/>
  <c r="D53" i="13"/>
  <c r="DC52" i="13"/>
  <c r="CJ52" i="13"/>
  <c r="BS52" i="13"/>
  <c r="AZ52" i="13"/>
  <c r="AI52" i="13"/>
  <c r="P52" i="13"/>
  <c r="DP54" i="13"/>
  <c r="CU54" i="13"/>
  <c r="CB54" i="13"/>
  <c r="BF54" i="13"/>
  <c r="AK54" i="13"/>
  <c r="P54" i="13"/>
  <c r="DM53" i="13"/>
  <c r="CR53" i="13"/>
  <c r="DN54" i="13"/>
  <c r="CS54" i="13"/>
  <c r="BX54" i="13"/>
  <c r="BE54" i="13"/>
  <c r="AJ54" i="13"/>
  <c r="O54" i="13"/>
  <c r="DL53" i="13"/>
  <c r="CP53" i="13"/>
  <c r="BU53" i="13"/>
  <c r="BE53" i="13"/>
  <c r="AK53" i="13"/>
  <c r="U53" i="13"/>
  <c r="DQ52" i="13"/>
  <c r="DA52" i="13"/>
  <c r="CG52" i="13"/>
  <c r="BQ52" i="13"/>
  <c r="AW52" i="13"/>
  <c r="AG52" i="13"/>
  <c r="M52" i="13"/>
  <c r="DM54" i="13"/>
  <c r="CR54" i="13"/>
  <c r="BW54" i="13"/>
  <c r="BD54" i="13"/>
  <c r="AH54" i="13"/>
  <c r="M54" i="13"/>
  <c r="DH53" i="13"/>
  <c r="CO53" i="13"/>
  <c r="BT53" i="13"/>
  <c r="BD53" i="13"/>
  <c r="AJ53" i="13"/>
  <c r="T53" i="13"/>
  <c r="DP52" i="13"/>
  <c r="CZ52" i="13"/>
  <c r="CF52" i="13"/>
  <c r="BP52" i="13"/>
  <c r="AV52" i="13"/>
  <c r="AF52" i="13"/>
  <c r="L52" i="13"/>
  <c r="DL54" i="13"/>
  <c r="CP54" i="13"/>
  <c r="BU54" i="13"/>
  <c r="AZ54" i="13"/>
  <c r="AG54" i="13"/>
  <c r="L54" i="13"/>
  <c r="DG53" i="13"/>
  <c r="CN53" i="13"/>
  <c r="BS53" i="13"/>
  <c r="AZ53" i="13"/>
  <c r="AI53" i="13"/>
  <c r="P53" i="13"/>
  <c r="DO52" i="13"/>
  <c r="CV52" i="13"/>
  <c r="CE52" i="13"/>
  <c r="BL52" i="13"/>
  <c r="AU52" i="13"/>
  <c r="AB52" i="13"/>
  <c r="K52" i="13"/>
  <c r="DH54" i="13"/>
  <c r="CO54" i="13"/>
  <c r="BT54" i="13"/>
  <c r="AY54" i="13"/>
  <c r="AF54" i="13"/>
  <c r="J54" i="13"/>
  <c r="DE53" i="13"/>
  <c r="CJ53" i="13"/>
  <c r="BR53" i="13"/>
  <c r="AY53" i="13"/>
  <c r="AH53" i="13"/>
  <c r="O53" i="13"/>
  <c r="DN52" i="13"/>
  <c r="CU52" i="13"/>
  <c r="CD52" i="13"/>
  <c r="BK52" i="13"/>
  <c r="AT52" i="13"/>
  <c r="AA52" i="13"/>
  <c r="J52" i="13"/>
  <c r="DG54" i="13"/>
  <c r="CN54" i="13"/>
  <c r="BR54" i="13"/>
  <c r="AW54" i="13"/>
  <c r="AB54" i="13"/>
  <c r="I54" i="13"/>
  <c r="DD53" i="13"/>
  <c r="CI53" i="13"/>
  <c r="BQ53" i="13"/>
  <c r="AW53" i="13"/>
  <c r="AG53" i="13"/>
  <c r="M53" i="13"/>
  <c r="DM52" i="13"/>
  <c r="CS52" i="13"/>
  <c r="CC52" i="13"/>
  <c r="BI52" i="13"/>
  <c r="AS52" i="13"/>
  <c r="Y52" i="13"/>
  <c r="I52" i="13"/>
  <c r="DE54" i="13"/>
  <c r="AA54" i="13"/>
  <c r="BW53" i="13"/>
  <c r="V53" i="13"/>
  <c r="CI52" i="13"/>
  <c r="AH52" i="13"/>
  <c r="DD54" i="13"/>
  <c r="Y54" i="13"/>
  <c r="BP53" i="13"/>
  <c r="L53" i="13"/>
  <c r="CB52" i="13"/>
  <c r="X52" i="13"/>
  <c r="DB54" i="13"/>
  <c r="X54" i="13"/>
  <c r="BL53" i="13"/>
  <c r="K53" i="13"/>
  <c r="BX52" i="13"/>
  <c r="W52" i="13"/>
  <c r="CJ54" i="13"/>
  <c r="H54" i="13"/>
  <c r="BK53" i="13"/>
  <c r="J53" i="13"/>
  <c r="BW52" i="13"/>
  <c r="V52" i="13"/>
  <c r="CI54" i="13"/>
  <c r="D54" i="13"/>
  <c r="BF53" i="13"/>
  <c r="C53" i="13"/>
  <c r="BR52" i="13"/>
  <c r="O52" i="13"/>
  <c r="CG54" i="13"/>
  <c r="C54" i="13"/>
  <c r="AV53" i="13"/>
  <c r="DL52" i="13"/>
  <c r="BH52" i="13"/>
  <c r="H52" i="13"/>
  <c r="BQ54" i="13"/>
  <c r="DB53" i="13"/>
  <c r="AU53" i="13"/>
  <c r="DH52" i="13"/>
  <c r="BG52" i="13"/>
  <c r="D52" i="13"/>
  <c r="BP54" i="13"/>
  <c r="DA53" i="13"/>
  <c r="AT53" i="13"/>
  <c r="DG52" i="13"/>
  <c r="BF52" i="13"/>
  <c r="C52" i="13"/>
  <c r="BL54" i="13"/>
  <c r="CZ53" i="13"/>
  <c r="AM53" i="13"/>
  <c r="DB52" i="13"/>
  <c r="AY52" i="13"/>
  <c r="CG53" i="13"/>
  <c r="CF53" i="13"/>
  <c r="CD53" i="13"/>
  <c r="AF53" i="13"/>
  <c r="AB53" i="13"/>
  <c r="AA53" i="13"/>
  <c r="CR52" i="13"/>
  <c r="CQ52" i="13"/>
  <c r="CP52" i="13"/>
  <c r="AA34" i="13"/>
  <c r="CV34" i="13"/>
  <c r="BS35" i="13"/>
  <c r="BM36" i="13"/>
  <c r="AM52" i="13"/>
  <c r="AB34" i="13"/>
  <c r="CW34" i="13"/>
  <c r="CQ35" i="13"/>
  <c r="CK36" i="13"/>
  <c r="AN52" i="13"/>
  <c r="AC34" i="13"/>
  <c r="CY34" i="13"/>
  <c r="CU35" i="13"/>
  <c r="CM36" i="13"/>
  <c r="AR52" i="13"/>
  <c r="AN34" i="13"/>
  <c r="DK34" i="13"/>
  <c r="CV35" i="13"/>
  <c r="AS54" i="13"/>
  <c r="DJ142" i="13"/>
  <c r="CX142" i="13"/>
  <c r="CL142" i="13"/>
  <c r="BZ142" i="13"/>
  <c r="BN142" i="13"/>
  <c r="BB142" i="13"/>
  <c r="AP142" i="13"/>
  <c r="AD142" i="13"/>
  <c r="R142" i="13"/>
  <c r="F142" i="13"/>
  <c r="DI142" i="13"/>
  <c r="CW142" i="13"/>
  <c r="CK142" i="13"/>
  <c r="BY142" i="13"/>
  <c r="BM142" i="13"/>
  <c r="BA142" i="13"/>
  <c r="AO142" i="13"/>
  <c r="AC142" i="13"/>
  <c r="Q142" i="13"/>
  <c r="E142" i="13"/>
  <c r="DH142" i="13"/>
  <c r="CV142" i="13"/>
  <c r="CJ142" i="13"/>
  <c r="BX142" i="13"/>
  <c r="BL142" i="13"/>
  <c r="AZ142" i="13"/>
  <c r="AN142" i="13"/>
  <c r="AB142" i="13"/>
  <c r="P142" i="13"/>
  <c r="D142" i="13"/>
  <c r="DG142" i="13"/>
  <c r="CU142" i="13"/>
  <c r="CI142" i="13"/>
  <c r="BW142" i="13"/>
  <c r="BK142" i="13"/>
  <c r="AY142" i="13"/>
  <c r="AM142" i="13"/>
  <c r="AA142" i="13"/>
  <c r="O142" i="13"/>
  <c r="C142" i="13"/>
  <c r="DR142" i="13"/>
  <c r="DF142" i="13"/>
  <c r="CT142" i="13"/>
  <c r="CH142" i="13"/>
  <c r="BV142" i="13"/>
  <c r="BJ142" i="13"/>
  <c r="AX142" i="13"/>
  <c r="AL142" i="13"/>
  <c r="Z142" i="13"/>
  <c r="N142" i="13"/>
  <c r="DQ142" i="13"/>
  <c r="DE142" i="13"/>
  <c r="CS142" i="13"/>
  <c r="CG142" i="13"/>
  <c r="BU142" i="13"/>
  <c r="BI142" i="13"/>
  <c r="AW142" i="13"/>
  <c r="AK142" i="13"/>
  <c r="Y142" i="13"/>
  <c r="M142" i="13"/>
  <c r="DP142" i="13"/>
  <c r="DD142" i="13"/>
  <c r="CR142" i="13"/>
  <c r="CF142" i="13"/>
  <c r="BT142" i="13"/>
  <c r="BH142" i="13"/>
  <c r="AV142" i="13"/>
  <c r="AJ142" i="13"/>
  <c r="X142" i="13"/>
  <c r="L142" i="13"/>
  <c r="DO142" i="13"/>
  <c r="DC142" i="13"/>
  <c r="CQ142" i="13"/>
  <c r="CE142" i="13"/>
  <c r="BS142" i="13"/>
  <c r="BG142" i="13"/>
  <c r="AU142" i="13"/>
  <c r="AI142" i="13"/>
  <c r="W142" i="13"/>
  <c r="K142" i="13"/>
  <c r="DN142" i="13"/>
  <c r="DB142" i="13"/>
  <c r="CP142" i="13"/>
  <c r="CD142" i="13"/>
  <c r="BR142" i="13"/>
  <c r="BF142" i="13"/>
  <c r="AT142" i="13"/>
  <c r="AH142" i="13"/>
  <c r="V142" i="13"/>
  <c r="J142" i="13"/>
  <c r="CM142" i="13"/>
  <c r="AQ142" i="13"/>
  <c r="CC142" i="13"/>
  <c r="AG142" i="13"/>
  <c r="CB142" i="13"/>
  <c r="AF142" i="13"/>
  <c r="CA142" i="13"/>
  <c r="AE142" i="13"/>
  <c r="DM142" i="13"/>
  <c r="BQ142" i="13"/>
  <c r="U142" i="13"/>
  <c r="DL142" i="13"/>
  <c r="BP142" i="13"/>
  <c r="T142" i="13"/>
  <c r="DK142" i="13"/>
  <c r="BO142" i="13"/>
  <c r="S142" i="13"/>
  <c r="DA142" i="13"/>
  <c r="BE142" i="13"/>
  <c r="I142" i="13"/>
  <c r="CZ142" i="13"/>
  <c r="BD142" i="13"/>
  <c r="H142" i="13"/>
  <c r="CY142" i="13"/>
  <c r="BC142" i="13"/>
  <c r="G142" i="13"/>
  <c r="CO142" i="13"/>
  <c r="CN142" i="13"/>
  <c r="AS142" i="13"/>
  <c r="AR142" i="13"/>
  <c r="DR36" i="13"/>
  <c r="DF36" i="13"/>
  <c r="CT36" i="13"/>
  <c r="CH36" i="13"/>
  <c r="BV36" i="13"/>
  <c r="BJ36" i="13"/>
  <c r="AX36" i="13"/>
  <c r="AL36" i="13"/>
  <c r="Z36" i="13"/>
  <c r="N36" i="13"/>
  <c r="DR35" i="13"/>
  <c r="DF35" i="13"/>
  <c r="CT35" i="13"/>
  <c r="CH35" i="13"/>
  <c r="BV35" i="13"/>
  <c r="BJ35" i="13"/>
  <c r="AX35" i="13"/>
  <c r="AL35" i="13"/>
  <c r="Z35" i="13"/>
  <c r="N35" i="13"/>
  <c r="DR34" i="13"/>
  <c r="DF34" i="13"/>
  <c r="CT34" i="13"/>
  <c r="CH34" i="13"/>
  <c r="BV34" i="13"/>
  <c r="BJ34" i="13"/>
  <c r="AX34" i="13"/>
  <c r="AL34" i="13"/>
  <c r="Z34" i="13"/>
  <c r="N34" i="13"/>
  <c r="DQ36" i="13"/>
  <c r="DE36" i="13"/>
  <c r="CS36" i="13"/>
  <c r="CG36" i="13"/>
  <c r="BU36" i="13"/>
  <c r="BI36" i="13"/>
  <c r="AW36" i="13"/>
  <c r="AK36" i="13"/>
  <c r="Y36" i="13"/>
  <c r="M36" i="13"/>
  <c r="DQ35" i="13"/>
  <c r="DE35" i="13"/>
  <c r="CS35" i="13"/>
  <c r="CG35" i="13"/>
  <c r="BU35" i="13"/>
  <c r="BI35" i="13"/>
  <c r="AW35" i="13"/>
  <c r="AK35" i="13"/>
  <c r="Y35" i="13"/>
  <c r="M35" i="13"/>
  <c r="DQ34" i="13"/>
  <c r="DE34" i="13"/>
  <c r="CS34" i="13"/>
  <c r="CG34" i="13"/>
  <c r="BU34" i="13"/>
  <c r="BI34" i="13"/>
  <c r="AW34" i="13"/>
  <c r="AK34" i="13"/>
  <c r="Y34" i="13"/>
  <c r="M34" i="13"/>
  <c r="DP36" i="13"/>
  <c r="DD36" i="13"/>
  <c r="CR36" i="13"/>
  <c r="CF36" i="13"/>
  <c r="BT36" i="13"/>
  <c r="BH36" i="13"/>
  <c r="AV36" i="13"/>
  <c r="AJ36" i="13"/>
  <c r="X36" i="13"/>
  <c r="L36" i="13"/>
  <c r="DP35" i="13"/>
  <c r="DD35" i="13"/>
  <c r="CR35" i="13"/>
  <c r="CF35" i="13"/>
  <c r="BT35" i="13"/>
  <c r="BH35" i="13"/>
  <c r="AV35" i="13"/>
  <c r="AJ35" i="13"/>
  <c r="X35" i="13"/>
  <c r="L35" i="13"/>
  <c r="DP34" i="13"/>
  <c r="DD34" i="13"/>
  <c r="CR34" i="13"/>
  <c r="CF34" i="13"/>
  <c r="BT34" i="13"/>
  <c r="BH34" i="13"/>
  <c r="AV34" i="13"/>
  <c r="AJ34" i="13"/>
  <c r="X34" i="13"/>
  <c r="DN36" i="13"/>
  <c r="DB36" i="13"/>
  <c r="CP36" i="13"/>
  <c r="CD36" i="13"/>
  <c r="BR36" i="13"/>
  <c r="BF36" i="13"/>
  <c r="AT36" i="13"/>
  <c r="AH36" i="13"/>
  <c r="V36" i="13"/>
  <c r="J36" i="13"/>
  <c r="DN35" i="13"/>
  <c r="DB35" i="13"/>
  <c r="CP35" i="13"/>
  <c r="CD35" i="13"/>
  <c r="BR35" i="13"/>
  <c r="BF35" i="13"/>
  <c r="AT35" i="13"/>
  <c r="AH35" i="13"/>
  <c r="V35" i="13"/>
  <c r="J35" i="13"/>
  <c r="DN34" i="13"/>
  <c r="DB34" i="13"/>
  <c r="CP34" i="13"/>
  <c r="CD34" i="13"/>
  <c r="BR34" i="13"/>
  <c r="BF34" i="13"/>
  <c r="AT34" i="13"/>
  <c r="AH34" i="13"/>
  <c r="V34" i="13"/>
  <c r="J34" i="13"/>
  <c r="DM36" i="13"/>
  <c r="DA36" i="13"/>
  <c r="CO36" i="13"/>
  <c r="CC36" i="13"/>
  <c r="BQ36" i="13"/>
  <c r="BE36" i="13"/>
  <c r="AS36" i="13"/>
  <c r="AG36" i="13"/>
  <c r="U36" i="13"/>
  <c r="I36" i="13"/>
  <c r="DM35" i="13"/>
  <c r="DA35" i="13"/>
  <c r="CO35" i="13"/>
  <c r="CC35" i="13"/>
  <c r="BQ35" i="13"/>
  <c r="BE35" i="13"/>
  <c r="AS35" i="13"/>
  <c r="AG35" i="13"/>
  <c r="U35" i="13"/>
  <c r="I35" i="13"/>
  <c r="DM34" i="13"/>
  <c r="DA34" i="13"/>
  <c r="CO34" i="13"/>
  <c r="CC34" i="13"/>
  <c r="BQ34" i="13"/>
  <c r="BE34" i="13"/>
  <c r="AS34" i="13"/>
  <c r="AG34" i="13"/>
  <c r="U34" i="13"/>
  <c r="I34" i="13"/>
  <c r="DL36" i="13"/>
  <c r="CZ36" i="13"/>
  <c r="CN36" i="13"/>
  <c r="CB36" i="13"/>
  <c r="BP36" i="13"/>
  <c r="BD36" i="13"/>
  <c r="AR36" i="13"/>
  <c r="AF36" i="13"/>
  <c r="T36" i="13"/>
  <c r="H36" i="13"/>
  <c r="DL35" i="13"/>
  <c r="CZ35" i="13"/>
  <c r="CN35" i="13"/>
  <c r="CB35" i="13"/>
  <c r="BP35" i="13"/>
  <c r="BD35" i="13"/>
  <c r="AR35" i="13"/>
  <c r="AF35" i="13"/>
  <c r="T35" i="13"/>
  <c r="H35" i="13"/>
  <c r="DL34" i="13"/>
  <c r="CZ34" i="13"/>
  <c r="CN34" i="13"/>
  <c r="DJ36" i="13"/>
  <c r="CX36" i="13"/>
  <c r="CL36" i="13"/>
  <c r="BZ36" i="13"/>
  <c r="BN36" i="13"/>
  <c r="BB36" i="13"/>
  <c r="AP36" i="13"/>
  <c r="AD36" i="13"/>
  <c r="R36" i="13"/>
  <c r="F36" i="13"/>
  <c r="DJ35" i="13"/>
  <c r="CX35" i="13"/>
  <c r="CL35" i="13"/>
  <c r="BZ35" i="13"/>
  <c r="BN35" i="13"/>
  <c r="BB35" i="13"/>
  <c r="AP35" i="13"/>
  <c r="AD35" i="13"/>
  <c r="R35" i="13"/>
  <c r="F35" i="13"/>
  <c r="DJ34" i="13"/>
  <c r="CX34" i="13"/>
  <c r="CL34" i="13"/>
  <c r="BZ34" i="13"/>
  <c r="BN34" i="13"/>
  <c r="BB34" i="13"/>
  <c r="AP34" i="13"/>
  <c r="AD34" i="13"/>
  <c r="R34" i="13"/>
  <c r="F34" i="13"/>
  <c r="DK36" i="13"/>
  <c r="CJ36" i="13"/>
  <c r="BG36" i="13"/>
  <c r="AC36" i="13"/>
  <c r="C36" i="13"/>
  <c r="CM35" i="13"/>
  <c r="BL35" i="13"/>
  <c r="AI35" i="13"/>
  <c r="E35" i="13"/>
  <c r="CU34" i="13"/>
  <c r="BS34" i="13"/>
  <c r="AU34" i="13"/>
  <c r="W34" i="13"/>
  <c r="C34" i="13"/>
  <c r="DI36" i="13"/>
  <c r="CI36" i="13"/>
  <c r="BC36" i="13"/>
  <c r="AB36" i="13"/>
  <c r="DO35" i="13"/>
  <c r="CK35" i="13"/>
  <c r="BK35" i="13"/>
  <c r="AE35" i="13"/>
  <c r="D35" i="13"/>
  <c r="CQ34" i="13"/>
  <c r="BP34" i="13"/>
  <c r="AR34" i="13"/>
  <c r="T34" i="13"/>
  <c r="DH36" i="13"/>
  <c r="CE36" i="13"/>
  <c r="BA36" i="13"/>
  <c r="AA36" i="13"/>
  <c r="DK35" i="13"/>
  <c r="CJ35" i="13"/>
  <c r="BG35" i="13"/>
  <c r="AC35" i="13"/>
  <c r="C35" i="13"/>
  <c r="CM34" i="13"/>
  <c r="BO34" i="13"/>
  <c r="AQ34" i="13"/>
  <c r="S34" i="13"/>
  <c r="DG36" i="13"/>
  <c r="CA36" i="13"/>
  <c r="AZ36" i="13"/>
  <c r="W36" i="13"/>
  <c r="DI35" i="13"/>
  <c r="CI35" i="13"/>
  <c r="BC35" i="13"/>
  <c r="AB35" i="13"/>
  <c r="DO34" i="13"/>
  <c r="CK34" i="13"/>
  <c r="BM34" i="13"/>
  <c r="AO34" i="13"/>
  <c r="Q34" i="13"/>
  <c r="DC36" i="13"/>
  <c r="BY36" i="13"/>
  <c r="AY36" i="13"/>
  <c r="S36" i="13"/>
  <c r="DH35" i="13"/>
  <c r="CE35" i="13"/>
  <c r="BA35" i="13"/>
  <c r="AA35" i="13"/>
  <c r="CY36" i="13"/>
  <c r="BX36" i="13"/>
  <c r="AU36" i="13"/>
  <c r="Q36" i="13"/>
  <c r="DG35" i="13"/>
  <c r="CA35" i="13"/>
  <c r="AZ35" i="13"/>
  <c r="W35" i="13"/>
  <c r="DI34" i="13"/>
  <c r="CI34" i="13"/>
  <c r="BK34" i="13"/>
  <c r="AM34" i="13"/>
  <c r="O34" i="13"/>
  <c r="CW36" i="13"/>
  <c r="BW36" i="13"/>
  <c r="AQ36" i="13"/>
  <c r="P36" i="13"/>
  <c r="DC35" i="13"/>
  <c r="BY35" i="13"/>
  <c r="AY35" i="13"/>
  <c r="S35" i="13"/>
  <c r="DH34" i="13"/>
  <c r="CE34" i="13"/>
  <c r="BG34" i="13"/>
  <c r="AI34" i="13"/>
  <c r="L34" i="13"/>
  <c r="CV36" i="13"/>
  <c r="BS36" i="13"/>
  <c r="AO36" i="13"/>
  <c r="O36" i="13"/>
  <c r="CY35" i="13"/>
  <c r="BX35" i="13"/>
  <c r="AU35" i="13"/>
  <c r="Q35" i="13"/>
  <c r="DG34" i="13"/>
  <c r="CB34" i="13"/>
  <c r="BD34" i="13"/>
  <c r="AF34" i="13"/>
  <c r="K34" i="13"/>
  <c r="CU36" i="13"/>
  <c r="BO36" i="13"/>
  <c r="AN36" i="13"/>
  <c r="K36" i="13"/>
  <c r="CW35" i="13"/>
  <c r="BW35" i="13"/>
  <c r="AQ35" i="13"/>
  <c r="P35" i="13"/>
  <c r="DC34" i="13"/>
  <c r="CA34" i="13"/>
  <c r="BC34" i="13"/>
  <c r="AE34" i="13"/>
  <c r="H34" i="13"/>
  <c r="AY34" i="13"/>
  <c r="G35" i="13"/>
  <c r="D36" i="13"/>
  <c r="DO36" i="13"/>
  <c r="AT54" i="13"/>
  <c r="AZ34" i="13"/>
  <c r="K35" i="13"/>
  <c r="E36" i="13"/>
  <c r="AV54" i="13"/>
  <c r="BA34" i="13"/>
  <c r="O35" i="13"/>
  <c r="G36" i="13"/>
  <c r="BL34" i="13"/>
  <c r="AM35" i="13"/>
  <c r="AE36" i="13"/>
  <c r="D34" i="13"/>
  <c r="BW34" i="13"/>
  <c r="AN35" i="13"/>
  <c r="AI36" i="13"/>
  <c r="C28" i="13"/>
  <c r="O28" i="13"/>
  <c r="AA28" i="13"/>
  <c r="AM28" i="13"/>
  <c r="AY28" i="13"/>
  <c r="BK28" i="13"/>
  <c r="BW28" i="13"/>
  <c r="CI28" i="13"/>
  <c r="CU28" i="13"/>
  <c r="DG28" i="13"/>
  <c r="C29" i="13"/>
  <c r="O29" i="13"/>
  <c r="AA29" i="13"/>
  <c r="AM29" i="13"/>
  <c r="AY29" i="13"/>
  <c r="BK29" i="13"/>
  <c r="BW29" i="13"/>
  <c r="CI29" i="13"/>
  <c r="CU29" i="13"/>
  <c r="DG29" i="13"/>
  <c r="C30" i="13"/>
  <c r="O30" i="13"/>
  <c r="AA30" i="13"/>
  <c r="AM30" i="13"/>
  <c r="AY30" i="13"/>
  <c r="BK30" i="13"/>
  <c r="BW30" i="13"/>
  <c r="CI30" i="13"/>
  <c r="CU30" i="13"/>
  <c r="DG30" i="13"/>
  <c r="Q40" i="13"/>
  <c r="BD40" i="13"/>
  <c r="CR40" i="13"/>
  <c r="O41" i="13"/>
  <c r="BE41" i="13"/>
  <c r="CW41" i="13"/>
  <c r="AK42" i="13"/>
  <c r="CT42" i="13"/>
  <c r="BL46" i="13"/>
  <c r="W47" i="13"/>
  <c r="CW47" i="13"/>
  <c r="BX48" i="13"/>
  <c r="D28" i="13"/>
  <c r="P28" i="13"/>
  <c r="AB28" i="13"/>
  <c r="AN28" i="13"/>
  <c r="AZ28" i="13"/>
  <c r="BL28" i="13"/>
  <c r="BX28" i="13"/>
  <c r="CJ28" i="13"/>
  <c r="CV28" i="13"/>
  <c r="DH28" i="13"/>
  <c r="D29" i="13"/>
  <c r="P29" i="13"/>
  <c r="AB29" i="13"/>
  <c r="AN29" i="13"/>
  <c r="AZ29" i="13"/>
  <c r="BL29" i="13"/>
  <c r="BX29" i="13"/>
  <c r="CJ29" i="13"/>
  <c r="CV29" i="13"/>
  <c r="DH29" i="13"/>
  <c r="D30" i="13"/>
  <c r="P30" i="13"/>
  <c r="AB30" i="13"/>
  <c r="AN30" i="13"/>
  <c r="AZ30" i="13"/>
  <c r="BL30" i="13"/>
  <c r="BX30" i="13"/>
  <c r="CJ30" i="13"/>
  <c r="CV30" i="13"/>
  <c r="DH30" i="13"/>
  <c r="X40" i="13"/>
  <c r="BK40" i="13"/>
  <c r="CX40" i="13"/>
  <c r="U41" i="13"/>
  <c r="BM41" i="13"/>
  <c r="DE41" i="13"/>
  <c r="AL42" i="13"/>
  <c r="CV42" i="13"/>
  <c r="BN46" i="13"/>
  <c r="Y47" i="13"/>
  <c r="CZ47" i="13"/>
  <c r="BY48" i="13"/>
  <c r="E28" i="13"/>
  <c r="Q28" i="13"/>
  <c r="AC28" i="13"/>
  <c r="AO28" i="13"/>
  <c r="BA28" i="13"/>
  <c r="BM28" i="13"/>
  <c r="BY28" i="13"/>
  <c r="CK28" i="13"/>
  <c r="CW28" i="13"/>
  <c r="DI28" i="13"/>
  <c r="E29" i="13"/>
  <c r="Q29" i="13"/>
  <c r="AC29" i="13"/>
  <c r="AO29" i="13"/>
  <c r="BA29" i="13"/>
  <c r="BM29" i="13"/>
  <c r="BY29" i="13"/>
  <c r="CK29" i="13"/>
  <c r="CW29" i="13"/>
  <c r="DI29" i="13"/>
  <c r="E30" i="13"/>
  <c r="Q30" i="13"/>
  <c r="AC30" i="13"/>
  <c r="AO30" i="13"/>
  <c r="BA30" i="13"/>
  <c r="BM30" i="13"/>
  <c r="BY30" i="13"/>
  <c r="CK30" i="13"/>
  <c r="CW30" i="13"/>
  <c r="DI30" i="13"/>
  <c r="AB40" i="13"/>
  <c r="BO40" i="13"/>
  <c r="DB40" i="13"/>
  <c r="AA41" i="13"/>
  <c r="BQ41" i="13"/>
  <c r="DI41" i="13"/>
  <c r="AM42" i="13"/>
  <c r="BP46" i="13"/>
  <c r="Z47" i="13"/>
  <c r="DA47" i="13"/>
  <c r="CF48" i="13"/>
  <c r="DP144" i="13"/>
  <c r="DD144" i="13"/>
  <c r="CR144" i="13"/>
  <c r="CF144" i="13"/>
  <c r="BT144" i="13"/>
  <c r="BH144" i="13"/>
  <c r="AV144" i="13"/>
  <c r="AJ144" i="13"/>
  <c r="DO144" i="13"/>
  <c r="DC144" i="13"/>
  <c r="CQ144" i="13"/>
  <c r="CE144" i="13"/>
  <c r="BS144" i="13"/>
  <c r="BG144" i="13"/>
  <c r="AU144" i="13"/>
  <c r="AI144" i="13"/>
  <c r="DN144" i="13"/>
  <c r="DB144" i="13"/>
  <c r="CP144" i="13"/>
  <c r="CD144" i="13"/>
  <c r="BR144" i="13"/>
  <c r="BF144" i="13"/>
  <c r="AT144" i="13"/>
  <c r="AH144" i="13"/>
  <c r="DL144" i="13"/>
  <c r="CZ144" i="13"/>
  <c r="CN144" i="13"/>
  <c r="CB144" i="13"/>
  <c r="BP144" i="13"/>
  <c r="BD144" i="13"/>
  <c r="AR144" i="13"/>
  <c r="AF144" i="13"/>
  <c r="DK144" i="13"/>
  <c r="CY144" i="13"/>
  <c r="CM144" i="13"/>
  <c r="CA144" i="13"/>
  <c r="BO144" i="13"/>
  <c r="BC144" i="13"/>
  <c r="AQ144" i="13"/>
  <c r="AE144" i="13"/>
  <c r="S144" i="13"/>
  <c r="DJ144" i="13"/>
  <c r="CX144" i="13"/>
  <c r="CL144" i="13"/>
  <c r="BZ144" i="13"/>
  <c r="BN144" i="13"/>
  <c r="BB144" i="13"/>
  <c r="AP144" i="13"/>
  <c r="AD144" i="13"/>
  <c r="DI144" i="13"/>
  <c r="CW144" i="13"/>
  <c r="CK144" i="13"/>
  <c r="BY144" i="13"/>
  <c r="BM144" i="13"/>
  <c r="BA144" i="13"/>
  <c r="AO144" i="13"/>
  <c r="DH144" i="13"/>
  <c r="CV144" i="13"/>
  <c r="CJ144" i="13"/>
  <c r="BX144" i="13"/>
  <c r="BL144" i="13"/>
  <c r="AZ144" i="13"/>
  <c r="AN144" i="13"/>
  <c r="AB144" i="13"/>
  <c r="DG144" i="13"/>
  <c r="CU144" i="13"/>
  <c r="CI144" i="13"/>
  <c r="BW144" i="13"/>
  <c r="BK144" i="13"/>
  <c r="AY144" i="13"/>
  <c r="AM144" i="13"/>
  <c r="AA144" i="13"/>
  <c r="CO144" i="13"/>
  <c r="AS144" i="13"/>
  <c r="R144" i="13"/>
  <c r="F144" i="13"/>
  <c r="CH144" i="13"/>
  <c r="AL144" i="13"/>
  <c r="Q144" i="13"/>
  <c r="E144" i="13"/>
  <c r="CG144" i="13"/>
  <c r="AK144" i="13"/>
  <c r="P144" i="13"/>
  <c r="D144" i="13"/>
  <c r="CC144" i="13"/>
  <c r="AG144" i="13"/>
  <c r="O144" i="13"/>
  <c r="C144" i="13"/>
  <c r="DR144" i="13"/>
  <c r="BV144" i="13"/>
  <c r="AC144" i="13"/>
  <c r="N144" i="13"/>
  <c r="DQ144" i="13"/>
  <c r="BU144" i="13"/>
  <c r="Z144" i="13"/>
  <c r="M144" i="13"/>
  <c r="DM144" i="13"/>
  <c r="BQ144" i="13"/>
  <c r="Y144" i="13"/>
  <c r="L144" i="13"/>
  <c r="DF144" i="13"/>
  <c r="BJ144" i="13"/>
  <c r="X144" i="13"/>
  <c r="K144" i="13"/>
  <c r="DE144" i="13"/>
  <c r="BI144" i="13"/>
  <c r="W144" i="13"/>
  <c r="J144" i="13"/>
  <c r="CS144" i="13"/>
  <c r="BE144" i="13"/>
  <c r="AX144" i="13"/>
  <c r="AW144" i="13"/>
  <c r="V144" i="13"/>
  <c r="U144" i="13"/>
  <c r="T144" i="13"/>
  <c r="I144" i="13"/>
  <c r="H144" i="13"/>
  <c r="G144" i="13"/>
  <c r="DA144" i="13"/>
  <c r="CT144" i="13"/>
  <c r="DG42" i="13"/>
  <c r="CU42" i="13"/>
  <c r="CI42" i="13"/>
  <c r="BW42" i="13"/>
  <c r="DQ42" i="13"/>
  <c r="DE42" i="13"/>
  <c r="CS42" i="13"/>
  <c r="DO42" i="13"/>
  <c r="DC42" i="13"/>
  <c r="CQ42" i="13"/>
  <c r="CE42" i="13"/>
  <c r="BS42" i="13"/>
  <c r="BG42" i="13"/>
  <c r="AU42" i="13"/>
  <c r="AI42" i="13"/>
  <c r="W42" i="13"/>
  <c r="K42" i="13"/>
  <c r="DO41" i="13"/>
  <c r="DC41" i="13"/>
  <c r="CQ41" i="13"/>
  <c r="CE41" i="13"/>
  <c r="BS41" i="13"/>
  <c r="BG41" i="13"/>
  <c r="AU41" i="13"/>
  <c r="AI41" i="13"/>
  <c r="W41" i="13"/>
  <c r="K41" i="13"/>
  <c r="DO40" i="13"/>
  <c r="DC40" i="13"/>
  <c r="CQ40" i="13"/>
  <c r="CE40" i="13"/>
  <c r="BS40" i="13"/>
  <c r="BG40" i="13"/>
  <c r="AU40" i="13"/>
  <c r="AI40" i="13"/>
  <c r="W40" i="13"/>
  <c r="K40" i="13"/>
  <c r="DN42" i="13"/>
  <c r="DB42" i="13"/>
  <c r="CP42" i="13"/>
  <c r="CD42" i="13"/>
  <c r="BR42" i="13"/>
  <c r="BF42" i="13"/>
  <c r="AT42" i="13"/>
  <c r="AH42" i="13"/>
  <c r="V42" i="13"/>
  <c r="J42" i="13"/>
  <c r="DN41" i="13"/>
  <c r="DB41" i="13"/>
  <c r="CP41" i="13"/>
  <c r="CD41" i="13"/>
  <c r="BR41" i="13"/>
  <c r="BF41" i="13"/>
  <c r="AT41" i="13"/>
  <c r="AH41" i="13"/>
  <c r="V41" i="13"/>
  <c r="DJ42" i="13"/>
  <c r="CR42" i="13"/>
  <c r="CA42" i="13"/>
  <c r="BL42" i="13"/>
  <c r="AX42" i="13"/>
  <c r="AJ42" i="13"/>
  <c r="T42" i="13"/>
  <c r="F42" i="13"/>
  <c r="DH41" i="13"/>
  <c r="CT41" i="13"/>
  <c r="CF41" i="13"/>
  <c r="BP41" i="13"/>
  <c r="BB41" i="13"/>
  <c r="AN41" i="13"/>
  <c r="Z41" i="13"/>
  <c r="L41" i="13"/>
  <c r="DN40" i="13"/>
  <c r="DA40" i="13"/>
  <c r="CN40" i="13"/>
  <c r="CA40" i="13"/>
  <c r="BN40" i="13"/>
  <c r="BA40" i="13"/>
  <c r="AN40" i="13"/>
  <c r="AA40" i="13"/>
  <c r="N40" i="13"/>
  <c r="DI42" i="13"/>
  <c r="CO42" i="13"/>
  <c r="BZ42" i="13"/>
  <c r="BK42" i="13"/>
  <c r="AW42" i="13"/>
  <c r="AG42" i="13"/>
  <c r="S42" i="13"/>
  <c r="E42" i="13"/>
  <c r="DG41" i="13"/>
  <c r="CS41" i="13"/>
  <c r="CC41" i="13"/>
  <c r="BO41" i="13"/>
  <c r="BA41" i="13"/>
  <c r="AM41" i="13"/>
  <c r="Y41" i="13"/>
  <c r="J41" i="13"/>
  <c r="DM40" i="13"/>
  <c r="CZ40" i="13"/>
  <c r="CM40" i="13"/>
  <c r="BZ40" i="13"/>
  <c r="BM40" i="13"/>
  <c r="AZ40" i="13"/>
  <c r="AM40" i="13"/>
  <c r="Z40" i="13"/>
  <c r="M40" i="13"/>
  <c r="DH42" i="13"/>
  <c r="CN42" i="13"/>
  <c r="BY42" i="13"/>
  <c r="BJ42" i="13"/>
  <c r="AV42" i="13"/>
  <c r="AF42" i="13"/>
  <c r="R42" i="13"/>
  <c r="D42" i="13"/>
  <c r="DF41" i="13"/>
  <c r="CR41" i="13"/>
  <c r="CB41" i="13"/>
  <c r="BN41" i="13"/>
  <c r="AZ41" i="13"/>
  <c r="AL41" i="13"/>
  <c r="X41" i="13"/>
  <c r="I41" i="13"/>
  <c r="DL40" i="13"/>
  <c r="CY40" i="13"/>
  <c r="CL40" i="13"/>
  <c r="BY40" i="13"/>
  <c r="BL40" i="13"/>
  <c r="AY40" i="13"/>
  <c r="AL40" i="13"/>
  <c r="Y40" i="13"/>
  <c r="L40" i="13"/>
  <c r="DF42" i="13"/>
  <c r="CM42" i="13"/>
  <c r="BX42" i="13"/>
  <c r="BI42" i="13"/>
  <c r="AS42" i="13"/>
  <c r="AE42" i="13"/>
  <c r="Q42" i="13"/>
  <c r="DD42" i="13"/>
  <c r="CL42" i="13"/>
  <c r="BV42" i="13"/>
  <c r="BH42" i="13"/>
  <c r="AR42" i="13"/>
  <c r="AD42" i="13"/>
  <c r="P42" i="13"/>
  <c r="DR41" i="13"/>
  <c r="DD41" i="13"/>
  <c r="CN41" i="13"/>
  <c r="BZ41" i="13"/>
  <c r="BL41" i="13"/>
  <c r="AX41" i="13"/>
  <c r="AJ41" i="13"/>
  <c r="T41" i="13"/>
  <c r="G41" i="13"/>
  <c r="DJ40" i="13"/>
  <c r="CW40" i="13"/>
  <c r="CJ40" i="13"/>
  <c r="BW40" i="13"/>
  <c r="BJ40" i="13"/>
  <c r="AW40" i="13"/>
  <c r="AJ40" i="13"/>
  <c r="V40" i="13"/>
  <c r="I40" i="13"/>
  <c r="DA42" i="13"/>
  <c r="CK42" i="13"/>
  <c r="BU42" i="13"/>
  <c r="BE42" i="13"/>
  <c r="AQ42" i="13"/>
  <c r="AC42" i="13"/>
  <c r="O42" i="13"/>
  <c r="DQ41" i="13"/>
  <c r="DA41" i="13"/>
  <c r="CM41" i="13"/>
  <c r="BY41" i="13"/>
  <c r="BK41" i="13"/>
  <c r="AW41" i="13"/>
  <c r="AG41" i="13"/>
  <c r="S41" i="13"/>
  <c r="F41" i="13"/>
  <c r="DI40" i="13"/>
  <c r="CV40" i="13"/>
  <c r="CI40" i="13"/>
  <c r="BV40" i="13"/>
  <c r="BI40" i="13"/>
  <c r="AV40" i="13"/>
  <c r="AH40" i="13"/>
  <c r="U40" i="13"/>
  <c r="H40" i="13"/>
  <c r="CZ42" i="13"/>
  <c r="CJ42" i="13"/>
  <c r="BT42" i="13"/>
  <c r="BD42" i="13"/>
  <c r="AP42" i="13"/>
  <c r="AB42" i="13"/>
  <c r="N42" i="13"/>
  <c r="DP41" i="13"/>
  <c r="CZ41" i="13"/>
  <c r="CL41" i="13"/>
  <c r="BX41" i="13"/>
  <c r="BJ41" i="13"/>
  <c r="AV41" i="13"/>
  <c r="AF41" i="13"/>
  <c r="R41" i="13"/>
  <c r="E41" i="13"/>
  <c r="DH40" i="13"/>
  <c r="CU40" i="13"/>
  <c r="CH40" i="13"/>
  <c r="BU40" i="13"/>
  <c r="BH40" i="13"/>
  <c r="AT40" i="13"/>
  <c r="AG40" i="13"/>
  <c r="T40" i="13"/>
  <c r="G40" i="13"/>
  <c r="DR42" i="13"/>
  <c r="CY42" i="13"/>
  <c r="CH42" i="13"/>
  <c r="BQ42" i="13"/>
  <c r="BC42" i="13"/>
  <c r="AO42" i="13"/>
  <c r="AA42" i="13"/>
  <c r="M42" i="13"/>
  <c r="DM41" i="13"/>
  <c r="CY41" i="13"/>
  <c r="CK41" i="13"/>
  <c r="BW41" i="13"/>
  <c r="BI41" i="13"/>
  <c r="AS41" i="13"/>
  <c r="AE41" i="13"/>
  <c r="Q41" i="13"/>
  <c r="D41" i="13"/>
  <c r="DG40" i="13"/>
  <c r="CT40" i="13"/>
  <c r="CG40" i="13"/>
  <c r="BT40" i="13"/>
  <c r="BF40" i="13"/>
  <c r="AS40" i="13"/>
  <c r="AF40" i="13"/>
  <c r="S40" i="13"/>
  <c r="F40" i="13"/>
  <c r="DP42" i="13"/>
  <c r="CX42" i="13"/>
  <c r="CG42" i="13"/>
  <c r="BP42" i="13"/>
  <c r="BB42" i="13"/>
  <c r="AN42" i="13"/>
  <c r="Z42" i="13"/>
  <c r="L42" i="13"/>
  <c r="DL41" i="13"/>
  <c r="CX41" i="13"/>
  <c r="CJ41" i="13"/>
  <c r="BV41" i="13"/>
  <c r="BH41" i="13"/>
  <c r="AR41" i="13"/>
  <c r="AD41" i="13"/>
  <c r="P41" i="13"/>
  <c r="C41" i="13"/>
  <c r="DF40" i="13"/>
  <c r="CS40" i="13"/>
  <c r="CF40" i="13"/>
  <c r="BR40" i="13"/>
  <c r="BE40" i="13"/>
  <c r="AR40" i="13"/>
  <c r="AE40" i="13"/>
  <c r="R40" i="13"/>
  <c r="E40" i="13"/>
  <c r="F28" i="13"/>
  <c r="R28" i="13"/>
  <c r="AD28" i="13"/>
  <c r="AP28" i="13"/>
  <c r="BB28" i="13"/>
  <c r="BN28" i="13"/>
  <c r="BZ28" i="13"/>
  <c r="CL28" i="13"/>
  <c r="CX28" i="13"/>
  <c r="DJ28" i="13"/>
  <c r="F29" i="13"/>
  <c r="R29" i="13"/>
  <c r="AD29" i="13"/>
  <c r="AP29" i="13"/>
  <c r="BB29" i="13"/>
  <c r="BN29" i="13"/>
  <c r="BZ29" i="13"/>
  <c r="CL29" i="13"/>
  <c r="CX29" i="13"/>
  <c r="DJ29" i="13"/>
  <c r="F30" i="13"/>
  <c r="R30" i="13"/>
  <c r="AD30" i="13"/>
  <c r="AP30" i="13"/>
  <c r="BB30" i="13"/>
  <c r="BN30" i="13"/>
  <c r="BZ30" i="13"/>
  <c r="CL30" i="13"/>
  <c r="CX30" i="13"/>
  <c r="DJ30" i="13"/>
  <c r="AC40" i="13"/>
  <c r="BP40" i="13"/>
  <c r="DD40" i="13"/>
  <c r="AB41" i="13"/>
  <c r="BT41" i="13"/>
  <c r="DJ41" i="13"/>
  <c r="AY42" i="13"/>
  <c r="DK42" i="13"/>
  <c r="D46" i="13"/>
  <c r="CE46" i="13"/>
  <c r="AO47" i="13"/>
  <c r="DP47" i="13"/>
  <c r="DF48" i="13"/>
  <c r="E46" i="13"/>
  <c r="CF46" i="13"/>
  <c r="AP47" i="13"/>
  <c r="DQ47" i="13"/>
  <c r="DH48" i="13"/>
  <c r="BA42" i="13"/>
  <c r="DM42" i="13"/>
  <c r="F46" i="13"/>
  <c r="CG46" i="13"/>
  <c r="AR47" i="13"/>
  <c r="DR47" i="13"/>
  <c r="DJ48" i="13"/>
  <c r="I28" i="13"/>
  <c r="U28" i="13"/>
  <c r="AG28" i="13"/>
  <c r="AS28" i="13"/>
  <c r="BE28" i="13"/>
  <c r="BQ28" i="13"/>
  <c r="CC28" i="13"/>
  <c r="CO28" i="13"/>
  <c r="DA28" i="13"/>
  <c r="DM28" i="13"/>
  <c r="I29" i="13"/>
  <c r="U29" i="13"/>
  <c r="AG29" i="13"/>
  <c r="AS29" i="13"/>
  <c r="BE29" i="13"/>
  <c r="BQ29" i="13"/>
  <c r="CC29" i="13"/>
  <c r="CO29" i="13"/>
  <c r="DA29" i="13"/>
  <c r="DM29" i="13"/>
  <c r="I30" i="13"/>
  <c r="U30" i="13"/>
  <c r="AG30" i="13"/>
  <c r="AS30" i="13"/>
  <c r="BE30" i="13"/>
  <c r="BQ30" i="13"/>
  <c r="CC30" i="13"/>
  <c r="CO30" i="13"/>
  <c r="DA30" i="13"/>
  <c r="AO40" i="13"/>
  <c r="CB40" i="13"/>
  <c r="DP40" i="13"/>
  <c r="AO41" i="13"/>
  <c r="CG41" i="13"/>
  <c r="G42" i="13"/>
  <c r="BM42" i="13"/>
  <c r="Y46" i="13"/>
  <c r="CZ46" i="13"/>
  <c r="BJ47" i="13"/>
  <c r="DJ140" i="13"/>
  <c r="CX140" i="13"/>
  <c r="CL140" i="13"/>
  <c r="BZ140" i="13"/>
  <c r="BN140" i="13"/>
  <c r="BB140" i="13"/>
  <c r="AP140" i="13"/>
  <c r="AD140" i="13"/>
  <c r="R140" i="13"/>
  <c r="F140" i="13"/>
  <c r="DI140" i="13"/>
  <c r="CW140" i="13"/>
  <c r="CK140" i="13"/>
  <c r="BY140" i="13"/>
  <c r="BM140" i="13"/>
  <c r="BA140" i="13"/>
  <c r="AO140" i="13"/>
  <c r="AC140" i="13"/>
  <c r="Q140" i="13"/>
  <c r="E140" i="13"/>
  <c r="DH140" i="13"/>
  <c r="CV140" i="13"/>
  <c r="CJ140" i="13"/>
  <c r="BX140" i="13"/>
  <c r="BL140" i="13"/>
  <c r="AZ140" i="13"/>
  <c r="AN140" i="13"/>
  <c r="AB140" i="13"/>
  <c r="P140" i="13"/>
  <c r="D140" i="13"/>
  <c r="DG140" i="13"/>
  <c r="CU140" i="13"/>
  <c r="CI140" i="13"/>
  <c r="BW140" i="13"/>
  <c r="BK140" i="13"/>
  <c r="AY140" i="13"/>
  <c r="AM140" i="13"/>
  <c r="AA140" i="13"/>
  <c r="O140" i="13"/>
  <c r="C140" i="13"/>
  <c r="DR140" i="13"/>
  <c r="DF140" i="13"/>
  <c r="CT140" i="13"/>
  <c r="CH140" i="13"/>
  <c r="BV140" i="13"/>
  <c r="BJ140" i="13"/>
  <c r="AX140" i="13"/>
  <c r="AL140" i="13"/>
  <c r="Z140" i="13"/>
  <c r="N140" i="13"/>
  <c r="DQ140" i="13"/>
  <c r="DE140" i="13"/>
  <c r="CS140" i="13"/>
  <c r="CG140" i="13"/>
  <c r="BU140" i="13"/>
  <c r="BI140" i="13"/>
  <c r="AW140" i="13"/>
  <c r="AK140" i="13"/>
  <c r="Y140" i="13"/>
  <c r="M140" i="13"/>
  <c r="DP140" i="13"/>
  <c r="DD140" i="13"/>
  <c r="CR140" i="13"/>
  <c r="CF140" i="13"/>
  <c r="BT140" i="13"/>
  <c r="BH140" i="13"/>
  <c r="AV140" i="13"/>
  <c r="AJ140" i="13"/>
  <c r="X140" i="13"/>
  <c r="L140" i="13"/>
  <c r="DO140" i="13"/>
  <c r="DC140" i="13"/>
  <c r="CQ140" i="13"/>
  <c r="CE140" i="13"/>
  <c r="BS140" i="13"/>
  <c r="BG140" i="13"/>
  <c r="AU140" i="13"/>
  <c r="AI140" i="13"/>
  <c r="W140" i="13"/>
  <c r="K140" i="13"/>
  <c r="DN140" i="13"/>
  <c r="DB140" i="13"/>
  <c r="CP140" i="13"/>
  <c r="CD140" i="13"/>
  <c r="BR140" i="13"/>
  <c r="BF140" i="13"/>
  <c r="AT140" i="13"/>
  <c r="AH140" i="13"/>
  <c r="V140" i="13"/>
  <c r="J140" i="13"/>
  <c r="CM140" i="13"/>
  <c r="AQ140" i="13"/>
  <c r="CC140" i="13"/>
  <c r="AG140" i="13"/>
  <c r="CB140" i="13"/>
  <c r="AF140" i="13"/>
  <c r="CA140" i="13"/>
  <c r="AE140" i="13"/>
  <c r="DM140" i="13"/>
  <c r="BQ140" i="13"/>
  <c r="U140" i="13"/>
  <c r="DL140" i="13"/>
  <c r="BP140" i="13"/>
  <c r="T140" i="13"/>
  <c r="DK140" i="13"/>
  <c r="BO140" i="13"/>
  <c r="S140" i="13"/>
  <c r="DA140" i="13"/>
  <c r="BE140" i="13"/>
  <c r="I140" i="13"/>
  <c r="CZ140" i="13"/>
  <c r="BD140" i="13"/>
  <c r="H140" i="13"/>
  <c r="CY140" i="13"/>
  <c r="BC140" i="13"/>
  <c r="G140" i="13"/>
  <c r="CO140" i="13"/>
  <c r="CN140" i="13"/>
  <c r="AS140" i="13"/>
  <c r="AR140" i="13"/>
  <c r="DP146" i="13"/>
  <c r="DD146" i="13"/>
  <c r="CR146" i="13"/>
  <c r="CF146" i="13"/>
  <c r="BT146" i="13"/>
  <c r="BH146" i="13"/>
  <c r="AV146" i="13"/>
  <c r="AJ146" i="13"/>
  <c r="X146" i="13"/>
  <c r="L146" i="13"/>
  <c r="DO146" i="13"/>
  <c r="DC146" i="13"/>
  <c r="CQ146" i="13"/>
  <c r="CE146" i="13"/>
  <c r="BS146" i="13"/>
  <c r="BG146" i="13"/>
  <c r="AU146" i="13"/>
  <c r="AI146" i="13"/>
  <c r="W146" i="13"/>
  <c r="K146" i="13"/>
  <c r="DN146" i="13"/>
  <c r="DB146" i="13"/>
  <c r="CP146" i="13"/>
  <c r="CD146" i="13"/>
  <c r="BR146" i="13"/>
  <c r="BF146" i="13"/>
  <c r="AT146" i="13"/>
  <c r="AH146" i="13"/>
  <c r="V146" i="13"/>
  <c r="J146" i="13"/>
  <c r="DL146" i="13"/>
  <c r="CZ146" i="13"/>
  <c r="CN146" i="13"/>
  <c r="CB146" i="13"/>
  <c r="BP146" i="13"/>
  <c r="BD146" i="13"/>
  <c r="AR146" i="13"/>
  <c r="AF146" i="13"/>
  <c r="T146" i="13"/>
  <c r="H146" i="13"/>
  <c r="DK146" i="13"/>
  <c r="CY146" i="13"/>
  <c r="CM146" i="13"/>
  <c r="CA146" i="13"/>
  <c r="BO146" i="13"/>
  <c r="BC146" i="13"/>
  <c r="AQ146" i="13"/>
  <c r="AE146" i="13"/>
  <c r="S146" i="13"/>
  <c r="G146" i="13"/>
  <c r="DJ146" i="13"/>
  <c r="CX146" i="13"/>
  <c r="CL146" i="13"/>
  <c r="BZ146" i="13"/>
  <c r="BN146" i="13"/>
  <c r="BB146" i="13"/>
  <c r="AP146" i="13"/>
  <c r="AD146" i="13"/>
  <c r="R146" i="13"/>
  <c r="F146" i="13"/>
  <c r="DI146" i="13"/>
  <c r="CW146" i="13"/>
  <c r="CK146" i="13"/>
  <c r="BY146" i="13"/>
  <c r="BM146" i="13"/>
  <c r="BA146" i="13"/>
  <c r="AO146" i="13"/>
  <c r="AC146" i="13"/>
  <c r="Q146" i="13"/>
  <c r="E146" i="13"/>
  <c r="DH146" i="13"/>
  <c r="CV146" i="13"/>
  <c r="CJ146" i="13"/>
  <c r="BX146" i="13"/>
  <c r="BL146" i="13"/>
  <c r="AZ146" i="13"/>
  <c r="AN146" i="13"/>
  <c r="AB146" i="13"/>
  <c r="P146" i="13"/>
  <c r="D146" i="13"/>
  <c r="DG146" i="13"/>
  <c r="CU146" i="13"/>
  <c r="CI146" i="13"/>
  <c r="BW146" i="13"/>
  <c r="BK146" i="13"/>
  <c r="AY146" i="13"/>
  <c r="AM146" i="13"/>
  <c r="AA146" i="13"/>
  <c r="O146" i="13"/>
  <c r="C146" i="13"/>
  <c r="CO146" i="13"/>
  <c r="AS146" i="13"/>
  <c r="CH146" i="13"/>
  <c r="AL146" i="13"/>
  <c r="CG146" i="13"/>
  <c r="AK146" i="13"/>
  <c r="CC146" i="13"/>
  <c r="AG146" i="13"/>
  <c r="DR146" i="13"/>
  <c r="BV146" i="13"/>
  <c r="Z146" i="13"/>
  <c r="DQ146" i="13"/>
  <c r="BU146" i="13"/>
  <c r="Y146" i="13"/>
  <c r="DM146" i="13"/>
  <c r="BQ146" i="13"/>
  <c r="U146" i="13"/>
  <c r="DF146" i="13"/>
  <c r="BJ146" i="13"/>
  <c r="N146" i="13"/>
  <c r="DE146" i="13"/>
  <c r="BI146" i="13"/>
  <c r="M146" i="13"/>
  <c r="AW146" i="13"/>
  <c r="I146" i="13"/>
  <c r="DA146" i="13"/>
  <c r="CT146" i="13"/>
  <c r="CS146" i="13"/>
  <c r="DK48" i="13"/>
  <c r="CY48" i="13"/>
  <c r="CM48" i="13"/>
  <c r="CA48" i="13"/>
  <c r="BO48" i="13"/>
  <c r="BC48" i="13"/>
  <c r="AQ48" i="13"/>
  <c r="AE48" i="13"/>
  <c r="S48" i="13"/>
  <c r="G48" i="13"/>
  <c r="DK47" i="13"/>
  <c r="CY47" i="13"/>
  <c r="CM47" i="13"/>
  <c r="CA47" i="13"/>
  <c r="BO47" i="13"/>
  <c r="BC47" i="13"/>
  <c r="AQ47" i="13"/>
  <c r="AE47" i="13"/>
  <c r="S47" i="13"/>
  <c r="G47" i="13"/>
  <c r="DK46" i="13"/>
  <c r="CY46" i="13"/>
  <c r="CM46" i="13"/>
  <c r="CA46" i="13"/>
  <c r="BO46" i="13"/>
  <c r="BC46" i="13"/>
  <c r="AQ46" i="13"/>
  <c r="AE46" i="13"/>
  <c r="S46" i="13"/>
  <c r="G46" i="13"/>
  <c r="BE146" i="13"/>
  <c r="AX146" i="13"/>
  <c r="DI48" i="13"/>
  <c r="CV48" i="13"/>
  <c r="CI48" i="13"/>
  <c r="BV48" i="13"/>
  <c r="BI48" i="13"/>
  <c r="AV48" i="13"/>
  <c r="AI48" i="13"/>
  <c r="V48" i="13"/>
  <c r="I48" i="13"/>
  <c r="DL47" i="13"/>
  <c r="CX47" i="13"/>
  <c r="CK47" i="13"/>
  <c r="BX47" i="13"/>
  <c r="BK47" i="13"/>
  <c r="AX47" i="13"/>
  <c r="AK47" i="13"/>
  <c r="X47" i="13"/>
  <c r="K47" i="13"/>
  <c r="DN46" i="13"/>
  <c r="DA46" i="13"/>
  <c r="CN46" i="13"/>
  <c r="BZ46" i="13"/>
  <c r="BM46" i="13"/>
  <c r="AZ46" i="13"/>
  <c r="AM46" i="13"/>
  <c r="Z46" i="13"/>
  <c r="M46" i="13"/>
  <c r="DG48" i="13"/>
  <c r="CT48" i="13"/>
  <c r="CG48" i="13"/>
  <c r="BT48" i="13"/>
  <c r="BG48" i="13"/>
  <c r="AT48" i="13"/>
  <c r="AG48" i="13"/>
  <c r="T48" i="13"/>
  <c r="F48" i="13"/>
  <c r="DI47" i="13"/>
  <c r="CV47" i="13"/>
  <c r="CI47" i="13"/>
  <c r="BV47" i="13"/>
  <c r="BI47" i="13"/>
  <c r="AV47" i="13"/>
  <c r="AI47" i="13"/>
  <c r="V47" i="13"/>
  <c r="I47" i="13"/>
  <c r="DL46" i="13"/>
  <c r="CX46" i="13"/>
  <c r="CK46" i="13"/>
  <c r="BX46" i="13"/>
  <c r="BK46" i="13"/>
  <c r="AX46" i="13"/>
  <c r="AK46" i="13"/>
  <c r="X46" i="13"/>
  <c r="K46" i="13"/>
  <c r="DR48" i="13"/>
  <c r="DE48" i="13"/>
  <c r="CR48" i="13"/>
  <c r="CE48" i="13"/>
  <c r="BR48" i="13"/>
  <c r="BE48" i="13"/>
  <c r="AR48" i="13"/>
  <c r="AD48" i="13"/>
  <c r="Q48" i="13"/>
  <c r="D48" i="13"/>
  <c r="DG47" i="13"/>
  <c r="CT47" i="13"/>
  <c r="CG47" i="13"/>
  <c r="BT47" i="13"/>
  <c r="BG47" i="13"/>
  <c r="AT47" i="13"/>
  <c r="AG47" i="13"/>
  <c r="T47" i="13"/>
  <c r="F47" i="13"/>
  <c r="DI46" i="13"/>
  <c r="CV46" i="13"/>
  <c r="CI46" i="13"/>
  <c r="BV46" i="13"/>
  <c r="BI46" i="13"/>
  <c r="AV46" i="13"/>
  <c r="AI46" i="13"/>
  <c r="V46" i="13"/>
  <c r="I46" i="13"/>
  <c r="DQ48" i="13"/>
  <c r="DD48" i="13"/>
  <c r="CQ48" i="13"/>
  <c r="CD48" i="13"/>
  <c r="BQ48" i="13"/>
  <c r="BD48" i="13"/>
  <c r="AP48" i="13"/>
  <c r="AC48" i="13"/>
  <c r="P48" i="13"/>
  <c r="C48" i="13"/>
  <c r="DF47" i="13"/>
  <c r="CS47" i="13"/>
  <c r="CF47" i="13"/>
  <c r="BS47" i="13"/>
  <c r="BF47" i="13"/>
  <c r="AS47" i="13"/>
  <c r="AF47" i="13"/>
  <c r="R47" i="13"/>
  <c r="E47" i="13"/>
  <c r="DH46" i="13"/>
  <c r="CU46" i="13"/>
  <c r="CH46" i="13"/>
  <c r="BU46" i="13"/>
  <c r="BH46" i="13"/>
  <c r="AU46" i="13"/>
  <c r="AH46" i="13"/>
  <c r="U46" i="13"/>
  <c r="H46" i="13"/>
  <c r="DP48" i="13"/>
  <c r="DC48" i="13"/>
  <c r="CP48" i="13"/>
  <c r="CC48" i="13"/>
  <c r="BP48" i="13"/>
  <c r="DO48" i="13"/>
  <c r="DB48" i="13"/>
  <c r="CO48" i="13"/>
  <c r="CB48" i="13"/>
  <c r="BN48" i="13"/>
  <c r="BA48" i="13"/>
  <c r="AN48" i="13"/>
  <c r="AA48" i="13"/>
  <c r="N48" i="13"/>
  <c r="DN48" i="13"/>
  <c r="DA48" i="13"/>
  <c r="CN48" i="13"/>
  <c r="BZ48" i="13"/>
  <c r="BM48" i="13"/>
  <c r="AZ48" i="13"/>
  <c r="AM48" i="13"/>
  <c r="Z48" i="13"/>
  <c r="CZ48" i="13"/>
  <c r="BW48" i="13"/>
  <c r="AU48" i="13"/>
  <c r="U48" i="13"/>
  <c r="DO47" i="13"/>
  <c r="CU47" i="13"/>
  <c r="CB47" i="13"/>
  <c r="BH47" i="13"/>
  <c r="AN47" i="13"/>
  <c r="U47" i="13"/>
  <c r="DQ46" i="13"/>
  <c r="CW46" i="13"/>
  <c r="CD46" i="13"/>
  <c r="BJ46" i="13"/>
  <c r="AP46" i="13"/>
  <c r="W46" i="13"/>
  <c r="C46" i="13"/>
  <c r="CX48" i="13"/>
  <c r="BU48" i="13"/>
  <c r="AS48" i="13"/>
  <c r="R48" i="13"/>
  <c r="DN47" i="13"/>
  <c r="CR47" i="13"/>
  <c r="BZ47" i="13"/>
  <c r="BE47" i="13"/>
  <c r="AM47" i="13"/>
  <c r="Q47" i="13"/>
  <c r="DP46" i="13"/>
  <c r="CT46" i="13"/>
  <c r="CC46" i="13"/>
  <c r="BG46" i="13"/>
  <c r="AO46" i="13"/>
  <c r="T46" i="13"/>
  <c r="CW48" i="13"/>
  <c r="BS48" i="13"/>
  <c r="AO48" i="13"/>
  <c r="O48" i="13"/>
  <c r="DM47" i="13"/>
  <c r="CQ47" i="13"/>
  <c r="BY47" i="13"/>
  <c r="BD47" i="13"/>
  <c r="AL47" i="13"/>
  <c r="P47" i="13"/>
  <c r="DO46" i="13"/>
  <c r="CS46" i="13"/>
  <c r="CB46" i="13"/>
  <c r="BF46" i="13"/>
  <c r="AN46" i="13"/>
  <c r="R46" i="13"/>
  <c r="CU48" i="13"/>
  <c r="BL48" i="13"/>
  <c r="AL48" i="13"/>
  <c r="M48" i="13"/>
  <c r="DJ47" i="13"/>
  <c r="CP47" i="13"/>
  <c r="BW47" i="13"/>
  <c r="BB47" i="13"/>
  <c r="AJ47" i="13"/>
  <c r="O47" i="13"/>
  <c r="DM46" i="13"/>
  <c r="CR46" i="13"/>
  <c r="BY46" i="13"/>
  <c r="BE46" i="13"/>
  <c r="AL46" i="13"/>
  <c r="Q46" i="13"/>
  <c r="CS48" i="13"/>
  <c r="BK48" i="13"/>
  <c r="AK48" i="13"/>
  <c r="L48" i="13"/>
  <c r="DH47" i="13"/>
  <c r="CO47" i="13"/>
  <c r="BU47" i="13"/>
  <c r="BA47" i="13"/>
  <c r="AH47" i="13"/>
  <c r="N47" i="13"/>
  <c r="DJ46" i="13"/>
  <c r="CQ46" i="13"/>
  <c r="BW46" i="13"/>
  <c r="BD46" i="13"/>
  <c r="AJ46" i="13"/>
  <c r="P46" i="13"/>
  <c r="CL48" i="13"/>
  <c r="BJ48" i="13"/>
  <c r="AJ48" i="13"/>
  <c r="K48" i="13"/>
  <c r="DE47" i="13"/>
  <c r="CN47" i="13"/>
  <c r="BR47" i="13"/>
  <c r="AZ47" i="13"/>
  <c r="AD47" i="13"/>
  <c r="M47" i="13"/>
  <c r="DG46" i="13"/>
  <c r="CP46" i="13"/>
  <c r="BT46" i="13"/>
  <c r="BB46" i="13"/>
  <c r="AG46" i="13"/>
  <c r="O46" i="13"/>
  <c r="CK48" i="13"/>
  <c r="BH48" i="13"/>
  <c r="AH48" i="13"/>
  <c r="J48" i="13"/>
  <c r="DD47" i="13"/>
  <c r="CL47" i="13"/>
  <c r="BQ47" i="13"/>
  <c r="AY47" i="13"/>
  <c r="AC47" i="13"/>
  <c r="L47" i="13"/>
  <c r="DF46" i="13"/>
  <c r="CO46" i="13"/>
  <c r="BS46" i="13"/>
  <c r="BA46" i="13"/>
  <c r="AF46" i="13"/>
  <c r="N46" i="13"/>
  <c r="DM48" i="13"/>
  <c r="CJ48" i="13"/>
  <c r="BF48" i="13"/>
  <c r="AF48" i="13"/>
  <c r="H48" i="13"/>
  <c r="DC47" i="13"/>
  <c r="CJ47" i="13"/>
  <c r="BP47" i="13"/>
  <c r="AW47" i="13"/>
  <c r="AB47" i="13"/>
  <c r="J47" i="13"/>
  <c r="DE46" i="13"/>
  <c r="CL46" i="13"/>
  <c r="BR46" i="13"/>
  <c r="AY46" i="13"/>
  <c r="AD46" i="13"/>
  <c r="L46" i="13"/>
  <c r="DL48" i="13"/>
  <c r="CH48" i="13"/>
  <c r="BB48" i="13"/>
  <c r="AB48" i="13"/>
  <c r="E48" i="13"/>
  <c r="DB47" i="13"/>
  <c r="CH47" i="13"/>
  <c r="BN47" i="13"/>
  <c r="AU47" i="13"/>
  <c r="AA47" i="13"/>
  <c r="H47" i="13"/>
  <c r="DD46" i="13"/>
  <c r="CJ46" i="13"/>
  <c r="BQ46" i="13"/>
  <c r="AW46" i="13"/>
  <c r="AC46" i="13"/>
  <c r="J46" i="13"/>
  <c r="J28" i="13"/>
  <c r="V28" i="13"/>
  <c r="AH28" i="13"/>
  <c r="AT28" i="13"/>
  <c r="BF28" i="13"/>
  <c r="BR28" i="13"/>
  <c r="CD28" i="13"/>
  <c r="CP28" i="13"/>
  <c r="DB28" i="13"/>
  <c r="DN28" i="13"/>
  <c r="J29" i="13"/>
  <c r="V29" i="13"/>
  <c r="AH29" i="13"/>
  <c r="AT29" i="13"/>
  <c r="BF29" i="13"/>
  <c r="BR29" i="13"/>
  <c r="CD29" i="13"/>
  <c r="CP29" i="13"/>
  <c r="DB29" i="13"/>
  <c r="DN29" i="13"/>
  <c r="J30" i="13"/>
  <c r="V30" i="13"/>
  <c r="AH30" i="13"/>
  <c r="AT30" i="13"/>
  <c r="BF30" i="13"/>
  <c r="BR30" i="13"/>
  <c r="CD30" i="13"/>
  <c r="CP30" i="13"/>
  <c r="DB30" i="13"/>
  <c r="DN30" i="13"/>
  <c r="C40" i="13"/>
  <c r="AP40" i="13"/>
  <c r="CC40" i="13"/>
  <c r="DQ40" i="13"/>
  <c r="AP41" i="13"/>
  <c r="CH41" i="13"/>
  <c r="H42" i="13"/>
  <c r="BN42" i="13"/>
  <c r="AA46" i="13"/>
  <c r="DB46" i="13"/>
  <c r="BL47" i="13"/>
  <c r="X48" i="13"/>
  <c r="K28" i="13"/>
  <c r="W28" i="13"/>
  <c r="AI28" i="13"/>
  <c r="AU28" i="13"/>
  <c r="BG28" i="13"/>
  <c r="BS28" i="13"/>
  <c r="CE28" i="13"/>
  <c r="CQ28" i="13"/>
  <c r="DC28" i="13"/>
  <c r="DO28" i="13"/>
  <c r="K29" i="13"/>
  <c r="W29" i="13"/>
  <c r="AI29" i="13"/>
  <c r="AU29" i="13"/>
  <c r="BG29" i="13"/>
  <c r="BS29" i="13"/>
  <c r="CE29" i="13"/>
  <c r="CQ29" i="13"/>
  <c r="DC29" i="13"/>
  <c r="DO29" i="13"/>
  <c r="K30" i="13"/>
  <c r="W30" i="13"/>
  <c r="AI30" i="13"/>
  <c r="AU30" i="13"/>
  <c r="BG30" i="13"/>
  <c r="BS30" i="13"/>
  <c r="CE30" i="13"/>
  <c r="CQ30" i="13"/>
  <c r="DC30" i="13"/>
  <c r="DO30" i="13"/>
  <c r="D40" i="13"/>
  <c r="AQ40" i="13"/>
  <c r="CD40" i="13"/>
  <c r="DR40" i="13"/>
  <c r="AQ41" i="13"/>
  <c r="CI41" i="13"/>
  <c r="I42" i="13"/>
  <c r="BO42" i="13"/>
  <c r="AB46" i="13"/>
  <c r="DC46" i="13"/>
  <c r="BM47" i="13"/>
  <c r="Y48" i="13"/>
  <c r="S54" i="14"/>
  <c r="T54" i="14" s="1"/>
  <c r="F3" i="12" l="1"/>
  <c r="H62" i="7"/>
  <c r="H58" i="7"/>
  <c r="U54" i="14"/>
  <c r="B11" i="13"/>
  <c r="D25" i="4"/>
  <c r="E25" i="4" s="1"/>
  <c r="F25" i="4" s="1"/>
  <c r="G25" i="4" s="1"/>
  <c r="H25" i="4" s="1"/>
  <c r="I25" i="4" s="1"/>
  <c r="J25" i="4" s="1"/>
  <c r="K25" i="4" s="1"/>
  <c r="L25" i="4" s="1"/>
  <c r="M25" i="4" s="1"/>
  <c r="N25" i="4" s="1"/>
  <c r="O25" i="4" s="1"/>
  <c r="P25" i="4" s="1"/>
  <c r="Q25" i="4" s="1"/>
  <c r="R25" i="4" s="1"/>
  <c r="S25" i="4" s="1"/>
  <c r="T25" i="4" s="1"/>
  <c r="U25" i="4" s="1"/>
  <c r="V25" i="4" s="1"/>
  <c r="W25" i="4" s="1"/>
  <c r="X25" i="4" s="1"/>
  <c r="Y25" i="4" s="1"/>
  <c r="Z25" i="4" s="1"/>
  <c r="AA25" i="4" s="1"/>
  <c r="AB25" i="4" s="1"/>
  <c r="AC25" i="4" s="1"/>
  <c r="AD25" i="4" s="1"/>
  <c r="AE25" i="4" s="1"/>
  <c r="AF25" i="4" s="1"/>
  <c r="AG25" i="4" s="1"/>
  <c r="AH25" i="4" s="1"/>
  <c r="AI25" i="4" s="1"/>
  <c r="AJ25" i="4" s="1"/>
  <c r="AK25" i="4" s="1"/>
  <c r="AL25" i="4" s="1"/>
  <c r="AM25" i="4" s="1"/>
  <c r="AN25" i="4" s="1"/>
  <c r="AO25" i="4" s="1"/>
  <c r="AP25" i="4" s="1"/>
  <c r="AQ25" i="4" s="1"/>
  <c r="AR25" i="4" s="1"/>
  <c r="AS25" i="4" s="1"/>
  <c r="AT25" i="4" s="1"/>
  <c r="AU25" i="4" s="1"/>
  <c r="AV25" i="4" s="1"/>
  <c r="AW25" i="4" s="1"/>
  <c r="AX25" i="4" s="1"/>
  <c r="AY25" i="4" s="1"/>
  <c r="AZ25" i="4" s="1"/>
  <c r="BA25" i="4" s="1"/>
  <c r="BB25" i="4" s="1"/>
  <c r="BC25" i="4" s="1"/>
  <c r="BD25" i="4" s="1"/>
  <c r="BE25" i="4" s="1"/>
  <c r="BF25" i="4" s="1"/>
  <c r="BG25" i="4" s="1"/>
  <c r="BH25" i="4" s="1"/>
  <c r="BI25" i="4" s="1"/>
  <c r="BJ25" i="4" s="1"/>
  <c r="BK25" i="4" s="1"/>
  <c r="BL25" i="4" s="1"/>
  <c r="BM25" i="4" s="1"/>
  <c r="BN25" i="4" s="1"/>
  <c r="BO25" i="4" s="1"/>
  <c r="BP25" i="4" s="1"/>
  <c r="BQ25" i="4" s="1"/>
  <c r="BR25" i="4" s="1"/>
  <c r="BS25" i="4" s="1"/>
  <c r="BT25" i="4" s="1"/>
  <c r="BU25" i="4" s="1"/>
  <c r="BV25" i="4" s="1"/>
  <c r="BW25" i="4" s="1"/>
  <c r="BX25" i="4" s="1"/>
  <c r="BY25" i="4" s="1"/>
  <c r="BZ25" i="4" s="1"/>
  <c r="CA25" i="4" s="1"/>
  <c r="CB25" i="4" s="1"/>
  <c r="CC25" i="4" s="1"/>
  <c r="CD25" i="4" s="1"/>
  <c r="CE25" i="4" s="1"/>
  <c r="CF25" i="4" s="1"/>
  <c r="CG25" i="4" s="1"/>
  <c r="CH25" i="4" s="1"/>
  <c r="CI25" i="4" s="1"/>
  <c r="CJ25" i="4" s="1"/>
  <c r="CK25" i="4" s="1"/>
  <c r="CL25" i="4" s="1"/>
  <c r="CM25" i="4" s="1"/>
  <c r="CN25" i="4" s="1"/>
  <c r="CO25" i="4" s="1"/>
  <c r="CP25" i="4" s="1"/>
  <c r="CQ25" i="4" s="1"/>
  <c r="CR25" i="4" s="1"/>
  <c r="CS25" i="4" s="1"/>
  <c r="CT25" i="4" s="1"/>
  <c r="CU25" i="4" s="1"/>
  <c r="CV25" i="4" s="1"/>
  <c r="CW25" i="4" s="1"/>
  <c r="CX25" i="4" s="1"/>
  <c r="CY25" i="4" s="1"/>
  <c r="CZ25" i="4" s="1"/>
  <c r="DA25" i="4" s="1"/>
  <c r="DB25" i="4" s="1"/>
  <c r="DC25" i="4" s="1"/>
  <c r="DD25" i="4" s="1"/>
  <c r="DE25" i="4" s="1"/>
  <c r="DF25" i="4" s="1"/>
  <c r="DG25" i="4" s="1"/>
  <c r="DH25" i="4" s="1"/>
  <c r="DI25" i="4" s="1"/>
  <c r="DJ25" i="4" s="1"/>
  <c r="DK25" i="4" s="1"/>
  <c r="DL25" i="4" s="1"/>
  <c r="DM25" i="4" s="1"/>
  <c r="DN25" i="4" s="1"/>
  <c r="DO25" i="4" s="1"/>
  <c r="DP25" i="4" s="1"/>
  <c r="DQ25" i="4" s="1"/>
  <c r="DR25" i="4" s="1"/>
  <c r="DS25" i="4" s="1"/>
  <c r="DT25" i="4" s="1"/>
  <c r="D8" i="4"/>
  <c r="H46" i="14"/>
  <c r="D19" i="5"/>
  <c r="E7" i="9"/>
  <c r="F4" i="9"/>
  <c r="E3" i="9"/>
  <c r="E8" i="9"/>
  <c r="F3" i="13"/>
  <c r="I4" i="11"/>
  <c r="H3" i="11"/>
  <c r="P21" i="7"/>
  <c r="P22" i="7" s="1"/>
  <c r="P23" i="7" s="1"/>
  <c r="L32" i="7"/>
  <c r="W7" i="2"/>
  <c r="AA7" i="2" s="1"/>
  <c r="F3" i="10"/>
  <c r="G4" i="10"/>
  <c r="H4" i="12"/>
  <c r="G3" i="12"/>
  <c r="F4" i="5"/>
  <c r="E3" i="5"/>
  <c r="B9" i="4"/>
  <c r="D53" i="7"/>
  <c r="G20" i="2"/>
  <c r="D55" i="7"/>
  <c r="H53" i="7"/>
  <c r="E13" i="9" s="1"/>
  <c r="H11" i="7"/>
  <c r="E7" i="8"/>
  <c r="F4" i="8"/>
  <c r="E3" i="8"/>
  <c r="E8" i="5" l="1"/>
  <c r="E23" i="8"/>
  <c r="H13" i="7"/>
  <c r="G18" i="10" s="1"/>
  <c r="H59" i="7"/>
  <c r="E2" i="10"/>
  <c r="G3" i="10"/>
  <c r="G2" i="10"/>
  <c r="H4" i="10"/>
  <c r="E8" i="8"/>
  <c r="E9" i="9"/>
  <c r="I4" i="12"/>
  <c r="H3" i="12"/>
  <c r="F7" i="9"/>
  <c r="G4" i="9"/>
  <c r="F13" i="9"/>
  <c r="F23" i="8" s="1"/>
  <c r="F51" i="8" s="1"/>
  <c r="F3" i="9"/>
  <c r="F8" i="9"/>
  <c r="G3" i="13"/>
  <c r="J4" i="11"/>
  <c r="I3" i="11"/>
  <c r="F2" i="10"/>
  <c r="D54" i="7"/>
  <c r="AP11" i="2"/>
  <c r="AP14" i="2" s="1"/>
  <c r="E12" i="9"/>
  <c r="E9" i="8"/>
  <c r="G4" i="5"/>
  <c r="F3" i="5"/>
  <c r="F8" i="5"/>
  <c r="B10" i="4"/>
  <c r="B12" i="13"/>
  <c r="F33" i="13" s="1"/>
  <c r="D28" i="4"/>
  <c r="F9" i="5" s="1"/>
  <c r="D9" i="4"/>
  <c r="G4" i="8"/>
  <c r="F3" i="8"/>
  <c r="F7" i="8"/>
  <c r="G6" i="10" l="1"/>
  <c r="E6" i="10"/>
  <c r="E18" i="10"/>
  <c r="E10" i="8" s="1"/>
  <c r="F18" i="10"/>
  <c r="F19" i="10" s="1"/>
  <c r="F31" i="13"/>
  <c r="F6" i="10"/>
  <c r="F141" i="13"/>
  <c r="F32" i="13"/>
  <c r="F12" i="9"/>
  <c r="F9" i="8"/>
  <c r="G19" i="10"/>
  <c r="G10" i="8"/>
  <c r="G7" i="8"/>
  <c r="G3" i="8"/>
  <c r="H4" i="8"/>
  <c r="B13" i="13"/>
  <c r="D31" i="4"/>
  <c r="D10" i="4"/>
  <c r="H4" i="9"/>
  <c r="G3" i="9"/>
  <c r="G13" i="9"/>
  <c r="G23" i="8" s="1"/>
  <c r="G51" i="8" s="1"/>
  <c r="G8" i="9"/>
  <c r="G7" i="9"/>
  <c r="F9" i="9"/>
  <c r="F8" i="8"/>
  <c r="H2" i="10"/>
  <c r="H18" i="10"/>
  <c r="H6" i="10"/>
  <c r="I4" i="10"/>
  <c r="H3" i="10"/>
  <c r="H15" i="7"/>
  <c r="H63" i="7"/>
  <c r="H8" i="10" s="1"/>
  <c r="H25" i="8" s="1"/>
  <c r="H60" i="7"/>
  <c r="G7" i="10" s="1"/>
  <c r="E28" i="4"/>
  <c r="F28" i="4" s="1"/>
  <c r="G28" i="4" s="1"/>
  <c r="H28" i="4" s="1"/>
  <c r="I28" i="4" s="1"/>
  <c r="J28" i="4" s="1"/>
  <c r="K28" i="4" s="1"/>
  <c r="L28" i="4" s="1"/>
  <c r="M28" i="4" s="1"/>
  <c r="N28" i="4" s="1"/>
  <c r="O28" i="4" s="1"/>
  <c r="P28" i="4" s="1"/>
  <c r="Q28" i="4" s="1"/>
  <c r="R28" i="4" s="1"/>
  <c r="S28" i="4" s="1"/>
  <c r="T28" i="4" s="1"/>
  <c r="U28" i="4" s="1"/>
  <c r="V28" i="4" s="1"/>
  <c r="W28" i="4" s="1"/>
  <c r="X28" i="4" s="1"/>
  <c r="Y28" i="4" s="1"/>
  <c r="Z28" i="4" s="1"/>
  <c r="AA28" i="4" s="1"/>
  <c r="AB28" i="4" s="1"/>
  <c r="AC28" i="4" s="1"/>
  <c r="AD28" i="4" s="1"/>
  <c r="AE28" i="4" s="1"/>
  <c r="AF28" i="4" s="1"/>
  <c r="AG28" i="4" s="1"/>
  <c r="AH28" i="4" s="1"/>
  <c r="AI28" i="4" s="1"/>
  <c r="AJ28" i="4" s="1"/>
  <c r="AK28" i="4" s="1"/>
  <c r="AL28" i="4" s="1"/>
  <c r="AM28" i="4" s="1"/>
  <c r="AN28" i="4" s="1"/>
  <c r="AO28" i="4" s="1"/>
  <c r="AP28" i="4" s="1"/>
  <c r="AQ28" i="4" s="1"/>
  <c r="AR28" i="4" s="1"/>
  <c r="AS28" i="4" s="1"/>
  <c r="AT28" i="4" s="1"/>
  <c r="AU28" i="4" s="1"/>
  <c r="AV28" i="4" s="1"/>
  <c r="AW28" i="4" s="1"/>
  <c r="AX28" i="4" s="1"/>
  <c r="AY28" i="4" s="1"/>
  <c r="AZ28" i="4" s="1"/>
  <c r="BA28" i="4" s="1"/>
  <c r="BB28" i="4" s="1"/>
  <c r="BC28" i="4" s="1"/>
  <c r="BD28" i="4" s="1"/>
  <c r="BE28" i="4" s="1"/>
  <c r="BF28" i="4" s="1"/>
  <c r="BG28" i="4" s="1"/>
  <c r="BH28" i="4" s="1"/>
  <c r="BI28" i="4" s="1"/>
  <c r="BJ28" i="4" s="1"/>
  <c r="BK28" i="4" s="1"/>
  <c r="BL28" i="4" s="1"/>
  <c r="BM28" i="4" s="1"/>
  <c r="BN28" i="4" s="1"/>
  <c r="BO28" i="4" s="1"/>
  <c r="BP28" i="4" s="1"/>
  <c r="BQ28" i="4" s="1"/>
  <c r="BR28" i="4" s="1"/>
  <c r="BS28" i="4" s="1"/>
  <c r="BT28" i="4" s="1"/>
  <c r="BU28" i="4" s="1"/>
  <c r="BV28" i="4" s="1"/>
  <c r="BW28" i="4" s="1"/>
  <c r="BX28" i="4" s="1"/>
  <c r="BY28" i="4" s="1"/>
  <c r="BZ28" i="4" s="1"/>
  <c r="CA28" i="4" s="1"/>
  <c r="CB28" i="4" s="1"/>
  <c r="CC28" i="4" s="1"/>
  <c r="CD28" i="4" s="1"/>
  <c r="CE28" i="4" s="1"/>
  <c r="CF28" i="4" s="1"/>
  <c r="CG28" i="4" s="1"/>
  <c r="CH28" i="4" s="1"/>
  <c r="CI28" i="4" s="1"/>
  <c r="CJ28" i="4" s="1"/>
  <c r="CK28" i="4" s="1"/>
  <c r="CL28" i="4" s="1"/>
  <c r="CM28" i="4" s="1"/>
  <c r="CN28" i="4" s="1"/>
  <c r="CO28" i="4" s="1"/>
  <c r="CP28" i="4" s="1"/>
  <c r="CQ28" i="4" s="1"/>
  <c r="CR28" i="4" s="1"/>
  <c r="CS28" i="4" s="1"/>
  <c r="CT28" i="4" s="1"/>
  <c r="CU28" i="4" s="1"/>
  <c r="CV28" i="4" s="1"/>
  <c r="CW28" i="4" s="1"/>
  <c r="CX28" i="4" s="1"/>
  <c r="CY28" i="4" s="1"/>
  <c r="CZ28" i="4" s="1"/>
  <c r="DA28" i="4" s="1"/>
  <c r="DB28" i="4" s="1"/>
  <c r="DC28" i="4" s="1"/>
  <c r="DD28" i="4" s="1"/>
  <c r="DE28" i="4" s="1"/>
  <c r="DF28" i="4" s="1"/>
  <c r="DG28" i="4" s="1"/>
  <c r="DH28" i="4" s="1"/>
  <c r="DI28" i="4" s="1"/>
  <c r="DJ28" i="4" s="1"/>
  <c r="DK28" i="4" s="1"/>
  <c r="DL28" i="4" s="1"/>
  <c r="DM28" i="4" s="1"/>
  <c r="DN28" i="4" s="1"/>
  <c r="DO28" i="4" s="1"/>
  <c r="DP28" i="4" s="1"/>
  <c r="DQ28" i="4" s="1"/>
  <c r="DR28" i="4" s="1"/>
  <c r="DS28" i="4" s="1"/>
  <c r="DT28" i="4" s="1"/>
  <c r="E9" i="5"/>
  <c r="E141" i="13"/>
  <c r="E32" i="13"/>
  <c r="C33" i="13"/>
  <c r="C32" i="13"/>
  <c r="E31" i="13"/>
  <c r="C141" i="13"/>
  <c r="E33" i="13"/>
  <c r="C31" i="13"/>
  <c r="D141" i="13"/>
  <c r="D31" i="13"/>
  <c r="D32" i="13"/>
  <c r="D33" i="13"/>
  <c r="B11" i="4"/>
  <c r="E14" i="9"/>
  <c r="E22" i="8"/>
  <c r="I3" i="12"/>
  <c r="J4" i="12"/>
  <c r="G33" i="13"/>
  <c r="G31" i="13"/>
  <c r="G32" i="13"/>
  <c r="G141" i="13"/>
  <c r="G3" i="5"/>
  <c r="G9" i="5"/>
  <c r="G8" i="5"/>
  <c r="H4" i="5"/>
  <c r="E51" i="8"/>
  <c r="H3" i="13"/>
  <c r="J3" i="11"/>
  <c r="K4" i="11"/>
  <c r="E19" i="10" l="1"/>
  <c r="F10" i="8"/>
  <c r="H10" i="5"/>
  <c r="H3" i="5"/>
  <c r="H9" i="5"/>
  <c r="I4" i="5"/>
  <c r="G24" i="8"/>
  <c r="G52" i="8" s="1"/>
  <c r="E8" i="10"/>
  <c r="F8" i="10"/>
  <c r="F25" i="8" s="1"/>
  <c r="G8" i="10"/>
  <c r="G25" i="8" s="1"/>
  <c r="F7" i="10"/>
  <c r="E31" i="4"/>
  <c r="F31" i="4" s="1"/>
  <c r="G31" i="4" s="1"/>
  <c r="H31" i="4" s="1"/>
  <c r="I31" i="4" s="1"/>
  <c r="J31" i="4" s="1"/>
  <c r="K31" i="4" s="1"/>
  <c r="L31" i="4" s="1"/>
  <c r="M31" i="4" s="1"/>
  <c r="N31" i="4" s="1"/>
  <c r="O31" i="4" s="1"/>
  <c r="P31" i="4" s="1"/>
  <c r="Q31" i="4" s="1"/>
  <c r="R31" i="4" s="1"/>
  <c r="S31" i="4" s="1"/>
  <c r="T31" i="4" s="1"/>
  <c r="U31" i="4" s="1"/>
  <c r="V31" i="4" s="1"/>
  <c r="W31" i="4" s="1"/>
  <c r="X31" i="4" s="1"/>
  <c r="Y31" i="4" s="1"/>
  <c r="Z31" i="4" s="1"/>
  <c r="AA31" i="4" s="1"/>
  <c r="AB31" i="4" s="1"/>
  <c r="AC31" i="4" s="1"/>
  <c r="AD31" i="4" s="1"/>
  <c r="AE31" i="4" s="1"/>
  <c r="AF31" i="4" s="1"/>
  <c r="AG31" i="4" s="1"/>
  <c r="AH31" i="4" s="1"/>
  <c r="AI31" i="4" s="1"/>
  <c r="AJ31" i="4" s="1"/>
  <c r="AK31" i="4" s="1"/>
  <c r="AL31" i="4" s="1"/>
  <c r="AM31" i="4" s="1"/>
  <c r="AN31" i="4" s="1"/>
  <c r="AO31" i="4" s="1"/>
  <c r="AP31" i="4" s="1"/>
  <c r="AQ31" i="4" s="1"/>
  <c r="AR31" i="4" s="1"/>
  <c r="AS31" i="4" s="1"/>
  <c r="AT31" i="4" s="1"/>
  <c r="AU31" i="4" s="1"/>
  <c r="AV31" i="4" s="1"/>
  <c r="AW31" i="4" s="1"/>
  <c r="AX31" i="4" s="1"/>
  <c r="AY31" i="4" s="1"/>
  <c r="AZ31" i="4" s="1"/>
  <c r="BA31" i="4" s="1"/>
  <c r="BB31" i="4" s="1"/>
  <c r="BC31" i="4" s="1"/>
  <c r="BD31" i="4" s="1"/>
  <c r="BE31" i="4" s="1"/>
  <c r="BF31" i="4" s="1"/>
  <c r="BG31" i="4" s="1"/>
  <c r="BH31" i="4" s="1"/>
  <c r="BI31" i="4" s="1"/>
  <c r="BJ31" i="4" s="1"/>
  <c r="BK31" i="4" s="1"/>
  <c r="BL31" i="4" s="1"/>
  <c r="BM31" i="4" s="1"/>
  <c r="BN31" i="4" s="1"/>
  <c r="BO31" i="4" s="1"/>
  <c r="BP31" i="4" s="1"/>
  <c r="BQ31" i="4" s="1"/>
  <c r="BR31" i="4" s="1"/>
  <c r="BS31" i="4" s="1"/>
  <c r="BT31" i="4" s="1"/>
  <c r="BU31" i="4" s="1"/>
  <c r="BV31" i="4" s="1"/>
  <c r="BW31" i="4" s="1"/>
  <c r="BX31" i="4" s="1"/>
  <c r="BY31" i="4" s="1"/>
  <c r="BZ31" i="4" s="1"/>
  <c r="CA31" i="4" s="1"/>
  <c r="CB31" i="4" s="1"/>
  <c r="CC31" i="4" s="1"/>
  <c r="CD31" i="4" s="1"/>
  <c r="CE31" i="4" s="1"/>
  <c r="CF31" i="4" s="1"/>
  <c r="CG31" i="4" s="1"/>
  <c r="CH31" i="4" s="1"/>
  <c r="CI31" i="4" s="1"/>
  <c r="CJ31" i="4" s="1"/>
  <c r="CK31" i="4" s="1"/>
  <c r="CL31" i="4" s="1"/>
  <c r="CM31" i="4" s="1"/>
  <c r="CN31" i="4" s="1"/>
  <c r="CO31" i="4" s="1"/>
  <c r="CP31" i="4" s="1"/>
  <c r="CQ31" i="4" s="1"/>
  <c r="CR31" i="4" s="1"/>
  <c r="CS31" i="4" s="1"/>
  <c r="CT31" i="4" s="1"/>
  <c r="CU31" i="4" s="1"/>
  <c r="CV31" i="4" s="1"/>
  <c r="CW31" i="4" s="1"/>
  <c r="CX31" i="4" s="1"/>
  <c r="CY31" i="4" s="1"/>
  <c r="CZ31" i="4" s="1"/>
  <c r="DA31" i="4" s="1"/>
  <c r="DB31" i="4" s="1"/>
  <c r="DC31" i="4" s="1"/>
  <c r="DD31" i="4" s="1"/>
  <c r="DE31" i="4" s="1"/>
  <c r="DF31" i="4" s="1"/>
  <c r="DG31" i="4" s="1"/>
  <c r="DH31" i="4" s="1"/>
  <c r="DI31" i="4" s="1"/>
  <c r="DJ31" i="4" s="1"/>
  <c r="DK31" i="4" s="1"/>
  <c r="DL31" i="4" s="1"/>
  <c r="DM31" i="4" s="1"/>
  <c r="DN31" i="4" s="1"/>
  <c r="DO31" i="4" s="1"/>
  <c r="DP31" i="4" s="1"/>
  <c r="DQ31" i="4" s="1"/>
  <c r="DR31" i="4" s="1"/>
  <c r="DS31" i="4" s="1"/>
  <c r="DT31" i="4" s="1"/>
  <c r="E10" i="5"/>
  <c r="F10" i="5"/>
  <c r="E50" i="8"/>
  <c r="L11" i="7"/>
  <c r="K15" i="11" s="1"/>
  <c r="E9" i="10"/>
  <c r="F9" i="10"/>
  <c r="F10" i="10" s="1"/>
  <c r="G9" i="10"/>
  <c r="G10" i="10" s="1"/>
  <c r="E7" i="10"/>
  <c r="G9" i="9"/>
  <c r="G8" i="8"/>
  <c r="G12" i="9"/>
  <c r="G9" i="8"/>
  <c r="H19" i="10"/>
  <c r="H10" i="8"/>
  <c r="H31" i="13"/>
  <c r="H32" i="13"/>
  <c r="H33" i="13"/>
  <c r="H141" i="13"/>
  <c r="F14" i="9"/>
  <c r="F22" i="8"/>
  <c r="H9" i="10"/>
  <c r="H10" i="10" s="1"/>
  <c r="H7" i="8"/>
  <c r="I4" i="8"/>
  <c r="H3" i="8"/>
  <c r="J3" i="12"/>
  <c r="K4" i="12"/>
  <c r="H3" i="9"/>
  <c r="H13" i="9"/>
  <c r="H23" i="8" s="1"/>
  <c r="H51" i="8" s="1"/>
  <c r="I4" i="9"/>
  <c r="H8" i="9"/>
  <c r="H7" i="9"/>
  <c r="I18" i="10"/>
  <c r="I2" i="10"/>
  <c r="I6" i="10"/>
  <c r="I9" i="10"/>
  <c r="I10" i="10" s="1"/>
  <c r="J4" i="10"/>
  <c r="I8" i="10"/>
  <c r="I25" i="8" s="1"/>
  <c r="I3" i="10"/>
  <c r="I7" i="10"/>
  <c r="I3" i="13"/>
  <c r="K3" i="11"/>
  <c r="L4" i="11"/>
  <c r="G10" i="5"/>
  <c r="B12" i="4"/>
  <c r="H7" i="10"/>
  <c r="B14" i="13"/>
  <c r="H143" i="13" s="1"/>
  <c r="D11" i="4"/>
  <c r="D34" i="4"/>
  <c r="H11" i="5" s="1"/>
  <c r="G11" i="10" l="1"/>
  <c r="G37" i="8" s="1"/>
  <c r="K2" i="11"/>
  <c r="B15" i="13"/>
  <c r="D37" i="4"/>
  <c r="I12" i="5" s="1"/>
  <c r="D12" i="4"/>
  <c r="C38" i="13"/>
  <c r="E38" i="13"/>
  <c r="C143" i="13"/>
  <c r="E143" i="13"/>
  <c r="E39" i="13"/>
  <c r="C39" i="13"/>
  <c r="D143" i="13"/>
  <c r="E37" i="13"/>
  <c r="D37" i="13"/>
  <c r="C37" i="13"/>
  <c r="D38" i="13"/>
  <c r="D39" i="13"/>
  <c r="F38" i="13"/>
  <c r="F143" i="13"/>
  <c r="F39" i="13"/>
  <c r="F37" i="13"/>
  <c r="G39" i="13"/>
  <c r="G143" i="13"/>
  <c r="G38" i="13"/>
  <c r="G37" i="13"/>
  <c r="I7" i="8"/>
  <c r="J4" i="8"/>
  <c r="I3" i="8"/>
  <c r="I39" i="13"/>
  <c r="I143" i="13"/>
  <c r="I37" i="13"/>
  <c r="I38" i="13"/>
  <c r="K16" i="11"/>
  <c r="H38" i="13"/>
  <c r="I11" i="10"/>
  <c r="G16" i="10"/>
  <c r="B13" i="4"/>
  <c r="B14" i="4" s="1"/>
  <c r="L4" i="12"/>
  <c r="K3" i="12"/>
  <c r="I19" i="10"/>
  <c r="I10" i="8"/>
  <c r="F50" i="8"/>
  <c r="H9" i="9"/>
  <c r="H8" i="8"/>
  <c r="E16" i="10"/>
  <c r="E24" i="8"/>
  <c r="I9" i="5"/>
  <c r="I11" i="5"/>
  <c r="I10" i="5"/>
  <c r="J4" i="5"/>
  <c r="I3" i="5"/>
  <c r="I3" i="9"/>
  <c r="I13" i="9"/>
  <c r="I23" i="8" s="1"/>
  <c r="I51" i="8" s="1"/>
  <c r="I8" i="9"/>
  <c r="J4" i="9"/>
  <c r="I7" i="9"/>
  <c r="E34" i="4"/>
  <c r="F34" i="4" s="1"/>
  <c r="G34" i="4" s="1"/>
  <c r="H34" i="4" s="1"/>
  <c r="I34" i="4" s="1"/>
  <c r="J34" i="4" s="1"/>
  <c r="K34" i="4" s="1"/>
  <c r="L34" i="4" s="1"/>
  <c r="M34" i="4" s="1"/>
  <c r="N34" i="4" s="1"/>
  <c r="O34" i="4" s="1"/>
  <c r="P34" i="4" s="1"/>
  <c r="Q34" i="4" s="1"/>
  <c r="R34" i="4" s="1"/>
  <c r="S34" i="4" s="1"/>
  <c r="T34" i="4" s="1"/>
  <c r="U34" i="4" s="1"/>
  <c r="V34" i="4" s="1"/>
  <c r="W34" i="4" s="1"/>
  <c r="X34" i="4" s="1"/>
  <c r="Y34" i="4" s="1"/>
  <c r="Z34" i="4" s="1"/>
  <c r="AA34" i="4" s="1"/>
  <c r="AB34" i="4" s="1"/>
  <c r="AC34" i="4" s="1"/>
  <c r="AD34" i="4" s="1"/>
  <c r="AE34" i="4" s="1"/>
  <c r="AF34" i="4" s="1"/>
  <c r="AG34" i="4" s="1"/>
  <c r="AH34" i="4" s="1"/>
  <c r="AI34" i="4" s="1"/>
  <c r="AJ34" i="4" s="1"/>
  <c r="AK34" i="4" s="1"/>
  <c r="AL34" i="4" s="1"/>
  <c r="AM34" i="4" s="1"/>
  <c r="AN34" i="4" s="1"/>
  <c r="AO34" i="4" s="1"/>
  <c r="AP34" i="4" s="1"/>
  <c r="AQ34" i="4" s="1"/>
  <c r="AR34" i="4" s="1"/>
  <c r="AS34" i="4" s="1"/>
  <c r="AT34" i="4" s="1"/>
  <c r="AU34" i="4" s="1"/>
  <c r="AV34" i="4" s="1"/>
  <c r="AW34" i="4" s="1"/>
  <c r="AX34" i="4" s="1"/>
  <c r="AY34" i="4" s="1"/>
  <c r="AZ34" i="4" s="1"/>
  <c r="BA34" i="4" s="1"/>
  <c r="BB34" i="4" s="1"/>
  <c r="BC34" i="4" s="1"/>
  <c r="BD34" i="4" s="1"/>
  <c r="BE34" i="4" s="1"/>
  <c r="BF34" i="4" s="1"/>
  <c r="BG34" i="4" s="1"/>
  <c r="BH34" i="4" s="1"/>
  <c r="BI34" i="4" s="1"/>
  <c r="BJ34" i="4" s="1"/>
  <c r="BK34" i="4" s="1"/>
  <c r="BL34" i="4" s="1"/>
  <c r="BM34" i="4" s="1"/>
  <c r="BN34" i="4" s="1"/>
  <c r="BO34" i="4" s="1"/>
  <c r="BP34" i="4" s="1"/>
  <c r="BQ34" i="4" s="1"/>
  <c r="BR34" i="4" s="1"/>
  <c r="BS34" i="4" s="1"/>
  <c r="BT34" i="4" s="1"/>
  <c r="BU34" i="4" s="1"/>
  <c r="BV34" i="4" s="1"/>
  <c r="BW34" i="4" s="1"/>
  <c r="BX34" i="4" s="1"/>
  <c r="BY34" i="4" s="1"/>
  <c r="BZ34" i="4" s="1"/>
  <c r="CA34" i="4" s="1"/>
  <c r="CB34" i="4" s="1"/>
  <c r="CC34" i="4" s="1"/>
  <c r="CD34" i="4" s="1"/>
  <c r="CE34" i="4" s="1"/>
  <c r="CF34" i="4" s="1"/>
  <c r="CG34" i="4" s="1"/>
  <c r="CH34" i="4" s="1"/>
  <c r="CI34" i="4" s="1"/>
  <c r="CJ34" i="4" s="1"/>
  <c r="CK34" i="4" s="1"/>
  <c r="CL34" i="4" s="1"/>
  <c r="CM34" i="4" s="1"/>
  <c r="CN34" i="4" s="1"/>
  <c r="CO34" i="4" s="1"/>
  <c r="CP34" i="4" s="1"/>
  <c r="CQ34" i="4" s="1"/>
  <c r="CR34" i="4" s="1"/>
  <c r="CS34" i="4" s="1"/>
  <c r="CT34" i="4" s="1"/>
  <c r="CU34" i="4" s="1"/>
  <c r="CV34" i="4" s="1"/>
  <c r="CW34" i="4" s="1"/>
  <c r="CX34" i="4" s="1"/>
  <c r="CY34" i="4" s="1"/>
  <c r="CZ34" i="4" s="1"/>
  <c r="DA34" i="4" s="1"/>
  <c r="DB34" i="4" s="1"/>
  <c r="DC34" i="4" s="1"/>
  <c r="DD34" i="4" s="1"/>
  <c r="DE34" i="4" s="1"/>
  <c r="DF34" i="4" s="1"/>
  <c r="DG34" i="4" s="1"/>
  <c r="DH34" i="4" s="1"/>
  <c r="DI34" i="4" s="1"/>
  <c r="DJ34" i="4" s="1"/>
  <c r="DK34" i="4" s="1"/>
  <c r="DL34" i="4" s="1"/>
  <c r="DM34" i="4" s="1"/>
  <c r="DN34" i="4" s="1"/>
  <c r="DO34" i="4" s="1"/>
  <c r="DP34" i="4" s="1"/>
  <c r="DQ34" i="4" s="1"/>
  <c r="DR34" i="4" s="1"/>
  <c r="DS34" i="4" s="1"/>
  <c r="DT34" i="4" s="1"/>
  <c r="E11" i="5"/>
  <c r="F11" i="5"/>
  <c r="G11" i="5"/>
  <c r="H12" i="9"/>
  <c r="H9" i="8"/>
  <c r="I16" i="10"/>
  <c r="I24" i="8"/>
  <c r="I52" i="8" s="1"/>
  <c r="F16" i="10"/>
  <c r="F24" i="8"/>
  <c r="F52" i="8" s="1"/>
  <c r="F11" i="10"/>
  <c r="H39" i="13"/>
  <c r="H37" i="13"/>
  <c r="G14" i="9"/>
  <c r="G22" i="8"/>
  <c r="E2" i="11"/>
  <c r="L51" i="7"/>
  <c r="L13" i="7"/>
  <c r="G2" i="11"/>
  <c r="F15" i="11"/>
  <c r="G15" i="11"/>
  <c r="E15" i="11"/>
  <c r="F2" i="11"/>
  <c r="H15" i="11"/>
  <c r="H2" i="11"/>
  <c r="I2" i="11"/>
  <c r="I15" i="11"/>
  <c r="J15" i="11"/>
  <c r="J2" i="11"/>
  <c r="E10" i="10"/>
  <c r="E11" i="10" s="1"/>
  <c r="H16" i="10"/>
  <c r="H24" i="8"/>
  <c r="H52" i="8" s="1"/>
  <c r="J3" i="13"/>
  <c r="L15" i="11"/>
  <c r="L3" i="11"/>
  <c r="M4" i="11"/>
  <c r="L2" i="11"/>
  <c r="H11" i="10"/>
  <c r="J18" i="10"/>
  <c r="J9" i="10"/>
  <c r="J10" i="10" s="1"/>
  <c r="J2" i="10"/>
  <c r="J6" i="10"/>
  <c r="K4" i="10"/>
  <c r="J8" i="10"/>
  <c r="J25" i="8" s="1"/>
  <c r="J3" i="10"/>
  <c r="J7" i="10"/>
  <c r="E25" i="8"/>
  <c r="B15" i="4" l="1"/>
  <c r="R56" i="14" s="1"/>
  <c r="F53" i="8"/>
  <c r="E50" i="4" s="1"/>
  <c r="J11" i="10"/>
  <c r="J37" i="8" s="1"/>
  <c r="J13" i="9"/>
  <c r="J8" i="9"/>
  <c r="J3" i="9"/>
  <c r="J7" i="9"/>
  <c r="K4" i="9"/>
  <c r="B16" i="13"/>
  <c r="J43" i="13" s="1"/>
  <c r="D40" i="4"/>
  <c r="J13" i="5" s="1"/>
  <c r="D13" i="4"/>
  <c r="I12" i="9"/>
  <c r="I9" i="8"/>
  <c r="E37" i="4"/>
  <c r="F37" i="4" s="1"/>
  <c r="G37" i="4" s="1"/>
  <c r="H37" i="4" s="1"/>
  <c r="I37" i="4" s="1"/>
  <c r="J37" i="4" s="1"/>
  <c r="K37" i="4" s="1"/>
  <c r="L37" i="4" s="1"/>
  <c r="M37" i="4" s="1"/>
  <c r="N37" i="4" s="1"/>
  <c r="O37" i="4" s="1"/>
  <c r="P37" i="4" s="1"/>
  <c r="Q37" i="4" s="1"/>
  <c r="R37" i="4" s="1"/>
  <c r="S37" i="4" s="1"/>
  <c r="T37" i="4" s="1"/>
  <c r="U37" i="4" s="1"/>
  <c r="V37" i="4" s="1"/>
  <c r="W37" i="4" s="1"/>
  <c r="X37" i="4" s="1"/>
  <c r="Y37" i="4" s="1"/>
  <c r="Z37" i="4" s="1"/>
  <c r="AA37" i="4" s="1"/>
  <c r="AB37" i="4" s="1"/>
  <c r="AC37" i="4" s="1"/>
  <c r="AD37" i="4" s="1"/>
  <c r="AE37" i="4" s="1"/>
  <c r="AF37" i="4" s="1"/>
  <c r="AG37" i="4" s="1"/>
  <c r="AH37" i="4" s="1"/>
  <c r="AI37" i="4" s="1"/>
  <c r="AJ37" i="4" s="1"/>
  <c r="AK37" i="4" s="1"/>
  <c r="AL37" i="4" s="1"/>
  <c r="AM37" i="4" s="1"/>
  <c r="AN37" i="4" s="1"/>
  <c r="AO37" i="4" s="1"/>
  <c r="AP37" i="4" s="1"/>
  <c r="AQ37" i="4" s="1"/>
  <c r="AR37" i="4" s="1"/>
  <c r="AS37" i="4" s="1"/>
  <c r="AT37" i="4" s="1"/>
  <c r="AU37" i="4" s="1"/>
  <c r="AV37" i="4" s="1"/>
  <c r="AW37" i="4" s="1"/>
  <c r="AX37" i="4" s="1"/>
  <c r="AY37" i="4" s="1"/>
  <c r="AZ37" i="4" s="1"/>
  <c r="BA37" i="4" s="1"/>
  <c r="BB37" i="4" s="1"/>
  <c r="BC37" i="4" s="1"/>
  <c r="BD37" i="4" s="1"/>
  <c r="BE37" i="4" s="1"/>
  <c r="BF37" i="4" s="1"/>
  <c r="BG37" i="4" s="1"/>
  <c r="BH37" i="4" s="1"/>
  <c r="BI37" i="4" s="1"/>
  <c r="BJ37" i="4" s="1"/>
  <c r="BK37" i="4" s="1"/>
  <c r="BL37" i="4" s="1"/>
  <c r="BM37" i="4" s="1"/>
  <c r="BN37" i="4" s="1"/>
  <c r="BO37" i="4" s="1"/>
  <c r="BP37" i="4" s="1"/>
  <c r="BQ37" i="4" s="1"/>
  <c r="BR37" i="4" s="1"/>
  <c r="BS37" i="4" s="1"/>
  <c r="BT37" i="4" s="1"/>
  <c r="BU37" i="4" s="1"/>
  <c r="BV37" i="4" s="1"/>
  <c r="BW37" i="4" s="1"/>
  <c r="BX37" i="4" s="1"/>
  <c r="BY37" i="4" s="1"/>
  <c r="BZ37" i="4" s="1"/>
  <c r="CA37" i="4" s="1"/>
  <c r="CB37" i="4" s="1"/>
  <c r="CC37" i="4" s="1"/>
  <c r="CD37" i="4" s="1"/>
  <c r="CE37" i="4" s="1"/>
  <c r="CF37" i="4" s="1"/>
  <c r="CG37" i="4" s="1"/>
  <c r="CH37" i="4" s="1"/>
  <c r="CI37" i="4" s="1"/>
  <c r="CJ37" i="4" s="1"/>
  <c r="CK37" i="4" s="1"/>
  <c r="CL37" i="4" s="1"/>
  <c r="CM37" i="4" s="1"/>
  <c r="CN37" i="4" s="1"/>
  <c r="CO37" i="4" s="1"/>
  <c r="CP37" i="4" s="1"/>
  <c r="CQ37" i="4" s="1"/>
  <c r="CR37" i="4" s="1"/>
  <c r="CS37" i="4" s="1"/>
  <c r="CT37" i="4" s="1"/>
  <c r="CU37" i="4" s="1"/>
  <c r="CV37" i="4" s="1"/>
  <c r="CW37" i="4" s="1"/>
  <c r="CX37" i="4" s="1"/>
  <c r="CY37" i="4" s="1"/>
  <c r="CZ37" i="4" s="1"/>
  <c r="DA37" i="4" s="1"/>
  <c r="DB37" i="4" s="1"/>
  <c r="DC37" i="4" s="1"/>
  <c r="DD37" i="4" s="1"/>
  <c r="DE37" i="4" s="1"/>
  <c r="DF37" i="4" s="1"/>
  <c r="DG37" i="4" s="1"/>
  <c r="DH37" i="4" s="1"/>
  <c r="DI37" i="4" s="1"/>
  <c r="DJ37" i="4" s="1"/>
  <c r="DK37" i="4" s="1"/>
  <c r="DL37" i="4" s="1"/>
  <c r="DM37" i="4" s="1"/>
  <c r="DN37" i="4" s="1"/>
  <c r="DO37" i="4" s="1"/>
  <c r="DP37" i="4" s="1"/>
  <c r="DQ37" i="4" s="1"/>
  <c r="DR37" i="4" s="1"/>
  <c r="DS37" i="4" s="1"/>
  <c r="DT37" i="4" s="1"/>
  <c r="E12" i="5"/>
  <c r="F12" i="5"/>
  <c r="G12" i="5"/>
  <c r="H12" i="5"/>
  <c r="L16" i="11"/>
  <c r="I16" i="11"/>
  <c r="G50" i="8"/>
  <c r="G53" i="8" s="1"/>
  <c r="J7" i="8"/>
  <c r="K4" i="8"/>
  <c r="J3" i="8"/>
  <c r="F18" i="11"/>
  <c r="G18" i="11"/>
  <c r="E18" i="11"/>
  <c r="H18" i="11"/>
  <c r="I18" i="11"/>
  <c r="J18" i="11"/>
  <c r="K18" i="11"/>
  <c r="J16" i="11"/>
  <c r="J19" i="10"/>
  <c r="J10" i="8"/>
  <c r="L18" i="11"/>
  <c r="H14" i="9"/>
  <c r="H22" i="8"/>
  <c r="E12" i="10"/>
  <c r="E37" i="8"/>
  <c r="J37" i="13"/>
  <c r="J39" i="13"/>
  <c r="J38" i="13"/>
  <c r="J143" i="13"/>
  <c r="H16" i="11"/>
  <c r="E52" i="8"/>
  <c r="J9" i="5"/>
  <c r="J12" i="5"/>
  <c r="J11" i="5"/>
  <c r="K4" i="5"/>
  <c r="J3" i="5"/>
  <c r="J10" i="5"/>
  <c r="J16" i="10"/>
  <c r="J24" i="8"/>
  <c r="J52" i="8" s="1"/>
  <c r="G16" i="11"/>
  <c r="I37" i="8"/>
  <c r="F16" i="11"/>
  <c r="F37" i="8"/>
  <c r="K3" i="13"/>
  <c r="M18" i="11"/>
  <c r="M15" i="11"/>
  <c r="M3" i="11"/>
  <c r="N4" i="11"/>
  <c r="M2" i="11"/>
  <c r="M4" i="12"/>
  <c r="L3" i="12"/>
  <c r="H37" i="8"/>
  <c r="E16" i="11"/>
  <c r="K18" i="10"/>
  <c r="K6" i="10"/>
  <c r="K9" i="10"/>
  <c r="K10" i="10" s="1"/>
  <c r="L4" i="10"/>
  <c r="K8" i="10"/>
  <c r="K3" i="10"/>
  <c r="K7" i="10"/>
  <c r="K2" i="10"/>
  <c r="L57" i="7"/>
  <c r="P12" i="7"/>
  <c r="L15" i="7"/>
  <c r="E17" i="11" s="1"/>
  <c r="I9" i="9"/>
  <c r="I8" i="8"/>
  <c r="R55" i="14" l="1"/>
  <c r="S55" i="14" s="1"/>
  <c r="B7" i="14"/>
  <c r="R62" i="14"/>
  <c r="S62" i="14" s="1"/>
  <c r="T62" i="14" s="1"/>
  <c r="R60" i="14"/>
  <c r="S60" i="14" s="1"/>
  <c r="T60" i="14" s="1"/>
  <c r="R58" i="14"/>
  <c r="S58" i="14" s="1"/>
  <c r="T58" i="14" s="1"/>
  <c r="C7" i="2"/>
  <c r="R63" i="14"/>
  <c r="S63" i="14" s="1"/>
  <c r="T63" i="14" s="1"/>
  <c r="R57" i="14"/>
  <c r="S57" i="14" s="1"/>
  <c r="T57" i="14" s="1"/>
  <c r="R59" i="14"/>
  <c r="S59" i="14" s="1"/>
  <c r="T59" i="14" s="1"/>
  <c r="R61" i="14"/>
  <c r="S61" i="14" s="1"/>
  <c r="T61" i="14" s="1"/>
  <c r="J145" i="13"/>
  <c r="J45" i="13"/>
  <c r="E26" i="4"/>
  <c r="I8" i="5" s="1"/>
  <c r="E38" i="4"/>
  <c r="J44" i="13"/>
  <c r="J17" i="11"/>
  <c r="E32" i="4"/>
  <c r="E44" i="4"/>
  <c r="G17" i="11"/>
  <c r="F17" i="11"/>
  <c r="K17" i="11"/>
  <c r="M17" i="11"/>
  <c r="H17" i="11"/>
  <c r="I17" i="11"/>
  <c r="I38" i="11"/>
  <c r="I26" i="8" s="1"/>
  <c r="I37" i="11"/>
  <c r="I11" i="8" s="1"/>
  <c r="J12" i="9"/>
  <c r="J9" i="8"/>
  <c r="L18" i="10"/>
  <c r="L8" i="10"/>
  <c r="L25" i="8" s="1"/>
  <c r="L6" i="10"/>
  <c r="L9" i="10"/>
  <c r="L10" i="10" s="1"/>
  <c r="M4" i="10"/>
  <c r="L3" i="10"/>
  <c r="L7" i="10"/>
  <c r="L2" i="10"/>
  <c r="G38" i="11"/>
  <c r="G26" i="8" s="1"/>
  <c r="G37" i="11"/>
  <c r="G11" i="8" s="1"/>
  <c r="K11" i="10"/>
  <c r="L38" i="11"/>
  <c r="L26" i="8" s="1"/>
  <c r="L37" i="11"/>
  <c r="L11" i="8" s="1"/>
  <c r="I22" i="8"/>
  <c r="I14" i="9"/>
  <c r="F38" i="11"/>
  <c r="F26" i="8" s="1"/>
  <c r="F37" i="11"/>
  <c r="F11" i="8" s="1"/>
  <c r="G8" i="11"/>
  <c r="G12" i="11" s="1"/>
  <c r="E7" i="13" s="1"/>
  <c r="E27" i="13" s="1"/>
  <c r="L58" i="7"/>
  <c r="M19" i="11" s="1"/>
  <c r="T11" i="7"/>
  <c r="E8" i="11"/>
  <c r="F8" i="11"/>
  <c r="F12" i="11" s="1"/>
  <c r="D7" i="13" s="1"/>
  <c r="H8" i="11"/>
  <c r="H12" i="11" s="1"/>
  <c r="F7" i="13" s="1"/>
  <c r="F27" i="13" s="1"/>
  <c r="I8" i="11"/>
  <c r="I12" i="11" s="1"/>
  <c r="G7" i="13" s="1"/>
  <c r="G27" i="13" s="1"/>
  <c r="J8" i="11"/>
  <c r="J12" i="11" s="1"/>
  <c r="H7" i="13" s="1"/>
  <c r="H27" i="13" s="1"/>
  <c r="K8" i="11"/>
  <c r="K12" i="11" s="1"/>
  <c r="I7" i="13" s="1"/>
  <c r="I27" i="13" s="1"/>
  <c r="L8" i="11"/>
  <c r="L12" i="11" s="1"/>
  <c r="J7" i="13" s="1"/>
  <c r="J27" i="13" s="1"/>
  <c r="K19" i="10"/>
  <c r="K10" i="8"/>
  <c r="M8" i="11"/>
  <c r="M12" i="11" s="1"/>
  <c r="K7" i="13" s="1"/>
  <c r="K27" i="13" s="1"/>
  <c r="E38" i="8"/>
  <c r="F38" i="8" s="1"/>
  <c r="G38" i="8" s="1"/>
  <c r="H38" i="8" s="1"/>
  <c r="I38" i="8" s="1"/>
  <c r="J38" i="8" s="1"/>
  <c r="B17" i="13"/>
  <c r="D14" i="4"/>
  <c r="D43" i="4"/>
  <c r="K14" i="5" s="1"/>
  <c r="E53" i="8"/>
  <c r="F12" i="10"/>
  <c r="G12" i="10" s="1"/>
  <c r="H12" i="10" s="1"/>
  <c r="I12" i="10" s="1"/>
  <c r="J12" i="10" s="1"/>
  <c r="M16" i="11"/>
  <c r="K7" i="8"/>
  <c r="L4" i="8"/>
  <c r="K3" i="8"/>
  <c r="E40" i="4"/>
  <c r="F40" i="4" s="1"/>
  <c r="G40" i="4" s="1"/>
  <c r="H40" i="4" s="1"/>
  <c r="I40" i="4" s="1"/>
  <c r="J40" i="4" s="1"/>
  <c r="K40" i="4" s="1"/>
  <c r="L40" i="4" s="1"/>
  <c r="M40" i="4" s="1"/>
  <c r="N40" i="4" s="1"/>
  <c r="O40" i="4" s="1"/>
  <c r="P40" i="4" s="1"/>
  <c r="Q40" i="4" s="1"/>
  <c r="R40" i="4" s="1"/>
  <c r="S40" i="4" s="1"/>
  <c r="T40" i="4" s="1"/>
  <c r="U40" i="4" s="1"/>
  <c r="V40" i="4" s="1"/>
  <c r="W40" i="4" s="1"/>
  <c r="X40" i="4" s="1"/>
  <c r="Y40" i="4" s="1"/>
  <c r="Z40" i="4" s="1"/>
  <c r="AA40" i="4" s="1"/>
  <c r="AB40" i="4" s="1"/>
  <c r="AC40" i="4" s="1"/>
  <c r="AD40" i="4" s="1"/>
  <c r="AE40" i="4" s="1"/>
  <c r="AF40" i="4" s="1"/>
  <c r="AG40" i="4" s="1"/>
  <c r="AH40" i="4" s="1"/>
  <c r="AI40" i="4" s="1"/>
  <c r="AJ40" i="4" s="1"/>
  <c r="AK40" i="4" s="1"/>
  <c r="AL40" i="4" s="1"/>
  <c r="AM40" i="4" s="1"/>
  <c r="AN40" i="4" s="1"/>
  <c r="AO40" i="4" s="1"/>
  <c r="AP40" i="4" s="1"/>
  <c r="AQ40" i="4" s="1"/>
  <c r="AR40" i="4" s="1"/>
  <c r="AS40" i="4" s="1"/>
  <c r="AT40" i="4" s="1"/>
  <c r="AU40" i="4" s="1"/>
  <c r="AV40" i="4" s="1"/>
  <c r="AW40" i="4" s="1"/>
  <c r="AX40" i="4" s="1"/>
  <c r="AY40" i="4" s="1"/>
  <c r="AZ40" i="4" s="1"/>
  <c r="BA40" i="4" s="1"/>
  <c r="BB40" i="4" s="1"/>
  <c r="BC40" i="4" s="1"/>
  <c r="BD40" i="4" s="1"/>
  <c r="BE40" i="4" s="1"/>
  <c r="BF40" i="4" s="1"/>
  <c r="BG40" i="4" s="1"/>
  <c r="BH40" i="4" s="1"/>
  <c r="BI40" i="4" s="1"/>
  <c r="BJ40" i="4" s="1"/>
  <c r="BK40" i="4" s="1"/>
  <c r="BL40" i="4" s="1"/>
  <c r="BM40" i="4" s="1"/>
  <c r="BN40" i="4" s="1"/>
  <c r="BO40" i="4" s="1"/>
  <c r="BP40" i="4" s="1"/>
  <c r="BQ40" i="4" s="1"/>
  <c r="BR40" i="4" s="1"/>
  <c r="BS40" i="4" s="1"/>
  <c r="BT40" i="4" s="1"/>
  <c r="BU40" i="4" s="1"/>
  <c r="BV40" i="4" s="1"/>
  <c r="BW40" i="4" s="1"/>
  <c r="BX40" i="4" s="1"/>
  <c r="BY40" i="4" s="1"/>
  <c r="BZ40" i="4" s="1"/>
  <c r="CA40" i="4" s="1"/>
  <c r="CB40" i="4" s="1"/>
  <c r="CC40" i="4" s="1"/>
  <c r="CD40" i="4" s="1"/>
  <c r="CE40" i="4" s="1"/>
  <c r="CF40" i="4" s="1"/>
  <c r="CG40" i="4" s="1"/>
  <c r="CH40" i="4" s="1"/>
  <c r="CI40" i="4" s="1"/>
  <c r="CJ40" i="4" s="1"/>
  <c r="CK40" i="4" s="1"/>
  <c r="CL40" i="4" s="1"/>
  <c r="CM40" i="4" s="1"/>
  <c r="CN40" i="4" s="1"/>
  <c r="CO40" i="4" s="1"/>
  <c r="CP40" i="4" s="1"/>
  <c r="CQ40" i="4" s="1"/>
  <c r="CR40" i="4" s="1"/>
  <c r="CS40" i="4" s="1"/>
  <c r="CT40" i="4" s="1"/>
  <c r="CU40" i="4" s="1"/>
  <c r="CV40" i="4" s="1"/>
  <c r="CW40" i="4" s="1"/>
  <c r="CX40" i="4" s="1"/>
  <c r="CY40" i="4" s="1"/>
  <c r="CZ40" i="4" s="1"/>
  <c r="DA40" i="4" s="1"/>
  <c r="DB40" i="4" s="1"/>
  <c r="DC40" i="4" s="1"/>
  <c r="DD40" i="4" s="1"/>
  <c r="DE40" i="4" s="1"/>
  <c r="DF40" i="4" s="1"/>
  <c r="DG40" i="4" s="1"/>
  <c r="DH40" i="4" s="1"/>
  <c r="DI40" i="4" s="1"/>
  <c r="DJ40" i="4" s="1"/>
  <c r="DK40" i="4" s="1"/>
  <c r="DL40" i="4" s="1"/>
  <c r="DM40" i="4" s="1"/>
  <c r="DN40" i="4" s="1"/>
  <c r="DO40" i="4" s="1"/>
  <c r="DP40" i="4" s="1"/>
  <c r="DQ40" i="4" s="1"/>
  <c r="DR40" i="4" s="1"/>
  <c r="DS40" i="4" s="1"/>
  <c r="DT40" i="4" s="1"/>
  <c r="E13" i="5"/>
  <c r="F13" i="5"/>
  <c r="G13" i="5"/>
  <c r="H13" i="5"/>
  <c r="I13" i="5"/>
  <c r="E145" i="13"/>
  <c r="E44" i="13"/>
  <c r="E45" i="13"/>
  <c r="C145" i="13"/>
  <c r="C43" i="13"/>
  <c r="C44" i="13"/>
  <c r="E43" i="13"/>
  <c r="C45" i="13"/>
  <c r="D145" i="13"/>
  <c r="D43" i="13"/>
  <c r="D45" i="13"/>
  <c r="D44" i="13"/>
  <c r="F145" i="13"/>
  <c r="F45" i="13"/>
  <c r="F43" i="13"/>
  <c r="F44" i="13"/>
  <c r="G43" i="13"/>
  <c r="G45" i="13"/>
  <c r="G145" i="13"/>
  <c r="G44" i="13"/>
  <c r="H145" i="13"/>
  <c r="H44" i="13"/>
  <c r="H45" i="13"/>
  <c r="H43" i="13"/>
  <c r="I43" i="13"/>
  <c r="I44" i="13"/>
  <c r="I145" i="13"/>
  <c r="I45" i="13"/>
  <c r="K8" i="9"/>
  <c r="K7" i="9"/>
  <c r="K13" i="9"/>
  <c r="K23" i="8" s="1"/>
  <c r="K51" i="8" s="1"/>
  <c r="K3" i="9"/>
  <c r="L4" i="9"/>
  <c r="K25" i="8"/>
  <c r="K13" i="5"/>
  <c r="K12" i="5"/>
  <c r="K11" i="5"/>
  <c r="L4" i="5"/>
  <c r="K3" i="5"/>
  <c r="K10" i="5"/>
  <c r="H38" i="11"/>
  <c r="H26" i="8" s="1"/>
  <c r="H37" i="11"/>
  <c r="H11" i="8" s="1"/>
  <c r="J23" i="8"/>
  <c r="L3" i="13"/>
  <c r="N18" i="11"/>
  <c r="N17" i="11"/>
  <c r="N15" i="11"/>
  <c r="O4" i="11"/>
  <c r="N8" i="11"/>
  <c r="N12" i="11" s="1"/>
  <c r="L7" i="13" s="1"/>
  <c r="N3" i="11"/>
  <c r="N2" i="11"/>
  <c r="N4" i="12"/>
  <c r="M3" i="12"/>
  <c r="P14" i="7"/>
  <c r="F7" i="11" s="1"/>
  <c r="F11" i="11" s="1"/>
  <c r="M38" i="11"/>
  <c r="M26" i="8" s="1"/>
  <c r="M37" i="11"/>
  <c r="M11" i="8" s="1"/>
  <c r="H50" i="8"/>
  <c r="K38" i="13"/>
  <c r="K143" i="13"/>
  <c r="K39" i="13"/>
  <c r="K43" i="13"/>
  <c r="K44" i="13"/>
  <c r="K145" i="13"/>
  <c r="K45" i="13"/>
  <c r="K37" i="13"/>
  <c r="K38" i="11"/>
  <c r="K26" i="8" s="1"/>
  <c r="K37" i="11"/>
  <c r="K11" i="8" s="1"/>
  <c r="J9" i="9"/>
  <c r="J8" i="8"/>
  <c r="L17" i="11"/>
  <c r="E38" i="11"/>
  <c r="E37" i="11"/>
  <c r="K16" i="10"/>
  <c r="K24" i="8"/>
  <c r="K52" i="8" s="1"/>
  <c r="S56" i="14"/>
  <c r="T56" i="14" s="1"/>
  <c r="J38" i="11"/>
  <c r="J26" i="8" s="1"/>
  <c r="J37" i="11"/>
  <c r="J11" i="8" s="1"/>
  <c r="F50" i="4"/>
  <c r="F38" i="4"/>
  <c r="F26" i="4"/>
  <c r="J8" i="5" s="1"/>
  <c r="F44" i="4"/>
  <c r="F32" i="4"/>
  <c r="T55" i="14" l="1"/>
  <c r="T64" i="14" s="1"/>
  <c r="F47" i="14" s="1"/>
  <c r="R64" i="14"/>
  <c r="F45" i="14" s="1"/>
  <c r="K33" i="13"/>
  <c r="H19" i="11"/>
  <c r="H41" i="11" s="1"/>
  <c r="H12" i="8" s="1"/>
  <c r="F19" i="11"/>
  <c r="F41" i="11" s="1"/>
  <c r="F12" i="8" s="1"/>
  <c r="N19" i="11"/>
  <c r="N41" i="11" s="1"/>
  <c r="N12" i="8" s="1"/>
  <c r="L19" i="11"/>
  <c r="L41" i="11" s="1"/>
  <c r="L12" i="8" s="1"/>
  <c r="K19" i="11"/>
  <c r="K20" i="11" s="1"/>
  <c r="J19" i="11"/>
  <c r="J20" i="11" s="1"/>
  <c r="F13" i="11"/>
  <c r="F33" i="11" s="1"/>
  <c r="K12" i="10"/>
  <c r="I19" i="11"/>
  <c r="I20" i="11" s="1"/>
  <c r="M20" i="11"/>
  <c r="E19" i="11"/>
  <c r="E41" i="11" s="1"/>
  <c r="G19" i="11"/>
  <c r="G20" i="11" s="1"/>
  <c r="S64" i="14"/>
  <c r="F46" i="14" s="1"/>
  <c r="L7" i="11"/>
  <c r="L11" i="11" s="1"/>
  <c r="L13" i="11" s="1"/>
  <c r="K7" i="11"/>
  <c r="K11" i="11" s="1"/>
  <c r="K13" i="11" s="1"/>
  <c r="I6" i="13" s="1"/>
  <c r="I26" i="13" s="1"/>
  <c r="J7" i="11"/>
  <c r="J11" i="11" s="1"/>
  <c r="J13" i="11" s="1"/>
  <c r="H6" i="13" s="1"/>
  <c r="H26" i="13" s="1"/>
  <c r="N7" i="11"/>
  <c r="N11" i="11" s="1"/>
  <c r="N13" i="11" s="1"/>
  <c r="L6" i="13" s="1"/>
  <c r="L26" i="13" s="1"/>
  <c r="H7" i="11"/>
  <c r="H11" i="11" s="1"/>
  <c r="H13" i="11" s="1"/>
  <c r="F6" i="13" s="1"/>
  <c r="F26" i="13" s="1"/>
  <c r="G7" i="11"/>
  <c r="G11" i="11" s="1"/>
  <c r="G13" i="11" s="1"/>
  <c r="G34" i="11" s="1"/>
  <c r="M7" i="11"/>
  <c r="M11" i="11" s="1"/>
  <c r="M13" i="11" s="1"/>
  <c r="K6" i="13" s="1"/>
  <c r="K26" i="13" s="1"/>
  <c r="E43" i="4"/>
  <c r="F43" i="4" s="1"/>
  <c r="G43" i="4" s="1"/>
  <c r="H43" i="4" s="1"/>
  <c r="I43" i="4" s="1"/>
  <c r="J43" i="4" s="1"/>
  <c r="K43" i="4" s="1"/>
  <c r="L43" i="4" s="1"/>
  <c r="M43" i="4" s="1"/>
  <c r="N43" i="4" s="1"/>
  <c r="O43" i="4" s="1"/>
  <c r="P43" i="4" s="1"/>
  <c r="Q43" i="4" s="1"/>
  <c r="R43" i="4" s="1"/>
  <c r="S43" i="4" s="1"/>
  <c r="T43" i="4" s="1"/>
  <c r="U43" i="4" s="1"/>
  <c r="V43" i="4" s="1"/>
  <c r="W43" i="4" s="1"/>
  <c r="X43" i="4" s="1"/>
  <c r="Y43" i="4" s="1"/>
  <c r="Z43" i="4" s="1"/>
  <c r="AA43" i="4" s="1"/>
  <c r="AB43" i="4" s="1"/>
  <c r="AC43" i="4" s="1"/>
  <c r="AD43" i="4" s="1"/>
  <c r="AE43" i="4" s="1"/>
  <c r="AF43" i="4" s="1"/>
  <c r="AG43" i="4" s="1"/>
  <c r="AH43" i="4" s="1"/>
  <c r="AI43" i="4" s="1"/>
  <c r="AJ43" i="4" s="1"/>
  <c r="AK43" i="4" s="1"/>
  <c r="AL43" i="4" s="1"/>
  <c r="AM43" i="4" s="1"/>
  <c r="AN43" i="4" s="1"/>
  <c r="AO43" i="4" s="1"/>
  <c r="AP43" i="4" s="1"/>
  <c r="AQ43" i="4" s="1"/>
  <c r="AR43" i="4" s="1"/>
  <c r="AS43" i="4" s="1"/>
  <c r="AT43" i="4" s="1"/>
  <c r="AU43" i="4" s="1"/>
  <c r="AV43" i="4" s="1"/>
  <c r="AW43" i="4" s="1"/>
  <c r="AX43" i="4" s="1"/>
  <c r="AY43" i="4" s="1"/>
  <c r="AZ43" i="4" s="1"/>
  <c r="BA43" i="4" s="1"/>
  <c r="BB43" i="4" s="1"/>
  <c r="BC43" i="4" s="1"/>
  <c r="BD43" i="4" s="1"/>
  <c r="BE43" i="4" s="1"/>
  <c r="BF43" i="4" s="1"/>
  <c r="BG43" i="4" s="1"/>
  <c r="BH43" i="4" s="1"/>
  <c r="BI43" i="4" s="1"/>
  <c r="BJ43" i="4" s="1"/>
  <c r="BK43" i="4" s="1"/>
  <c r="BL43" i="4" s="1"/>
  <c r="BM43" i="4" s="1"/>
  <c r="BN43" i="4" s="1"/>
  <c r="BO43" i="4" s="1"/>
  <c r="BP43" i="4" s="1"/>
  <c r="BQ43" i="4" s="1"/>
  <c r="BR43" i="4" s="1"/>
  <c r="BS43" i="4" s="1"/>
  <c r="BT43" i="4" s="1"/>
  <c r="BU43" i="4" s="1"/>
  <c r="BV43" i="4" s="1"/>
  <c r="BW43" i="4" s="1"/>
  <c r="BX43" i="4" s="1"/>
  <c r="BY43" i="4" s="1"/>
  <c r="BZ43" i="4" s="1"/>
  <c r="CA43" i="4" s="1"/>
  <c r="CB43" i="4" s="1"/>
  <c r="CC43" i="4" s="1"/>
  <c r="CD43" i="4" s="1"/>
  <c r="CE43" i="4" s="1"/>
  <c r="CF43" i="4" s="1"/>
  <c r="CG43" i="4" s="1"/>
  <c r="CH43" i="4" s="1"/>
  <c r="CI43" i="4" s="1"/>
  <c r="CJ43" i="4" s="1"/>
  <c r="CK43" i="4" s="1"/>
  <c r="CL43" i="4" s="1"/>
  <c r="CM43" i="4" s="1"/>
  <c r="CN43" i="4" s="1"/>
  <c r="CO43" i="4" s="1"/>
  <c r="CP43" i="4" s="1"/>
  <c r="CQ43" i="4" s="1"/>
  <c r="CR43" i="4" s="1"/>
  <c r="CS43" i="4" s="1"/>
  <c r="CT43" i="4" s="1"/>
  <c r="CU43" i="4" s="1"/>
  <c r="CV43" i="4" s="1"/>
  <c r="CW43" i="4" s="1"/>
  <c r="CX43" i="4" s="1"/>
  <c r="CY43" i="4" s="1"/>
  <c r="CZ43" i="4" s="1"/>
  <c r="DA43" i="4" s="1"/>
  <c r="DB43" i="4" s="1"/>
  <c r="DC43" i="4" s="1"/>
  <c r="DD43" i="4" s="1"/>
  <c r="DE43" i="4" s="1"/>
  <c r="DF43" i="4" s="1"/>
  <c r="DG43" i="4" s="1"/>
  <c r="DH43" i="4" s="1"/>
  <c r="DI43" i="4" s="1"/>
  <c r="DJ43" i="4" s="1"/>
  <c r="DK43" i="4" s="1"/>
  <c r="DL43" i="4" s="1"/>
  <c r="DM43" i="4" s="1"/>
  <c r="DN43" i="4" s="1"/>
  <c r="DO43" i="4" s="1"/>
  <c r="DP43" i="4" s="1"/>
  <c r="DQ43" i="4" s="1"/>
  <c r="DR43" i="4" s="1"/>
  <c r="DS43" i="4" s="1"/>
  <c r="DT43" i="4" s="1"/>
  <c r="E14" i="5"/>
  <c r="F14" i="5"/>
  <c r="G14" i="5"/>
  <c r="H14" i="5"/>
  <c r="I14" i="5"/>
  <c r="J14" i="5"/>
  <c r="I64" i="13"/>
  <c r="L16" i="10"/>
  <c r="L24" i="8"/>
  <c r="L52" i="8" s="1"/>
  <c r="K64" i="13"/>
  <c r="B18" i="13"/>
  <c r="L51" i="13" s="1"/>
  <c r="D15" i="4"/>
  <c r="D46" i="4"/>
  <c r="L15" i="5" s="1"/>
  <c r="H64" i="13"/>
  <c r="I50" i="8"/>
  <c r="I53" i="8" s="1"/>
  <c r="G64" i="13"/>
  <c r="M18" i="10"/>
  <c r="M9" i="10"/>
  <c r="N4" i="10"/>
  <c r="M3" i="10"/>
  <c r="M8" i="10"/>
  <c r="M7" i="10"/>
  <c r="M2" i="10"/>
  <c r="M6" i="10"/>
  <c r="F64" i="13"/>
  <c r="L12" i="5"/>
  <c r="L11" i="5"/>
  <c r="M4" i="5"/>
  <c r="L14" i="5"/>
  <c r="L10" i="5"/>
  <c r="L3" i="5"/>
  <c r="L13" i="5"/>
  <c r="E11" i="8"/>
  <c r="N38" i="11"/>
  <c r="N26" i="8" s="1"/>
  <c r="N37" i="11"/>
  <c r="N11" i="8" s="1"/>
  <c r="K12" i="9"/>
  <c r="K9" i="8"/>
  <c r="I7" i="11"/>
  <c r="I11" i="11" s="1"/>
  <c r="I13" i="11" s="1"/>
  <c r="L27" i="13"/>
  <c r="L145" i="13"/>
  <c r="L143" i="13"/>
  <c r="L43" i="13"/>
  <c r="L39" i="13"/>
  <c r="L38" i="13"/>
  <c r="L44" i="13"/>
  <c r="L45" i="13"/>
  <c r="L37" i="13"/>
  <c r="L33" i="13"/>
  <c r="D27" i="13"/>
  <c r="J33" i="13"/>
  <c r="L11" i="10"/>
  <c r="L7" i="8"/>
  <c r="M4" i="8"/>
  <c r="L3" i="8"/>
  <c r="E12" i="11"/>
  <c r="L8" i="9"/>
  <c r="L7" i="9"/>
  <c r="M4" i="9"/>
  <c r="L3" i="9"/>
  <c r="L13" i="9"/>
  <c r="L23" i="8" s="1"/>
  <c r="L51" i="8" s="1"/>
  <c r="K9" i="9"/>
  <c r="K8" i="8"/>
  <c r="M3" i="13"/>
  <c r="O17" i="11"/>
  <c r="O8" i="11"/>
  <c r="O12" i="11" s="1"/>
  <c r="M7" i="13" s="1"/>
  <c r="O15" i="11"/>
  <c r="O19" i="11"/>
  <c r="O18" i="11"/>
  <c r="O7" i="11"/>
  <c r="O11" i="11" s="1"/>
  <c r="P4" i="11"/>
  <c r="O2" i="11"/>
  <c r="O3" i="11"/>
  <c r="M42" i="11"/>
  <c r="M27" i="8" s="1"/>
  <c r="M41" i="11"/>
  <c r="M12" i="8" s="1"/>
  <c r="K37" i="8"/>
  <c r="H20" i="11"/>
  <c r="O4" i="12"/>
  <c r="N3" i="12"/>
  <c r="E26" i="8"/>
  <c r="T53" i="7"/>
  <c r="P53" i="7"/>
  <c r="T13" i="7"/>
  <c r="D56" i="7"/>
  <c r="H53" i="8"/>
  <c r="E7" i="11"/>
  <c r="E64" i="13"/>
  <c r="J64" i="13"/>
  <c r="N16" i="11"/>
  <c r="J51" i="8"/>
  <c r="L19" i="10"/>
  <c r="L10" i="8"/>
  <c r="D38" i="4"/>
  <c r="D26" i="4"/>
  <c r="D50" i="4"/>
  <c r="D32" i="4"/>
  <c r="D44" i="4"/>
  <c r="J22" i="8"/>
  <c r="J14" i="9"/>
  <c r="U55" i="14" l="1"/>
  <c r="U56" i="14" s="1"/>
  <c r="U57" i="14" s="1"/>
  <c r="U58" i="14" s="1"/>
  <c r="U59" i="14" s="1"/>
  <c r="U60" i="14" s="1"/>
  <c r="U61" i="14" s="1"/>
  <c r="U62" i="14" s="1"/>
  <c r="U63" i="14" s="1"/>
  <c r="U64" i="14" s="1"/>
  <c r="I41" i="11"/>
  <c r="I12" i="8" s="1"/>
  <c r="I42" i="11"/>
  <c r="I27" i="8" s="1"/>
  <c r="F42" i="11"/>
  <c r="F27" i="8" s="1"/>
  <c r="H42" i="11"/>
  <c r="H27" i="8" s="1"/>
  <c r="H33" i="11"/>
  <c r="H13" i="8" s="1"/>
  <c r="J42" i="11"/>
  <c r="J27" i="8" s="1"/>
  <c r="D6" i="13"/>
  <c r="D26" i="13" s="1"/>
  <c r="E20" i="11"/>
  <c r="J41" i="11"/>
  <c r="J12" i="8" s="1"/>
  <c r="F20" i="11"/>
  <c r="F27" i="11" s="1"/>
  <c r="D5" i="13" s="1"/>
  <c r="G41" i="11"/>
  <c r="G12" i="8" s="1"/>
  <c r="F34" i="11"/>
  <c r="F28" i="8" s="1"/>
  <c r="K41" i="11"/>
  <c r="K12" i="8" s="1"/>
  <c r="G42" i="11"/>
  <c r="G27" i="8" s="1"/>
  <c r="L12" i="10"/>
  <c r="L20" i="11"/>
  <c r="L27" i="11" s="1"/>
  <c r="K34" i="11"/>
  <c r="K28" i="8" s="1"/>
  <c r="N42" i="11"/>
  <c r="N27" i="8" s="1"/>
  <c r="K33" i="11"/>
  <c r="K13" i="8" s="1"/>
  <c r="J22" i="11"/>
  <c r="N20" i="11"/>
  <c r="N27" i="11" s="1"/>
  <c r="N43" i="8" s="1"/>
  <c r="L42" i="11"/>
  <c r="L27" i="8" s="1"/>
  <c r="K22" i="11"/>
  <c r="K42" i="11"/>
  <c r="K27" i="8" s="1"/>
  <c r="M27" i="11"/>
  <c r="M43" i="8" s="1"/>
  <c r="M33" i="11"/>
  <c r="M13" i="8" s="1"/>
  <c r="E42" i="11"/>
  <c r="E27" i="8" s="1"/>
  <c r="M34" i="11"/>
  <c r="M46" i="11" s="1"/>
  <c r="G22" i="11"/>
  <c r="H27" i="11"/>
  <c r="H43" i="8" s="1"/>
  <c r="H34" i="11"/>
  <c r="L147" i="13"/>
  <c r="G27" i="11"/>
  <c r="E5" i="13" s="1"/>
  <c r="K27" i="11"/>
  <c r="I5" i="13" s="1"/>
  <c r="I25" i="13" s="1"/>
  <c r="G33" i="11"/>
  <c r="G13" i="8" s="1"/>
  <c r="E6" i="13"/>
  <c r="K32" i="13" s="1"/>
  <c r="L50" i="13"/>
  <c r="J27" i="11"/>
  <c r="M22" i="11"/>
  <c r="J33" i="11"/>
  <c r="J13" i="8" s="1"/>
  <c r="L49" i="13"/>
  <c r="N34" i="11"/>
  <c r="N28" i="8" s="1"/>
  <c r="N33" i="11"/>
  <c r="N45" i="11" s="1"/>
  <c r="J34" i="11"/>
  <c r="L61" i="13"/>
  <c r="J6" i="13"/>
  <c r="J26" i="13" s="1"/>
  <c r="L34" i="11"/>
  <c r="L33" i="11"/>
  <c r="M39" i="13"/>
  <c r="M49" i="13"/>
  <c r="M44" i="13"/>
  <c r="M147" i="13"/>
  <c r="M37" i="13"/>
  <c r="M45" i="13"/>
  <c r="M38" i="13"/>
  <c r="M143" i="13"/>
  <c r="M50" i="13"/>
  <c r="M51" i="13"/>
  <c r="M145" i="13"/>
  <c r="M33" i="13"/>
  <c r="M43" i="13"/>
  <c r="M27" i="13"/>
  <c r="I61" i="13"/>
  <c r="M16" i="10"/>
  <c r="M24" i="8"/>
  <c r="H50" i="4"/>
  <c r="H44" i="4"/>
  <c r="H32" i="4"/>
  <c r="H26" i="4"/>
  <c r="L8" i="5" s="1"/>
  <c r="H38" i="4"/>
  <c r="O16" i="11"/>
  <c r="O20" i="11" s="1"/>
  <c r="H61" i="13"/>
  <c r="E12" i="8"/>
  <c r="M25" i="8"/>
  <c r="E11" i="11"/>
  <c r="E9" i="11"/>
  <c r="F6" i="11" s="1"/>
  <c r="F9" i="11" s="1"/>
  <c r="G6" i="11" s="1"/>
  <c r="G9" i="11" s="1"/>
  <c r="H6" i="11" s="1"/>
  <c r="H9" i="11" s="1"/>
  <c r="I6" i="11" s="1"/>
  <c r="I9" i="11" s="1"/>
  <c r="J6" i="11" s="1"/>
  <c r="J9" i="11" s="1"/>
  <c r="K6" i="11" s="1"/>
  <c r="K9" i="11" s="1"/>
  <c r="L6" i="11" s="1"/>
  <c r="L9" i="11" s="1"/>
  <c r="M6" i="11" s="1"/>
  <c r="M9" i="11" s="1"/>
  <c r="N6" i="11" s="1"/>
  <c r="N9" i="11" s="1"/>
  <c r="O6" i="11" s="1"/>
  <c r="O9" i="11" s="1"/>
  <c r="P6" i="11" s="1"/>
  <c r="M7" i="8"/>
  <c r="N4" i="8"/>
  <c r="M3" i="8"/>
  <c r="D64" i="13"/>
  <c r="J50" i="8"/>
  <c r="F61" i="13"/>
  <c r="L65" i="13"/>
  <c r="N18" i="10"/>
  <c r="N7" i="10"/>
  <c r="N9" i="10"/>
  <c r="N10" i="10" s="1"/>
  <c r="O4" i="10"/>
  <c r="N3" i="10"/>
  <c r="N8" i="10"/>
  <c r="N25" i="8" s="1"/>
  <c r="N2" i="10"/>
  <c r="N6" i="10"/>
  <c r="D7" i="7"/>
  <c r="D8" i="7" s="1"/>
  <c r="D57" i="7"/>
  <c r="K9" i="12" s="1"/>
  <c r="K27" i="12" s="1"/>
  <c r="T54" i="7"/>
  <c r="O22" i="12" s="1"/>
  <c r="P54" i="7"/>
  <c r="E8" i="12" s="1"/>
  <c r="P4" i="12"/>
  <c r="O3" i="12"/>
  <c r="M7" i="9"/>
  <c r="N4" i="9"/>
  <c r="M13" i="9"/>
  <c r="M23" i="8" s="1"/>
  <c r="M51" i="8" s="1"/>
  <c r="M3" i="9"/>
  <c r="M8" i="9"/>
  <c r="L32" i="13"/>
  <c r="K14" i="9"/>
  <c r="K22" i="8"/>
  <c r="M10" i="10"/>
  <c r="E46" i="4"/>
  <c r="F46" i="4" s="1"/>
  <c r="G46" i="4" s="1"/>
  <c r="H46" i="4" s="1"/>
  <c r="I46" i="4" s="1"/>
  <c r="J46" i="4" s="1"/>
  <c r="K46" i="4" s="1"/>
  <c r="L46" i="4" s="1"/>
  <c r="M46" i="4" s="1"/>
  <c r="N46" i="4" s="1"/>
  <c r="O46" i="4" s="1"/>
  <c r="P46" i="4" s="1"/>
  <c r="Q46" i="4" s="1"/>
  <c r="R46" i="4" s="1"/>
  <c r="S46" i="4" s="1"/>
  <c r="T46" i="4" s="1"/>
  <c r="U46" i="4" s="1"/>
  <c r="V46" i="4" s="1"/>
  <c r="W46" i="4" s="1"/>
  <c r="X46" i="4" s="1"/>
  <c r="Y46" i="4" s="1"/>
  <c r="Z46" i="4" s="1"/>
  <c r="AA46" i="4" s="1"/>
  <c r="AB46" i="4" s="1"/>
  <c r="AC46" i="4" s="1"/>
  <c r="AD46" i="4" s="1"/>
  <c r="AE46" i="4" s="1"/>
  <c r="AF46" i="4" s="1"/>
  <c r="AG46" i="4" s="1"/>
  <c r="AH46" i="4" s="1"/>
  <c r="AI46" i="4" s="1"/>
  <c r="AJ46" i="4" s="1"/>
  <c r="AK46" i="4" s="1"/>
  <c r="AL46" i="4" s="1"/>
  <c r="AM46" i="4" s="1"/>
  <c r="AN46" i="4" s="1"/>
  <c r="AO46" i="4" s="1"/>
  <c r="AP46" i="4" s="1"/>
  <c r="AQ46" i="4" s="1"/>
  <c r="AR46" i="4" s="1"/>
  <c r="AS46" i="4" s="1"/>
  <c r="AT46" i="4" s="1"/>
  <c r="AU46" i="4" s="1"/>
  <c r="AV46" i="4" s="1"/>
  <c r="AW46" i="4" s="1"/>
  <c r="AX46" i="4" s="1"/>
  <c r="AY46" i="4" s="1"/>
  <c r="AZ46" i="4" s="1"/>
  <c r="BA46" i="4" s="1"/>
  <c r="BB46" i="4" s="1"/>
  <c r="BC46" i="4" s="1"/>
  <c r="BD46" i="4" s="1"/>
  <c r="BE46" i="4" s="1"/>
  <c r="BF46" i="4" s="1"/>
  <c r="BG46" i="4" s="1"/>
  <c r="BH46" i="4" s="1"/>
  <c r="BI46" i="4" s="1"/>
  <c r="BJ46" i="4" s="1"/>
  <c r="BK46" i="4" s="1"/>
  <c r="BL46" i="4" s="1"/>
  <c r="BM46" i="4" s="1"/>
  <c r="BN46" i="4" s="1"/>
  <c r="BO46" i="4" s="1"/>
  <c r="BP46" i="4" s="1"/>
  <c r="BQ46" i="4" s="1"/>
  <c r="BR46" i="4" s="1"/>
  <c r="BS46" i="4" s="1"/>
  <c r="BT46" i="4" s="1"/>
  <c r="BU46" i="4" s="1"/>
  <c r="BV46" i="4" s="1"/>
  <c r="BW46" i="4" s="1"/>
  <c r="BX46" i="4" s="1"/>
  <c r="BY46" i="4" s="1"/>
  <c r="BZ46" i="4" s="1"/>
  <c r="CA46" i="4" s="1"/>
  <c r="CB46" i="4" s="1"/>
  <c r="CC46" i="4" s="1"/>
  <c r="CD46" i="4" s="1"/>
  <c r="CE46" i="4" s="1"/>
  <c r="CF46" i="4" s="1"/>
  <c r="CG46" i="4" s="1"/>
  <c r="CH46" i="4" s="1"/>
  <c r="CI46" i="4" s="1"/>
  <c r="CJ46" i="4" s="1"/>
  <c r="CK46" i="4" s="1"/>
  <c r="CL46" i="4" s="1"/>
  <c r="CM46" i="4" s="1"/>
  <c r="CN46" i="4" s="1"/>
  <c r="CO46" i="4" s="1"/>
  <c r="CP46" i="4" s="1"/>
  <c r="CQ46" i="4" s="1"/>
  <c r="CR46" i="4" s="1"/>
  <c r="CS46" i="4" s="1"/>
  <c r="CT46" i="4" s="1"/>
  <c r="CU46" i="4" s="1"/>
  <c r="CV46" i="4" s="1"/>
  <c r="CW46" i="4" s="1"/>
  <c r="CX46" i="4" s="1"/>
  <c r="CY46" i="4" s="1"/>
  <c r="CZ46" i="4" s="1"/>
  <c r="DA46" i="4" s="1"/>
  <c r="DB46" i="4" s="1"/>
  <c r="DC46" i="4" s="1"/>
  <c r="DD46" i="4" s="1"/>
  <c r="DE46" i="4" s="1"/>
  <c r="DF46" i="4" s="1"/>
  <c r="DG46" i="4" s="1"/>
  <c r="DH46" i="4" s="1"/>
  <c r="DI46" i="4" s="1"/>
  <c r="DJ46" i="4" s="1"/>
  <c r="DK46" i="4" s="1"/>
  <c r="DL46" i="4" s="1"/>
  <c r="DM46" i="4" s="1"/>
  <c r="DN46" i="4" s="1"/>
  <c r="DO46" i="4" s="1"/>
  <c r="DP46" i="4" s="1"/>
  <c r="DQ46" i="4" s="1"/>
  <c r="DR46" i="4" s="1"/>
  <c r="DS46" i="4" s="1"/>
  <c r="DT46" i="4" s="1"/>
  <c r="E15" i="5"/>
  <c r="F15" i="5"/>
  <c r="G15" i="5"/>
  <c r="H15" i="5"/>
  <c r="I15" i="5"/>
  <c r="J15" i="5"/>
  <c r="K15" i="5"/>
  <c r="I27" i="11"/>
  <c r="P59" i="7"/>
  <c r="N3" i="13"/>
  <c r="P17" i="11"/>
  <c r="P8" i="11"/>
  <c r="P3" i="11"/>
  <c r="P19" i="11"/>
  <c r="P15" i="11"/>
  <c r="P7" i="11"/>
  <c r="P11" i="11" s="1"/>
  <c r="Q4" i="11"/>
  <c r="P2" i="11"/>
  <c r="P18" i="11"/>
  <c r="L9" i="9"/>
  <c r="L8" i="8"/>
  <c r="M19" i="10"/>
  <c r="M10" i="8"/>
  <c r="B19" i="13"/>
  <c r="D49" i="4"/>
  <c r="M16" i="5" s="1"/>
  <c r="K61" i="13"/>
  <c r="F45" i="11"/>
  <c r="F13" i="8"/>
  <c r="G6" i="13"/>
  <c r="G26" i="13" s="1"/>
  <c r="I34" i="11"/>
  <c r="I33" i="11"/>
  <c r="I22" i="11"/>
  <c r="G50" i="4"/>
  <c r="G44" i="4"/>
  <c r="G32" i="4"/>
  <c r="G26" i="4"/>
  <c r="K8" i="5" s="1"/>
  <c r="G38" i="4"/>
  <c r="O13" i="11"/>
  <c r="L12" i="9"/>
  <c r="L9" i="8"/>
  <c r="E51" i="13"/>
  <c r="C51" i="13"/>
  <c r="C65" i="13" s="1"/>
  <c r="C49" i="13"/>
  <c r="C59" i="13" s="1"/>
  <c r="E147" i="13"/>
  <c r="E49" i="13"/>
  <c r="E59" i="13" s="1"/>
  <c r="C147" i="13"/>
  <c r="E50" i="13"/>
  <c r="E62" i="13" s="1"/>
  <c r="E70" i="13" s="1"/>
  <c r="C50" i="13"/>
  <c r="C62" i="13" s="1"/>
  <c r="C70" i="13" s="1"/>
  <c r="D51" i="13"/>
  <c r="D65" i="13" s="1"/>
  <c r="D50" i="13"/>
  <c r="D62" i="13" s="1"/>
  <c r="D70" i="13" s="1"/>
  <c r="D147" i="13"/>
  <c r="D49" i="13"/>
  <c r="D59" i="13" s="1"/>
  <c r="F49" i="13"/>
  <c r="F59" i="13" s="1"/>
  <c r="F51" i="13"/>
  <c r="F50" i="13"/>
  <c r="F62" i="13" s="1"/>
  <c r="F70" i="13" s="1"/>
  <c r="F147" i="13"/>
  <c r="G50" i="13"/>
  <c r="G62" i="13" s="1"/>
  <c r="G70" i="13" s="1"/>
  <c r="G147" i="13"/>
  <c r="G49" i="13"/>
  <c r="G59" i="13" s="1"/>
  <c r="G51" i="13"/>
  <c r="H51" i="13"/>
  <c r="H50" i="13"/>
  <c r="H62" i="13" s="1"/>
  <c r="H70" i="13" s="1"/>
  <c r="H147" i="13"/>
  <c r="H49" i="13"/>
  <c r="H59" i="13" s="1"/>
  <c r="I51" i="13"/>
  <c r="I49" i="13"/>
  <c r="I50" i="13"/>
  <c r="I147" i="13"/>
  <c r="J51" i="13"/>
  <c r="J50" i="13"/>
  <c r="J49" i="13"/>
  <c r="J147" i="13"/>
  <c r="K50" i="13"/>
  <c r="K51" i="13"/>
  <c r="K49" i="13"/>
  <c r="K147" i="13"/>
  <c r="G28" i="8"/>
  <c r="L64" i="13"/>
  <c r="L63" i="13"/>
  <c r="L73" i="13" s="1"/>
  <c r="L71" i="13"/>
  <c r="H22" i="11"/>
  <c r="T59" i="7"/>
  <c r="H8" i="5"/>
  <c r="O38" i="11"/>
  <c r="O37" i="11"/>
  <c r="L37" i="8"/>
  <c r="M12" i="5"/>
  <c r="M15" i="5"/>
  <c r="M11" i="5"/>
  <c r="N4" i="5"/>
  <c r="M14" i="5"/>
  <c r="M10" i="5"/>
  <c r="M3" i="5"/>
  <c r="M13" i="5"/>
  <c r="K38" i="8"/>
  <c r="O42" i="11"/>
  <c r="O27" i="8" s="1"/>
  <c r="O41" i="11"/>
  <c r="O12" i="8" s="1"/>
  <c r="C7" i="13"/>
  <c r="J46" i="11" l="1"/>
  <c r="J32" i="13"/>
  <c r="J69" i="13" s="1"/>
  <c r="H8" i="12"/>
  <c r="H15" i="12" s="1"/>
  <c r="H45" i="11"/>
  <c r="L5" i="13"/>
  <c r="L25" i="13" s="1"/>
  <c r="L58" i="13" s="1"/>
  <c r="F43" i="8"/>
  <c r="N22" i="11"/>
  <c r="F46" i="11"/>
  <c r="K46" i="11"/>
  <c r="F22" i="11"/>
  <c r="E26" i="13"/>
  <c r="E61" i="13" s="1"/>
  <c r="J28" i="8"/>
  <c r="H46" i="11"/>
  <c r="H28" i="8"/>
  <c r="G46" i="11"/>
  <c r="K45" i="11"/>
  <c r="N46" i="11"/>
  <c r="L10" i="12"/>
  <c r="L21" i="12" s="1"/>
  <c r="I22" i="12"/>
  <c r="I10" i="12"/>
  <c r="I21" i="12" s="1"/>
  <c r="M45" i="11"/>
  <c r="G10" i="12"/>
  <c r="G21" i="12" s="1"/>
  <c r="L22" i="11"/>
  <c r="E10" i="12"/>
  <c r="E21" i="12" s="1"/>
  <c r="F5" i="13"/>
  <c r="F25" i="13" s="1"/>
  <c r="E22" i="12"/>
  <c r="K5" i="13"/>
  <c r="K25" i="13" s="1"/>
  <c r="K58" i="13" s="1"/>
  <c r="M10" i="12"/>
  <c r="M21" i="12" s="1"/>
  <c r="J10" i="12"/>
  <c r="J21" i="12" s="1"/>
  <c r="L22" i="12"/>
  <c r="F10" i="12"/>
  <c r="F21" i="12" s="1"/>
  <c r="G43" i="8"/>
  <c r="K43" i="8"/>
  <c r="F22" i="12"/>
  <c r="M28" i="8"/>
  <c r="K10" i="12"/>
  <c r="K21" i="12" s="1"/>
  <c r="K22" i="12"/>
  <c r="J22" i="12"/>
  <c r="H22" i="12"/>
  <c r="G45" i="11"/>
  <c r="H10" i="12"/>
  <c r="H21" i="12" s="1"/>
  <c r="L38" i="8"/>
  <c r="L62" i="13"/>
  <c r="L70" i="13" s="1"/>
  <c r="M22" i="12"/>
  <c r="G22" i="12"/>
  <c r="L8" i="12"/>
  <c r="L15" i="12" s="1"/>
  <c r="G8" i="12"/>
  <c r="G15" i="12" s="1"/>
  <c r="N13" i="8"/>
  <c r="O8" i="12"/>
  <c r="O15" i="12" s="1"/>
  <c r="J45" i="11"/>
  <c r="M8" i="12"/>
  <c r="M15" i="12" s="1"/>
  <c r="K8" i="12"/>
  <c r="J8" i="12"/>
  <c r="J15" i="12" s="1"/>
  <c r="I8" i="12"/>
  <c r="I15" i="12" s="1"/>
  <c r="F8" i="12"/>
  <c r="F15" i="12" s="1"/>
  <c r="O10" i="12"/>
  <c r="O21" i="12" s="1"/>
  <c r="O23" i="12" s="1"/>
  <c r="O24" i="12" s="1"/>
  <c r="M65" i="13"/>
  <c r="K69" i="13"/>
  <c r="H5" i="13"/>
  <c r="H25" i="13" s="1"/>
  <c r="H57" i="13" s="1"/>
  <c r="H72" i="13" s="1"/>
  <c r="J43" i="8"/>
  <c r="F48" i="14"/>
  <c r="K28" i="12"/>
  <c r="K14" i="8"/>
  <c r="K15" i="8" s="1"/>
  <c r="O27" i="11"/>
  <c r="K50" i="8"/>
  <c r="K53" i="8" s="1"/>
  <c r="N9" i="12"/>
  <c r="N27" i="12" s="1"/>
  <c r="D60" i="13"/>
  <c r="D74" i="13" s="1"/>
  <c r="D61" i="13"/>
  <c r="D69" i="13"/>
  <c r="F63" i="13"/>
  <c r="F73" i="13" s="1"/>
  <c r="F65" i="13"/>
  <c r="F71" i="13"/>
  <c r="K60" i="13"/>
  <c r="K74" i="13" s="1"/>
  <c r="O3" i="13"/>
  <c r="Q8" i="11"/>
  <c r="Q12" i="11" s="1"/>
  <c r="O7" i="13" s="1"/>
  <c r="Q19" i="11"/>
  <c r="Q18" i="11"/>
  <c r="Q15" i="11"/>
  <c r="Q7" i="11"/>
  <c r="Q11" i="11" s="1"/>
  <c r="R4" i="11"/>
  <c r="Q2" i="11"/>
  <c r="Q17" i="11"/>
  <c r="Q3" i="11"/>
  <c r="O9" i="12"/>
  <c r="O27" i="12" s="1"/>
  <c r="O9" i="10"/>
  <c r="P4" i="10"/>
  <c r="O3" i="10"/>
  <c r="O8" i="10"/>
  <c r="O25" i="8" s="1"/>
  <c r="O7" i="10"/>
  <c r="O2" i="10"/>
  <c r="O6" i="10"/>
  <c r="O18" i="10"/>
  <c r="G9" i="12"/>
  <c r="G27" i="12" s="1"/>
  <c r="L69" i="13"/>
  <c r="J63" i="13"/>
  <c r="J73" i="13" s="1"/>
  <c r="J71" i="13"/>
  <c r="J61" i="13"/>
  <c r="O11" i="8"/>
  <c r="P37" i="11"/>
  <c r="P11" i="8" s="1"/>
  <c r="P38" i="11"/>
  <c r="P26" i="8" s="1"/>
  <c r="O4" i="8"/>
  <c r="N3" i="8"/>
  <c r="N7" i="8"/>
  <c r="J5" i="13"/>
  <c r="J25" i="13" s="1"/>
  <c r="L43" i="8"/>
  <c r="E65" i="13"/>
  <c r="E63" i="13"/>
  <c r="E73" i="13" s="1"/>
  <c r="E71" i="13"/>
  <c r="I45" i="11"/>
  <c r="I13" i="8"/>
  <c r="M9" i="8"/>
  <c r="M12" i="9"/>
  <c r="F9" i="12"/>
  <c r="F27" i="12" s="1"/>
  <c r="L60" i="13"/>
  <c r="L74" i="13" s="1"/>
  <c r="H63" i="13"/>
  <c r="H73" i="13" s="1"/>
  <c r="H71" i="13"/>
  <c r="H65" i="13"/>
  <c r="M6" i="13"/>
  <c r="M26" i="13" s="1"/>
  <c r="O33" i="11"/>
  <c r="O34" i="11"/>
  <c r="O22" i="11"/>
  <c r="J9" i="12"/>
  <c r="J27" i="12" s="1"/>
  <c r="I9" i="12"/>
  <c r="I27" i="12" s="1"/>
  <c r="O26" i="8"/>
  <c r="H9" i="12"/>
  <c r="H27" i="12" s="1"/>
  <c r="I46" i="11"/>
  <c r="I28" i="8"/>
  <c r="E49" i="4"/>
  <c r="F49" i="4" s="1"/>
  <c r="G49" i="4" s="1"/>
  <c r="H49" i="4" s="1"/>
  <c r="I49" i="4" s="1"/>
  <c r="J49" i="4" s="1"/>
  <c r="K49" i="4" s="1"/>
  <c r="L49" i="4" s="1"/>
  <c r="M49" i="4" s="1"/>
  <c r="N49" i="4" s="1"/>
  <c r="O49" i="4" s="1"/>
  <c r="P49" i="4" s="1"/>
  <c r="Q49" i="4" s="1"/>
  <c r="R49" i="4" s="1"/>
  <c r="S49" i="4" s="1"/>
  <c r="T49" i="4" s="1"/>
  <c r="U49" i="4" s="1"/>
  <c r="V49" i="4" s="1"/>
  <c r="W49" i="4" s="1"/>
  <c r="X49" i="4" s="1"/>
  <c r="Y49" i="4" s="1"/>
  <c r="Z49" i="4" s="1"/>
  <c r="AA49" i="4" s="1"/>
  <c r="AB49" i="4" s="1"/>
  <c r="AC49" i="4" s="1"/>
  <c r="AD49" i="4" s="1"/>
  <c r="AE49" i="4" s="1"/>
  <c r="AF49" i="4" s="1"/>
  <c r="AG49" i="4" s="1"/>
  <c r="AH49" i="4" s="1"/>
  <c r="AI49" i="4" s="1"/>
  <c r="AJ49" i="4" s="1"/>
  <c r="AK49" i="4" s="1"/>
  <c r="AL49" i="4" s="1"/>
  <c r="AM49" i="4" s="1"/>
  <c r="AN49" i="4" s="1"/>
  <c r="AO49" i="4" s="1"/>
  <c r="AP49" i="4" s="1"/>
  <c r="AQ49" i="4" s="1"/>
  <c r="AR49" i="4" s="1"/>
  <c r="AS49" i="4" s="1"/>
  <c r="AT49" i="4" s="1"/>
  <c r="AU49" i="4" s="1"/>
  <c r="AV49" i="4" s="1"/>
  <c r="AW49" i="4" s="1"/>
  <c r="AX49" i="4" s="1"/>
  <c r="AY49" i="4" s="1"/>
  <c r="AZ49" i="4" s="1"/>
  <c r="BA49" i="4" s="1"/>
  <c r="BB49" i="4" s="1"/>
  <c r="BC49" i="4" s="1"/>
  <c r="BD49" i="4" s="1"/>
  <c r="BE49" i="4" s="1"/>
  <c r="BF49" i="4" s="1"/>
  <c r="BG49" i="4" s="1"/>
  <c r="BH49" i="4" s="1"/>
  <c r="BI49" i="4" s="1"/>
  <c r="BJ49" i="4" s="1"/>
  <c r="BK49" i="4" s="1"/>
  <c r="BL49" i="4" s="1"/>
  <c r="BM49" i="4" s="1"/>
  <c r="BN49" i="4" s="1"/>
  <c r="BO49" i="4" s="1"/>
  <c r="BP49" i="4" s="1"/>
  <c r="BQ49" i="4" s="1"/>
  <c r="BR49" i="4" s="1"/>
  <c r="BS49" i="4" s="1"/>
  <c r="BT49" i="4" s="1"/>
  <c r="BU49" i="4" s="1"/>
  <c r="BV49" i="4" s="1"/>
  <c r="BW49" i="4" s="1"/>
  <c r="BX49" i="4" s="1"/>
  <c r="BY49" i="4" s="1"/>
  <c r="BZ49" i="4" s="1"/>
  <c r="CA49" i="4" s="1"/>
  <c r="CB49" i="4" s="1"/>
  <c r="CC49" i="4" s="1"/>
  <c r="CD49" i="4" s="1"/>
  <c r="CE49" i="4" s="1"/>
  <c r="CF49" i="4" s="1"/>
  <c r="CG49" i="4" s="1"/>
  <c r="CH49" i="4" s="1"/>
  <c r="CI49" i="4" s="1"/>
  <c r="CJ49" i="4" s="1"/>
  <c r="CK49" i="4" s="1"/>
  <c r="CL49" i="4" s="1"/>
  <c r="CM49" i="4" s="1"/>
  <c r="CN49" i="4" s="1"/>
  <c r="CO49" i="4" s="1"/>
  <c r="CP49" i="4" s="1"/>
  <c r="CQ49" i="4" s="1"/>
  <c r="CR49" i="4" s="1"/>
  <c r="CS49" i="4" s="1"/>
  <c r="CT49" i="4" s="1"/>
  <c r="CU49" i="4" s="1"/>
  <c r="CV49" i="4" s="1"/>
  <c r="CW49" i="4" s="1"/>
  <c r="CX49" i="4" s="1"/>
  <c r="CY49" i="4" s="1"/>
  <c r="CZ49" i="4" s="1"/>
  <c r="DA49" i="4" s="1"/>
  <c r="DB49" i="4" s="1"/>
  <c r="DC49" i="4" s="1"/>
  <c r="DD49" i="4" s="1"/>
  <c r="DE49" i="4" s="1"/>
  <c r="DF49" i="4" s="1"/>
  <c r="DG49" i="4" s="1"/>
  <c r="DH49" i="4" s="1"/>
  <c r="DI49" i="4" s="1"/>
  <c r="DJ49" i="4" s="1"/>
  <c r="DK49" i="4" s="1"/>
  <c r="DL49" i="4" s="1"/>
  <c r="DM49" i="4" s="1"/>
  <c r="DN49" i="4" s="1"/>
  <c r="DO49" i="4" s="1"/>
  <c r="DP49" i="4" s="1"/>
  <c r="DQ49" i="4" s="1"/>
  <c r="DR49" i="4" s="1"/>
  <c r="DS49" i="4" s="1"/>
  <c r="DT49" i="4" s="1"/>
  <c r="E16" i="5"/>
  <c r="F16" i="5"/>
  <c r="G16" i="5"/>
  <c r="H16" i="5"/>
  <c r="I16" i="5"/>
  <c r="J16" i="5"/>
  <c r="K16" i="5"/>
  <c r="L16" i="5"/>
  <c r="P16" i="11"/>
  <c r="P20" i="11" s="1"/>
  <c r="N16" i="10"/>
  <c r="N24" i="8"/>
  <c r="N52" i="8" s="1"/>
  <c r="E9" i="12"/>
  <c r="D25" i="13"/>
  <c r="J31" i="13"/>
  <c r="J59" i="13" s="1"/>
  <c r="K62" i="13"/>
  <c r="K70" i="13" s="1"/>
  <c r="G60" i="13"/>
  <c r="G74" i="13" s="1"/>
  <c r="G61" i="13"/>
  <c r="G69" i="13"/>
  <c r="P42" i="11"/>
  <c r="P27" i="8" s="1"/>
  <c r="P41" i="11"/>
  <c r="P12" i="8" s="1"/>
  <c r="P60" i="7"/>
  <c r="O16" i="12" s="1"/>
  <c r="O30" i="8" s="1"/>
  <c r="N8" i="12"/>
  <c r="N19" i="10"/>
  <c r="N10" i="8"/>
  <c r="F69" i="13"/>
  <c r="E25" i="13"/>
  <c r="K31" i="13"/>
  <c r="K59" i="13" s="1"/>
  <c r="H69" i="13"/>
  <c r="M52" i="8"/>
  <c r="M32" i="13"/>
  <c r="M62" i="13" s="1"/>
  <c r="M70" i="13" s="1"/>
  <c r="P22" i="12"/>
  <c r="P9" i="12"/>
  <c r="P27" i="12" s="1"/>
  <c r="P8" i="12"/>
  <c r="Q4" i="12"/>
  <c r="P3" i="12"/>
  <c r="P10" i="12"/>
  <c r="P21" i="12" s="1"/>
  <c r="I58" i="13"/>
  <c r="J65" i="13"/>
  <c r="K71" i="13"/>
  <c r="K65" i="13"/>
  <c r="K63" i="13"/>
  <c r="K73" i="13" s="1"/>
  <c r="L14" i="9"/>
  <c r="L22" i="8"/>
  <c r="M11" i="10"/>
  <c r="N8" i="9"/>
  <c r="N7" i="9"/>
  <c r="O4" i="9"/>
  <c r="N3" i="9"/>
  <c r="N13" i="9"/>
  <c r="N23" i="8" s="1"/>
  <c r="N51" i="8" s="1"/>
  <c r="T60" i="7"/>
  <c r="N10" i="12"/>
  <c r="N21" i="12" s="1"/>
  <c r="N22" i="12"/>
  <c r="F60" i="13"/>
  <c r="F74" i="13" s="1"/>
  <c r="D71" i="13"/>
  <c r="H60" i="13"/>
  <c r="H74" i="13" s="1"/>
  <c r="M64" i="13"/>
  <c r="M63" i="13"/>
  <c r="M73" i="13" s="1"/>
  <c r="M71" i="13"/>
  <c r="P12" i="11"/>
  <c r="P13" i="11" s="1"/>
  <c r="E15" i="12"/>
  <c r="M9" i="9"/>
  <c r="M8" i="8"/>
  <c r="D63" i="13"/>
  <c r="D73" i="13" s="1"/>
  <c r="P9" i="11"/>
  <c r="Q6" i="11" s="1"/>
  <c r="C27" i="13"/>
  <c r="I33" i="13"/>
  <c r="G63" i="13"/>
  <c r="G73" i="13" s="1"/>
  <c r="G71" i="13"/>
  <c r="G65" i="13"/>
  <c r="M9" i="12"/>
  <c r="M27" i="12" s="1"/>
  <c r="E13" i="11"/>
  <c r="L9" i="12"/>
  <c r="L27" i="12" s="1"/>
  <c r="J53" i="8"/>
  <c r="L45" i="11"/>
  <c r="L13" i="8"/>
  <c r="N32" i="13"/>
  <c r="N49" i="13"/>
  <c r="N43" i="13"/>
  <c r="N45" i="13"/>
  <c r="N33" i="13"/>
  <c r="N37" i="13"/>
  <c r="N39" i="13"/>
  <c r="N50" i="13"/>
  <c r="N145" i="13"/>
  <c r="N147" i="13"/>
  <c r="N51" i="13"/>
  <c r="N143" i="13"/>
  <c r="N44" i="13"/>
  <c r="N38" i="13"/>
  <c r="G5" i="13"/>
  <c r="I43" i="8"/>
  <c r="N16" i="5"/>
  <c r="N12" i="5"/>
  <c r="N15" i="5"/>
  <c r="N11" i="5"/>
  <c r="O4" i="5"/>
  <c r="N14" i="5"/>
  <c r="N10" i="5"/>
  <c r="N3" i="5"/>
  <c r="N13" i="5"/>
  <c r="N11" i="10"/>
  <c r="L46" i="11"/>
  <c r="L28" i="8"/>
  <c r="J60" i="13" l="1"/>
  <c r="J74" i="13" s="1"/>
  <c r="E11" i="12"/>
  <c r="J62" i="13"/>
  <c r="J70" i="13" s="1"/>
  <c r="K23" i="12"/>
  <c r="K24" i="12" s="1"/>
  <c r="I23" i="12"/>
  <c r="I24" i="12" s="1"/>
  <c r="L31" i="13"/>
  <c r="L59" i="13" s="1"/>
  <c r="E69" i="13"/>
  <c r="E60" i="13"/>
  <c r="E74" i="13" s="1"/>
  <c r="E23" i="12"/>
  <c r="E24" i="12" s="1"/>
  <c r="L23" i="12"/>
  <c r="L24" i="12" s="1"/>
  <c r="K11" i="12"/>
  <c r="H23" i="12"/>
  <c r="H24" i="12" s="1"/>
  <c r="G23" i="12"/>
  <c r="G24" i="12" s="1"/>
  <c r="M23" i="12"/>
  <c r="M24" i="12" s="1"/>
  <c r="J23" i="12"/>
  <c r="J24" i="12" s="1"/>
  <c r="F23" i="12"/>
  <c r="F24" i="12" s="1"/>
  <c r="K15" i="12"/>
  <c r="K29" i="8" s="1"/>
  <c r="G11" i="12"/>
  <c r="F11" i="12"/>
  <c r="H11" i="12"/>
  <c r="H56" i="13"/>
  <c r="K55" i="13"/>
  <c r="Q13" i="11"/>
  <c r="O6" i="13" s="1"/>
  <c r="O26" i="13" s="1"/>
  <c r="N62" i="13"/>
  <c r="N70" i="13" s="1"/>
  <c r="K56" i="13"/>
  <c r="N31" i="13"/>
  <c r="N59" i="13" s="1"/>
  <c r="I16" i="12"/>
  <c r="I30" i="8" s="1"/>
  <c r="K57" i="13"/>
  <c r="K72" i="13" s="1"/>
  <c r="Q9" i="11"/>
  <c r="R6" i="11" s="1"/>
  <c r="N23" i="12"/>
  <c r="N24" i="12" s="1"/>
  <c r="O11" i="12"/>
  <c r="H55" i="13"/>
  <c r="H58" i="13"/>
  <c r="N6" i="13"/>
  <c r="N26" i="13" s="1"/>
  <c r="P34" i="11"/>
  <c r="P33" i="11"/>
  <c r="P22" i="11"/>
  <c r="F58" i="13"/>
  <c r="F57" i="13"/>
  <c r="F72" i="13" s="1"/>
  <c r="F56" i="13"/>
  <c r="F55" i="13"/>
  <c r="J50" i="4"/>
  <c r="J44" i="4"/>
  <c r="J32" i="4"/>
  <c r="J38" i="4"/>
  <c r="J26" i="4"/>
  <c r="N8" i="5" s="1"/>
  <c r="G25" i="13"/>
  <c r="M31" i="13"/>
  <c r="M59" i="13" s="1"/>
  <c r="N65" i="13"/>
  <c r="N12" i="9"/>
  <c r="N9" i="8"/>
  <c r="L50" i="8"/>
  <c r="L53" i="8" s="1"/>
  <c r="Q22" i="12"/>
  <c r="Q16" i="12"/>
  <c r="Q30" i="8" s="1"/>
  <c r="Q8" i="12"/>
  <c r="Q3" i="12"/>
  <c r="Q10" i="12"/>
  <c r="Q21" i="12" s="1"/>
  <c r="R4" i="12"/>
  <c r="Q9" i="12"/>
  <c r="Q27" i="12" s="1"/>
  <c r="E27" i="12"/>
  <c r="I28" i="12"/>
  <c r="I14" i="8"/>
  <c r="I15" i="8" s="1"/>
  <c r="P4" i="8"/>
  <c r="O3" i="8"/>
  <c r="O7" i="8"/>
  <c r="O10" i="10"/>
  <c r="O11" i="10" s="1"/>
  <c r="M5" i="13"/>
  <c r="M25" i="13" s="1"/>
  <c r="O43" i="8"/>
  <c r="M28" i="12"/>
  <c r="M14" i="8"/>
  <c r="M15" i="8" s="1"/>
  <c r="N9" i="9"/>
  <c r="N8" i="8"/>
  <c r="N16" i="12"/>
  <c r="N30" i="8" s="1"/>
  <c r="E58" i="13"/>
  <c r="E57" i="13"/>
  <c r="E72" i="13" s="1"/>
  <c r="E56" i="13"/>
  <c r="E55" i="13"/>
  <c r="O28" i="12"/>
  <c r="O14" i="8"/>
  <c r="P3" i="13"/>
  <c r="R7" i="11"/>
  <c r="R15" i="11"/>
  <c r="R19" i="11"/>
  <c r="R18" i="11"/>
  <c r="S4" i="11"/>
  <c r="R8" i="11"/>
  <c r="R2" i="11"/>
  <c r="R17" i="11"/>
  <c r="R3" i="11"/>
  <c r="M37" i="8"/>
  <c r="M12" i="10"/>
  <c r="M11" i="12"/>
  <c r="O15" i="5"/>
  <c r="O11" i="5"/>
  <c r="P4" i="5"/>
  <c r="O14" i="5"/>
  <c r="O10" i="5"/>
  <c r="O3" i="5"/>
  <c r="O13" i="5"/>
  <c r="O12" i="5"/>
  <c r="O16" i="5"/>
  <c r="M16" i="12"/>
  <c r="M30" i="8" s="1"/>
  <c r="P15" i="12"/>
  <c r="P11" i="12"/>
  <c r="J28" i="12"/>
  <c r="J14" i="8"/>
  <c r="J15" i="8" s="1"/>
  <c r="I11" i="12"/>
  <c r="D55" i="13"/>
  <c r="D57" i="13"/>
  <c r="D72" i="13" s="1"/>
  <c r="D58" i="13"/>
  <c r="D56" i="13"/>
  <c r="P6" i="10"/>
  <c r="P3" i="10"/>
  <c r="P8" i="10"/>
  <c r="P7" i="10"/>
  <c r="P2" i="10"/>
  <c r="P18" i="10"/>
  <c r="P9" i="10"/>
  <c r="P10" i="10" s="1"/>
  <c r="Q4" i="10"/>
  <c r="N37" i="8"/>
  <c r="M29" i="8"/>
  <c r="L16" i="12"/>
  <c r="L30" i="8" s="1"/>
  <c r="P28" i="12"/>
  <c r="P14" i="8"/>
  <c r="F28" i="12"/>
  <c r="F14" i="8"/>
  <c r="F15" i="8" s="1"/>
  <c r="I29" i="8"/>
  <c r="Q16" i="11"/>
  <c r="Q20" i="11" s="1"/>
  <c r="M14" i="9"/>
  <c r="M22" i="8"/>
  <c r="G28" i="12"/>
  <c r="G14" i="8"/>
  <c r="G15" i="8" s="1"/>
  <c r="Q38" i="11"/>
  <c r="Q26" i="8" s="1"/>
  <c r="Q37" i="11"/>
  <c r="I50" i="4"/>
  <c r="I44" i="4"/>
  <c r="I32" i="4"/>
  <c r="I38" i="4"/>
  <c r="I26" i="4"/>
  <c r="K16" i="12"/>
  <c r="K30" i="8" s="1"/>
  <c r="L28" i="12"/>
  <c r="L14" i="8"/>
  <c r="L15" i="8" s="1"/>
  <c r="J16" i="12"/>
  <c r="J30" i="8" s="1"/>
  <c r="P16" i="12"/>
  <c r="P30" i="8" s="1"/>
  <c r="N15" i="12"/>
  <c r="N11" i="12"/>
  <c r="G29" i="8"/>
  <c r="O19" i="10"/>
  <c r="O10" i="8"/>
  <c r="Q41" i="11"/>
  <c r="Q42" i="11"/>
  <c r="Q27" i="8" s="1"/>
  <c r="N28" i="12"/>
  <c r="N14" i="8"/>
  <c r="O49" i="13"/>
  <c r="O32" i="13"/>
  <c r="O33" i="13"/>
  <c r="O147" i="13"/>
  <c r="O43" i="13"/>
  <c r="O39" i="13"/>
  <c r="O44" i="13"/>
  <c r="O50" i="13"/>
  <c r="O51" i="13"/>
  <c r="O27" i="13"/>
  <c r="O31" i="13"/>
  <c r="O145" i="13"/>
  <c r="O45" i="13"/>
  <c r="H16" i="12"/>
  <c r="H30" i="8" s="1"/>
  <c r="H29" i="8"/>
  <c r="I65" i="13"/>
  <c r="I63" i="13"/>
  <c r="I73" i="13" s="1"/>
  <c r="I71" i="13"/>
  <c r="G16" i="12"/>
  <c r="G30" i="8" s="1"/>
  <c r="F29" i="8"/>
  <c r="H28" i="12"/>
  <c r="H14" i="8"/>
  <c r="H15" i="8" s="1"/>
  <c r="M69" i="13"/>
  <c r="M61" i="13"/>
  <c r="M60" i="13"/>
  <c r="M74" i="13" s="1"/>
  <c r="J11" i="12"/>
  <c r="L11" i="12"/>
  <c r="O16" i="10"/>
  <c r="O24" i="8"/>
  <c r="P27" i="11"/>
  <c r="O17" i="12"/>
  <c r="O18" i="12" s="1"/>
  <c r="O29" i="8"/>
  <c r="J58" i="13"/>
  <c r="J56" i="13"/>
  <c r="J57" i="13"/>
  <c r="J72" i="13" s="1"/>
  <c r="J55" i="13"/>
  <c r="C64" i="13"/>
  <c r="C63" i="13"/>
  <c r="C73" i="13" s="1"/>
  <c r="C71" i="13"/>
  <c r="N7" i="13"/>
  <c r="N27" i="13" s="1"/>
  <c r="F16" i="12"/>
  <c r="F30" i="8" s="1"/>
  <c r="J29" i="8"/>
  <c r="L29" i="8"/>
  <c r="O46" i="11"/>
  <c r="O28" i="8"/>
  <c r="E29" i="8"/>
  <c r="O45" i="11"/>
  <c r="O13" i="8"/>
  <c r="C6" i="13"/>
  <c r="O38" i="13" s="1"/>
  <c r="E34" i="11"/>
  <c r="E33" i="11"/>
  <c r="E22" i="11"/>
  <c r="E27" i="11"/>
  <c r="O8" i="9"/>
  <c r="P4" i="9"/>
  <c r="O3" i="9"/>
  <c r="O13" i="9"/>
  <c r="O23" i="8" s="1"/>
  <c r="O51" i="8" s="1"/>
  <c r="O7" i="9"/>
  <c r="E16" i="12"/>
  <c r="E17" i="12" s="1"/>
  <c r="P23" i="12"/>
  <c r="P24" i="12" s="1"/>
  <c r="L55" i="13" l="1"/>
  <c r="L57" i="13"/>
  <c r="L72" i="13" s="1"/>
  <c r="L56" i="13"/>
  <c r="Q27" i="11"/>
  <c r="O5" i="13" s="1"/>
  <c r="O25" i="13" s="1"/>
  <c r="I31" i="8"/>
  <c r="H41" i="4" s="1"/>
  <c r="F17" i="12"/>
  <c r="F18" i="12" s="1"/>
  <c r="I17" i="12"/>
  <c r="I18" i="12" s="1"/>
  <c r="Q33" i="11"/>
  <c r="Q13" i="8" s="1"/>
  <c r="Q34" i="11"/>
  <c r="Q46" i="11" s="1"/>
  <c r="F31" i="8"/>
  <c r="E35" i="4" s="1"/>
  <c r="L31" i="8"/>
  <c r="K47" i="4" s="1"/>
  <c r="L17" i="12"/>
  <c r="L18" i="12" s="1"/>
  <c r="J31" i="8"/>
  <c r="I23" i="4" s="1"/>
  <c r="J7" i="5" s="1"/>
  <c r="J17" i="5" s="1"/>
  <c r="J21" i="5" s="1"/>
  <c r="J17" i="12"/>
  <c r="J18" i="12" s="1"/>
  <c r="G31" i="8"/>
  <c r="F29" i="4" s="1"/>
  <c r="M9" i="5" s="1"/>
  <c r="R9" i="11"/>
  <c r="S6" i="11" s="1"/>
  <c r="N15" i="8"/>
  <c r="O62" i="13"/>
  <c r="O70" i="13" s="1"/>
  <c r="Q23" i="12"/>
  <c r="Q24" i="12" s="1"/>
  <c r="P11" i="10"/>
  <c r="P37" i="8" s="1"/>
  <c r="O60" i="13"/>
  <c r="O74" i="13" s="1"/>
  <c r="O61" i="13"/>
  <c r="O69" i="13"/>
  <c r="O8" i="8"/>
  <c r="O9" i="9"/>
  <c r="N17" i="12"/>
  <c r="N18" i="12" s="1"/>
  <c r="N29" i="8"/>
  <c r="N14" i="9"/>
  <c r="N22" i="8"/>
  <c r="M38" i="8"/>
  <c r="N38" i="8" s="1"/>
  <c r="O64" i="13"/>
  <c r="O63" i="13"/>
  <c r="O73" i="13" s="1"/>
  <c r="O71" i="13"/>
  <c r="Q11" i="8"/>
  <c r="N12" i="10"/>
  <c r="O12" i="10" s="1"/>
  <c r="R42" i="11"/>
  <c r="R27" i="8" s="1"/>
  <c r="R41" i="11"/>
  <c r="R12" i="8" s="1"/>
  <c r="G58" i="13"/>
  <c r="G57" i="13"/>
  <c r="G72" i="13" s="1"/>
  <c r="G56" i="13"/>
  <c r="G55" i="13"/>
  <c r="M58" i="13"/>
  <c r="M57" i="13"/>
  <c r="M72" i="13" s="1"/>
  <c r="M56" i="13"/>
  <c r="M55" i="13"/>
  <c r="O12" i="9"/>
  <c r="O9" i="8"/>
  <c r="C5" i="13"/>
  <c r="E28" i="11"/>
  <c r="E43" i="8"/>
  <c r="E18" i="12"/>
  <c r="Q8" i="10"/>
  <c r="Q25" i="8" s="1"/>
  <c r="R4" i="10"/>
  <c r="Q3" i="10"/>
  <c r="Q7" i="10"/>
  <c r="Q2" i="10"/>
  <c r="Q6" i="10"/>
  <c r="Q18" i="10"/>
  <c r="Q9" i="10"/>
  <c r="Q10" i="10" s="1"/>
  <c r="Q22" i="11"/>
  <c r="R16" i="11"/>
  <c r="R20" i="11" s="1"/>
  <c r="P45" i="11"/>
  <c r="P13" i="8"/>
  <c r="R38" i="11"/>
  <c r="R37" i="11"/>
  <c r="R11" i="8" s="1"/>
  <c r="R22" i="12"/>
  <c r="R8" i="12"/>
  <c r="S4" i="12"/>
  <c r="R3" i="12"/>
  <c r="R10" i="12"/>
  <c r="R9" i="12"/>
  <c r="R16" i="12"/>
  <c r="R30" i="8" s="1"/>
  <c r="H31" i="8"/>
  <c r="E23" i="11"/>
  <c r="H17" i="12"/>
  <c r="H18" i="12" s="1"/>
  <c r="R11" i="11"/>
  <c r="P46" i="11"/>
  <c r="P28" i="8"/>
  <c r="Q12" i="8"/>
  <c r="P19" i="10"/>
  <c r="P10" i="8"/>
  <c r="P37" i="13"/>
  <c r="P145" i="13"/>
  <c r="P31" i="13"/>
  <c r="P44" i="13"/>
  <c r="P39" i="13"/>
  <c r="P45" i="13"/>
  <c r="P33" i="13"/>
  <c r="P49" i="13"/>
  <c r="P43" i="13"/>
  <c r="P50" i="13"/>
  <c r="P38" i="13"/>
  <c r="P147" i="13"/>
  <c r="P32" i="13"/>
  <c r="P51" i="13"/>
  <c r="Q15" i="12"/>
  <c r="Q11" i="12"/>
  <c r="N69" i="13"/>
  <c r="N60" i="13"/>
  <c r="N74" i="13" s="1"/>
  <c r="N61" i="13"/>
  <c r="E28" i="12"/>
  <c r="E14" i="8"/>
  <c r="P17" i="12"/>
  <c r="P18" i="12" s="1"/>
  <c r="P29" i="8"/>
  <c r="O65" i="13"/>
  <c r="R12" i="11"/>
  <c r="O52" i="8"/>
  <c r="M17" i="12"/>
  <c r="M18" i="12" s="1"/>
  <c r="Q28" i="12"/>
  <c r="Q14" i="8"/>
  <c r="E45" i="11"/>
  <c r="E13" i="8"/>
  <c r="M8" i="5"/>
  <c r="P16" i="10"/>
  <c r="P24" i="8"/>
  <c r="P52" i="8" s="1"/>
  <c r="P7" i="8"/>
  <c r="Q4" i="8"/>
  <c r="P3" i="8"/>
  <c r="Q3" i="13"/>
  <c r="S7" i="11"/>
  <c r="S11" i="11" s="1"/>
  <c r="S15" i="11"/>
  <c r="S19" i="11"/>
  <c r="S18" i="11"/>
  <c r="T4" i="11"/>
  <c r="S8" i="11"/>
  <c r="S12" i="11" s="1"/>
  <c r="Q7" i="13" s="1"/>
  <c r="S2" i="11"/>
  <c r="S17" i="11"/>
  <c r="S3" i="11"/>
  <c r="P8" i="9"/>
  <c r="P7" i="9"/>
  <c r="P3" i="9"/>
  <c r="P13" i="9"/>
  <c r="P23" i="8" s="1"/>
  <c r="P51" i="8" s="1"/>
  <c r="Q4" i="9"/>
  <c r="C26" i="13"/>
  <c r="I32" i="13"/>
  <c r="K31" i="8"/>
  <c r="O37" i="8"/>
  <c r="G17" i="12"/>
  <c r="G18" i="12" s="1"/>
  <c r="M31" i="8"/>
  <c r="M50" i="8"/>
  <c r="M53" i="8" s="1"/>
  <c r="P25" i="8"/>
  <c r="K50" i="4"/>
  <c r="K44" i="4"/>
  <c r="K32" i="4"/>
  <c r="K38" i="4"/>
  <c r="K26" i="4"/>
  <c r="O8" i="5" s="1"/>
  <c r="N64" i="13"/>
  <c r="N63" i="13"/>
  <c r="N73" i="13" s="1"/>
  <c r="C84" i="13" s="1"/>
  <c r="C85" i="13" s="1"/>
  <c r="N71" i="13"/>
  <c r="E46" i="11"/>
  <c r="E28" i="8"/>
  <c r="N5" i="13"/>
  <c r="N25" i="13" s="1"/>
  <c r="P43" i="8"/>
  <c r="E30" i="8"/>
  <c r="K17" i="12"/>
  <c r="K18" i="12" s="1"/>
  <c r="P15" i="5"/>
  <c r="P11" i="5"/>
  <c r="Q4" i="5"/>
  <c r="P14" i="5"/>
  <c r="P10" i="5"/>
  <c r="P3" i="5"/>
  <c r="P13" i="5"/>
  <c r="P16" i="5"/>
  <c r="P12" i="5"/>
  <c r="Q45" i="11" l="1"/>
  <c r="Q28" i="8"/>
  <c r="H29" i="4"/>
  <c r="O9" i="5" s="1"/>
  <c r="K23" i="4"/>
  <c r="L7" i="5" s="1"/>
  <c r="H47" i="4"/>
  <c r="H23" i="4"/>
  <c r="I7" i="5" s="1"/>
  <c r="I17" i="5" s="1"/>
  <c r="I21" i="5" s="1"/>
  <c r="H35" i="4"/>
  <c r="Q43" i="8"/>
  <c r="E29" i="4"/>
  <c r="L9" i="5" s="1"/>
  <c r="E23" i="4"/>
  <c r="F7" i="5" s="1"/>
  <c r="F17" i="5" s="1"/>
  <c r="F21" i="5" s="1"/>
  <c r="E47" i="4"/>
  <c r="E41" i="4"/>
  <c r="P12" i="10"/>
  <c r="I35" i="4"/>
  <c r="I47" i="4"/>
  <c r="K35" i="4"/>
  <c r="K29" i="4"/>
  <c r="O15" i="8"/>
  <c r="P59" i="13"/>
  <c r="K41" i="4"/>
  <c r="F47" i="4"/>
  <c r="I29" i="4"/>
  <c r="P9" i="5" s="1"/>
  <c r="I41" i="4"/>
  <c r="F41" i="4"/>
  <c r="F35" i="4"/>
  <c r="F23" i="4"/>
  <c r="G7" i="5" s="1"/>
  <c r="G17" i="5" s="1"/>
  <c r="G21" i="5" s="1"/>
  <c r="S13" i="11"/>
  <c r="S33" i="11" s="1"/>
  <c r="J47" i="4"/>
  <c r="J41" i="4"/>
  <c r="J29" i="4"/>
  <c r="Q9" i="5" s="1"/>
  <c r="J35" i="4"/>
  <c r="J23" i="4"/>
  <c r="K7" i="5" s="1"/>
  <c r="Q37" i="13"/>
  <c r="Q39" i="13"/>
  <c r="Q51" i="13"/>
  <c r="Q145" i="13"/>
  <c r="Q49" i="13"/>
  <c r="Q32" i="13"/>
  <c r="Q38" i="13"/>
  <c r="Q43" i="13"/>
  <c r="Q44" i="13"/>
  <c r="Q31" i="13"/>
  <c r="Q45" i="13"/>
  <c r="Q27" i="13"/>
  <c r="Q33" i="13"/>
  <c r="Q147" i="13"/>
  <c r="Q50" i="13"/>
  <c r="B69" i="14"/>
  <c r="G89" i="13"/>
  <c r="F89" i="13"/>
  <c r="E89" i="13"/>
  <c r="D89" i="13"/>
  <c r="C86" i="13"/>
  <c r="D69" i="14" s="1"/>
  <c r="C89" i="13"/>
  <c r="B89" i="13"/>
  <c r="L89" i="13"/>
  <c r="K89" i="13"/>
  <c r="J89" i="13"/>
  <c r="I89" i="13"/>
  <c r="H89" i="13"/>
  <c r="Q11" i="10"/>
  <c r="F28" i="11"/>
  <c r="G28" i="11" s="1"/>
  <c r="H28" i="11" s="1"/>
  <c r="I28" i="11" s="1"/>
  <c r="J28" i="11" s="1"/>
  <c r="K28" i="11" s="1"/>
  <c r="L28" i="11" s="1"/>
  <c r="M28" i="11" s="1"/>
  <c r="N28" i="11" s="1"/>
  <c r="O28" i="11" s="1"/>
  <c r="P28" i="11" s="1"/>
  <c r="Q28" i="11" s="1"/>
  <c r="P12" i="9"/>
  <c r="P9" i="8"/>
  <c r="Q19" i="10"/>
  <c r="Q10" i="8"/>
  <c r="E15" i="8"/>
  <c r="R15" i="12"/>
  <c r="R11" i="12"/>
  <c r="N31" i="8"/>
  <c r="N50" i="8"/>
  <c r="N53" i="8" s="1"/>
  <c r="I62" i="13"/>
  <c r="I70" i="13" s="1"/>
  <c r="J54" i="14" s="1"/>
  <c r="I60" i="13"/>
  <c r="I74" i="13" s="1"/>
  <c r="I69" i="13"/>
  <c r="Q7" i="8"/>
  <c r="R4" i="8"/>
  <c r="Q3" i="8"/>
  <c r="C60" i="13"/>
  <c r="C74" i="13" s="1"/>
  <c r="C61" i="13"/>
  <c r="C69" i="13"/>
  <c r="R26" i="8"/>
  <c r="Q16" i="10"/>
  <c r="Q24" i="8"/>
  <c r="Q52" i="8" s="1"/>
  <c r="C25" i="13"/>
  <c r="I31" i="13"/>
  <c r="O37" i="13"/>
  <c r="O59" i="13" s="1"/>
  <c r="E31" i="8"/>
  <c r="O58" i="13"/>
  <c r="Q17" i="12"/>
  <c r="Q29" i="8"/>
  <c r="G35" i="4"/>
  <c r="G23" i="4"/>
  <c r="H7" i="5" s="1"/>
  <c r="H17" i="5" s="1"/>
  <c r="H21" i="5" s="1"/>
  <c r="G47" i="4"/>
  <c r="G29" i="4"/>
  <c r="N9" i="5" s="1"/>
  <c r="G41" i="4"/>
  <c r="E44" i="8"/>
  <c r="P7" i="13"/>
  <c r="P27" i="13" s="1"/>
  <c r="R13" i="11"/>
  <c r="R27" i="11" s="1"/>
  <c r="Q15" i="5"/>
  <c r="R4" i="5"/>
  <c r="Q14" i="5"/>
  <c r="Q10" i="5"/>
  <c r="Q3" i="5"/>
  <c r="Q13" i="5"/>
  <c r="Q16" i="5"/>
  <c r="Q12" i="5"/>
  <c r="L50" i="4"/>
  <c r="L44" i="4"/>
  <c r="L32" i="4"/>
  <c r="L38" i="4"/>
  <c r="L26" i="4"/>
  <c r="Q7" i="9"/>
  <c r="R4" i="9"/>
  <c r="Q3" i="9"/>
  <c r="Q13" i="9"/>
  <c r="Q23" i="8" s="1"/>
  <c r="Q51" i="8" s="1"/>
  <c r="Q8" i="9"/>
  <c r="P65" i="13"/>
  <c r="R3" i="10"/>
  <c r="R8" i="10"/>
  <c r="R25" i="8" s="1"/>
  <c r="R7" i="10"/>
  <c r="R2" i="10"/>
  <c r="R6" i="10"/>
  <c r="R18" i="10"/>
  <c r="R9" i="10"/>
  <c r="R10" i="10" s="1"/>
  <c r="S4" i="10"/>
  <c r="O14" i="9"/>
  <c r="O22" i="8"/>
  <c r="O38" i="8"/>
  <c r="P38" i="8" s="1"/>
  <c r="L47" i="4"/>
  <c r="L41" i="4"/>
  <c r="L29" i="4"/>
  <c r="L23" i="4"/>
  <c r="M7" i="5" s="1"/>
  <c r="M17" i="5" s="1"/>
  <c r="M21" i="5" s="1"/>
  <c r="L35" i="4"/>
  <c r="R3" i="13"/>
  <c r="T15" i="11"/>
  <c r="T18" i="11"/>
  <c r="T17" i="11"/>
  <c r="U4" i="11"/>
  <c r="T8" i="11"/>
  <c r="T2" i="11"/>
  <c r="T19" i="11"/>
  <c r="T3" i="11"/>
  <c r="T7" i="11"/>
  <c r="T11" i="11" s="1"/>
  <c r="F23" i="11"/>
  <c r="G23" i="11" s="1"/>
  <c r="H23" i="11" s="1"/>
  <c r="I23" i="11" s="1"/>
  <c r="J23" i="11" s="1"/>
  <c r="K23" i="11" s="1"/>
  <c r="L23" i="11" s="1"/>
  <c r="M23" i="11" s="1"/>
  <c r="N23" i="11" s="1"/>
  <c r="O23" i="11" s="1"/>
  <c r="P23" i="11" s="1"/>
  <c r="Q23" i="11" s="1"/>
  <c r="R27" i="12"/>
  <c r="S16" i="11"/>
  <c r="S20" i="11" s="1"/>
  <c r="N58" i="13"/>
  <c r="N57" i="13"/>
  <c r="N72" i="13" s="1"/>
  <c r="N56" i="13"/>
  <c r="N55" i="13"/>
  <c r="S22" i="12"/>
  <c r="T4" i="12"/>
  <c r="S10" i="12"/>
  <c r="S21" i="12" s="1"/>
  <c r="S9" i="12"/>
  <c r="S27" i="12" s="1"/>
  <c r="S8" i="12"/>
  <c r="S3" i="12"/>
  <c r="S16" i="12"/>
  <c r="S38" i="11"/>
  <c r="S26" i="8" s="1"/>
  <c r="S37" i="11"/>
  <c r="S11" i="8" s="1"/>
  <c r="P9" i="9"/>
  <c r="P8" i="8"/>
  <c r="S42" i="11"/>
  <c r="S27" i="8" s="1"/>
  <c r="S41" i="11"/>
  <c r="S12" i="8" s="1"/>
  <c r="P62" i="13"/>
  <c r="P70" i="13" s="1"/>
  <c r="R21" i="12"/>
  <c r="R23" i="12" s="1"/>
  <c r="S9" i="11"/>
  <c r="T6" i="11" s="1"/>
  <c r="Q12" i="10" l="1"/>
  <c r="L17" i="5"/>
  <c r="L21" i="5" s="1"/>
  <c r="P15" i="8"/>
  <c r="S23" i="12"/>
  <c r="S24" i="12" s="1"/>
  <c r="S34" i="11"/>
  <c r="S28" i="8" s="1"/>
  <c r="Q6" i="13"/>
  <c r="Q26" i="13" s="1"/>
  <c r="Q60" i="13" s="1"/>
  <c r="Q74" i="13" s="1"/>
  <c r="O56" i="13"/>
  <c r="O55" i="13"/>
  <c r="B54" i="14"/>
  <c r="C54" i="14" s="1"/>
  <c r="D54" i="14" s="1"/>
  <c r="R11" i="10"/>
  <c r="R37" i="8" s="1"/>
  <c r="S27" i="11"/>
  <c r="S22" i="11"/>
  <c r="M38" i="4"/>
  <c r="M26" i="4"/>
  <c r="Q8" i="5" s="1"/>
  <c r="M44" i="4"/>
  <c r="M32" i="4"/>
  <c r="M50" i="4"/>
  <c r="S3" i="13"/>
  <c r="U18" i="11"/>
  <c r="U17" i="11"/>
  <c r="V4" i="11"/>
  <c r="U8" i="11"/>
  <c r="U12" i="11" s="1"/>
  <c r="S7" i="13" s="1"/>
  <c r="U2" i="11"/>
  <c r="U19" i="11"/>
  <c r="U3" i="11"/>
  <c r="U15" i="11"/>
  <c r="U7" i="11"/>
  <c r="U11" i="11" s="1"/>
  <c r="T38" i="11"/>
  <c r="T37" i="11"/>
  <c r="T11" i="8" s="1"/>
  <c r="E32" i="8"/>
  <c r="D47" i="4"/>
  <c r="D35" i="4"/>
  <c r="D23" i="4"/>
  <c r="D29" i="4"/>
  <c r="D41" i="4"/>
  <c r="J92" i="13"/>
  <c r="J90" i="13"/>
  <c r="S4" i="5"/>
  <c r="R14" i="5"/>
  <c r="R10" i="5"/>
  <c r="R3" i="5"/>
  <c r="R13" i="5"/>
  <c r="R9" i="5"/>
  <c r="R16" i="5"/>
  <c r="R12" i="5"/>
  <c r="R15" i="5"/>
  <c r="R11" i="5"/>
  <c r="G90" i="13"/>
  <c r="G92" i="13"/>
  <c r="H90" i="13"/>
  <c r="H92" i="13"/>
  <c r="O31" i="8"/>
  <c r="O50" i="8"/>
  <c r="O53" i="8" s="1"/>
  <c r="I92" i="13"/>
  <c r="I90" i="13"/>
  <c r="P5" i="13"/>
  <c r="P25" i="13" s="1"/>
  <c r="R28" i="11"/>
  <c r="R43" i="8"/>
  <c r="T16" i="11"/>
  <c r="T20" i="11" s="1"/>
  <c r="S3" i="10"/>
  <c r="S18" i="10"/>
  <c r="S8" i="10"/>
  <c r="S25" i="8" s="1"/>
  <c r="S7" i="10"/>
  <c r="S2" i="10"/>
  <c r="S6" i="10"/>
  <c r="S9" i="10"/>
  <c r="S10" i="10" s="1"/>
  <c r="T4" i="10"/>
  <c r="Q12" i="9"/>
  <c r="Q9" i="8"/>
  <c r="P6" i="13"/>
  <c r="P26" i="13" s="1"/>
  <c r="R33" i="11"/>
  <c r="R34" i="11"/>
  <c r="R22" i="11"/>
  <c r="R17" i="12"/>
  <c r="R18" i="12" s="1"/>
  <c r="R29" i="8"/>
  <c r="P14" i="9"/>
  <c r="P22" i="8"/>
  <c r="K92" i="13"/>
  <c r="K90" i="13"/>
  <c r="S15" i="12"/>
  <c r="S11" i="12"/>
  <c r="K54" i="14"/>
  <c r="L54" i="14" s="1"/>
  <c r="M41" i="4"/>
  <c r="M29" i="4"/>
  <c r="M23" i="4"/>
  <c r="N7" i="5" s="1"/>
  <c r="N17" i="5" s="1"/>
  <c r="N21" i="5" s="1"/>
  <c r="M35" i="4"/>
  <c r="M47" i="4"/>
  <c r="T22" i="12"/>
  <c r="T16" i="12"/>
  <c r="T30" i="8" s="1"/>
  <c r="U4" i="12"/>
  <c r="T3" i="12"/>
  <c r="T10" i="12"/>
  <c r="T21" i="12" s="1"/>
  <c r="T9" i="12"/>
  <c r="T27" i="12" s="1"/>
  <c r="T8" i="12"/>
  <c r="R39" i="13"/>
  <c r="R51" i="13"/>
  <c r="R38" i="13"/>
  <c r="R31" i="13"/>
  <c r="R145" i="13"/>
  <c r="R32" i="13"/>
  <c r="R50" i="13"/>
  <c r="R33" i="13"/>
  <c r="R43" i="13"/>
  <c r="R49" i="13"/>
  <c r="R37" i="13"/>
  <c r="R44" i="13"/>
  <c r="R45" i="13"/>
  <c r="R147" i="13"/>
  <c r="L92" i="13"/>
  <c r="L90" i="13"/>
  <c r="Q62" i="13"/>
  <c r="Q70" i="13" s="1"/>
  <c r="F90" i="13"/>
  <c r="F92" i="13"/>
  <c r="S28" i="12"/>
  <c r="S14" i="8"/>
  <c r="R19" i="10"/>
  <c r="R10" i="8"/>
  <c r="J91" i="13"/>
  <c r="I91" i="13"/>
  <c r="H91" i="13"/>
  <c r="G91" i="13"/>
  <c r="F91" i="13"/>
  <c r="E91" i="13"/>
  <c r="D91" i="13"/>
  <c r="C91" i="13"/>
  <c r="C133" i="13" s="1"/>
  <c r="L91" i="13"/>
  <c r="K91" i="13"/>
  <c r="T12" i="11"/>
  <c r="T13" i="11" s="1"/>
  <c r="R28" i="12"/>
  <c r="R14" i="8"/>
  <c r="T9" i="11"/>
  <c r="U6" i="11" s="1"/>
  <c r="R7" i="9"/>
  <c r="S4" i="9"/>
  <c r="R13" i="9"/>
  <c r="R23" i="8" s="1"/>
  <c r="R51" i="8" s="1"/>
  <c r="R8" i="9"/>
  <c r="R3" i="9"/>
  <c r="I59" i="13"/>
  <c r="I55" i="13"/>
  <c r="I56" i="13"/>
  <c r="I57" i="13"/>
  <c r="I72" i="13" s="1"/>
  <c r="S4" i="8"/>
  <c r="R3" i="8"/>
  <c r="R7" i="8"/>
  <c r="C131" i="13"/>
  <c r="C90" i="13"/>
  <c r="C132" i="13" s="1"/>
  <c r="C92" i="13"/>
  <c r="C134" i="13" s="1"/>
  <c r="F69" i="14" s="1"/>
  <c r="Q65" i="13"/>
  <c r="C58" i="13"/>
  <c r="C56" i="13"/>
  <c r="C55" i="13"/>
  <c r="C57" i="13"/>
  <c r="Q64" i="13"/>
  <c r="Q63" i="13"/>
  <c r="Q73" i="13" s="1"/>
  <c r="Q71" i="13"/>
  <c r="S45" i="11"/>
  <c r="S13" i="8"/>
  <c r="Q9" i="9"/>
  <c r="Q8" i="8"/>
  <c r="F44" i="8"/>
  <c r="G44" i="8" s="1"/>
  <c r="H44" i="8" s="1"/>
  <c r="I44" i="8" s="1"/>
  <c r="J44" i="8" s="1"/>
  <c r="K44" i="8" s="1"/>
  <c r="L44" i="8" s="1"/>
  <c r="M44" i="8" s="1"/>
  <c r="N44" i="8" s="1"/>
  <c r="O44" i="8" s="1"/>
  <c r="P44" i="8" s="1"/>
  <c r="Q44" i="8" s="1"/>
  <c r="R24" i="12"/>
  <c r="S30" i="8"/>
  <c r="R16" i="10"/>
  <c r="R24" i="8"/>
  <c r="R52" i="8" s="1"/>
  <c r="Q18" i="12"/>
  <c r="E17" i="8"/>
  <c r="D90" i="13"/>
  <c r="D92" i="13"/>
  <c r="P64" i="13"/>
  <c r="P63" i="13"/>
  <c r="P73" i="13" s="1"/>
  <c r="P71" i="13"/>
  <c r="T42" i="11"/>
  <c r="T27" i="8" s="1"/>
  <c r="T41" i="11"/>
  <c r="P8" i="5"/>
  <c r="O57" i="13"/>
  <c r="Q37" i="8"/>
  <c r="Q38" i="8" s="1"/>
  <c r="E90" i="13"/>
  <c r="E92" i="13"/>
  <c r="Q59" i="13"/>
  <c r="N54" i="14" l="1"/>
  <c r="Q61" i="13"/>
  <c r="S46" i="11"/>
  <c r="Q69" i="13"/>
  <c r="Q15" i="8"/>
  <c r="U13" i="11"/>
  <c r="S6" i="13" s="1"/>
  <c r="S26" i="13" s="1"/>
  <c r="R12" i="10"/>
  <c r="E54" i="14"/>
  <c r="T27" i="11"/>
  <c r="R23" i="11"/>
  <c r="S23" i="11" s="1"/>
  <c r="S17" i="12"/>
  <c r="S29" i="8"/>
  <c r="N41" i="4"/>
  <c r="N29" i="4"/>
  <c r="N35" i="4"/>
  <c r="N23" i="4"/>
  <c r="O7" i="5" s="1"/>
  <c r="O17" i="5" s="1"/>
  <c r="O21" i="5" s="1"/>
  <c r="N47" i="4"/>
  <c r="U9" i="11"/>
  <c r="V6" i="11" s="1"/>
  <c r="P60" i="13"/>
  <c r="P74" i="13" s="1"/>
  <c r="P61" i="13"/>
  <c r="P69" i="13"/>
  <c r="U42" i="11"/>
  <c r="U27" i="8" s="1"/>
  <c r="U41" i="11"/>
  <c r="U12" i="8" s="1"/>
  <c r="R12" i="9"/>
  <c r="R9" i="8"/>
  <c r="U16" i="12"/>
  <c r="U30" i="8" s="1"/>
  <c r="U3" i="12"/>
  <c r="U10" i="12"/>
  <c r="U9" i="12"/>
  <c r="U27" i="12" s="1"/>
  <c r="U22" i="12"/>
  <c r="U8" i="12"/>
  <c r="V4" i="12"/>
  <c r="S16" i="10"/>
  <c r="S24" i="8"/>
  <c r="S52" i="8" s="1"/>
  <c r="C69" i="14"/>
  <c r="C135" i="13"/>
  <c r="U16" i="11"/>
  <c r="U20" i="11" s="1"/>
  <c r="R45" i="11"/>
  <c r="R13" i="8"/>
  <c r="T26" i="8"/>
  <c r="R6" i="13"/>
  <c r="R26" i="13" s="1"/>
  <c r="T33" i="11"/>
  <c r="T34" i="11"/>
  <c r="T22" i="11"/>
  <c r="T4" i="8"/>
  <c r="S7" i="8"/>
  <c r="S3" i="8"/>
  <c r="F32" i="8"/>
  <c r="G32" i="8" s="1"/>
  <c r="H32" i="8" s="1"/>
  <c r="I32" i="8" s="1"/>
  <c r="J32" i="8" s="1"/>
  <c r="K32" i="8" s="1"/>
  <c r="L32" i="8" s="1"/>
  <c r="M32" i="8" s="1"/>
  <c r="N32" i="8" s="1"/>
  <c r="O32" i="8" s="1"/>
  <c r="S14" i="5"/>
  <c r="S10" i="5"/>
  <c r="S3" i="5"/>
  <c r="S13" i="5"/>
  <c r="S9" i="5"/>
  <c r="S16" i="5"/>
  <c r="S12" i="5"/>
  <c r="T4" i="5"/>
  <c r="S11" i="5"/>
  <c r="S15" i="5"/>
  <c r="R62" i="13"/>
  <c r="R70" i="13" s="1"/>
  <c r="P50" i="8"/>
  <c r="P53" i="8" s="1"/>
  <c r="P31" i="8"/>
  <c r="Q14" i="9"/>
  <c r="Q22" i="8"/>
  <c r="R44" i="8"/>
  <c r="T3" i="13"/>
  <c r="V19" i="11"/>
  <c r="V17" i="11"/>
  <c r="V8" i="11"/>
  <c r="W4" i="11"/>
  <c r="V2" i="11"/>
  <c r="V3" i="11"/>
  <c r="V7" i="11"/>
  <c r="V11" i="11" s="1"/>
  <c r="V18" i="11"/>
  <c r="V15" i="11"/>
  <c r="T15" i="12"/>
  <c r="T11" i="12"/>
  <c r="T2" i="10"/>
  <c r="T18" i="10"/>
  <c r="T3" i="10"/>
  <c r="T8" i="10"/>
  <c r="T25" i="8" s="1"/>
  <c r="T7" i="10"/>
  <c r="T6" i="10"/>
  <c r="T9" i="10"/>
  <c r="T10" i="10" s="1"/>
  <c r="U4" i="10"/>
  <c r="T28" i="12"/>
  <c r="T14" i="8"/>
  <c r="K9" i="5"/>
  <c r="K17" i="5" s="1"/>
  <c r="K21" i="5" s="1"/>
  <c r="M54" i="14"/>
  <c r="T12" i="8"/>
  <c r="R9" i="9"/>
  <c r="R8" i="8"/>
  <c r="R46" i="11"/>
  <c r="R28" i="8"/>
  <c r="N50" i="4"/>
  <c r="N38" i="4"/>
  <c r="N26" i="4"/>
  <c r="N32" i="4"/>
  <c r="N44" i="4"/>
  <c r="R38" i="8"/>
  <c r="O72" i="13"/>
  <c r="O54" i="14"/>
  <c r="T23" i="12"/>
  <c r="S11" i="10"/>
  <c r="S12" i="10" s="1"/>
  <c r="P56" i="13"/>
  <c r="P55" i="13"/>
  <c r="P58" i="13"/>
  <c r="P57" i="13"/>
  <c r="P72" i="13" s="1"/>
  <c r="E7" i="5"/>
  <c r="U38" i="11"/>
  <c r="U26" i="8" s="1"/>
  <c r="U37" i="11"/>
  <c r="U11" i="8" s="1"/>
  <c r="Q5" i="13"/>
  <c r="Q25" i="13" s="1"/>
  <c r="S28" i="11"/>
  <c r="S43" i="8"/>
  <c r="F17" i="8"/>
  <c r="G17" i="8" s="1"/>
  <c r="H17" i="8" s="1"/>
  <c r="I17" i="8" s="1"/>
  <c r="J17" i="8" s="1"/>
  <c r="K17" i="8" s="1"/>
  <c r="L17" i="8" s="1"/>
  <c r="M17" i="8" s="1"/>
  <c r="N17" i="8" s="1"/>
  <c r="O17" i="8" s="1"/>
  <c r="P17" i="8" s="1"/>
  <c r="T4" i="9"/>
  <c r="S3" i="9"/>
  <c r="S8" i="9"/>
  <c r="S7" i="9"/>
  <c r="S13" i="9"/>
  <c r="S23" i="8" s="1"/>
  <c r="S51" i="8" s="1"/>
  <c r="S19" i="10"/>
  <c r="S10" i="8"/>
  <c r="C136" i="13"/>
  <c r="R65" i="13"/>
  <c r="P54" i="14"/>
  <c r="C72" i="13"/>
  <c r="H54" i="14"/>
  <c r="D13" i="15" s="1"/>
  <c r="G54" i="14"/>
  <c r="C13" i="15" s="1"/>
  <c r="F54" i="14"/>
  <c r="R7" i="13"/>
  <c r="R27" i="13" s="1"/>
  <c r="R59" i="13"/>
  <c r="Q11" i="5"/>
  <c r="S27" i="13"/>
  <c r="S45" i="13"/>
  <c r="S147" i="13"/>
  <c r="S33" i="13"/>
  <c r="S38" i="13"/>
  <c r="S49" i="13"/>
  <c r="S43" i="13"/>
  <c r="S50" i="13"/>
  <c r="S31" i="13"/>
  <c r="S145" i="13"/>
  <c r="S39" i="13"/>
  <c r="S32" i="13"/>
  <c r="S51" i="13"/>
  <c r="S37" i="13"/>
  <c r="S44" i="13"/>
  <c r="U33" i="11" l="1"/>
  <c r="U45" i="11" s="1"/>
  <c r="U34" i="11"/>
  <c r="U46" i="11" s="1"/>
  <c r="Q17" i="8"/>
  <c r="R15" i="8"/>
  <c r="S59" i="13"/>
  <c r="O13" i="15"/>
  <c r="U27" i="11"/>
  <c r="U22" i="11"/>
  <c r="E13" i="15"/>
  <c r="Q54" i="14"/>
  <c r="V16" i="12"/>
  <c r="V3" i="12"/>
  <c r="V10" i="12"/>
  <c r="V21" i="12" s="1"/>
  <c r="V9" i="12"/>
  <c r="V27" i="12" s="1"/>
  <c r="V22" i="12"/>
  <c r="V8" i="12"/>
  <c r="W4" i="12"/>
  <c r="T3" i="9"/>
  <c r="T13" i="9"/>
  <c r="T23" i="8" s="1"/>
  <c r="T51" i="8" s="1"/>
  <c r="T8" i="9"/>
  <c r="T7" i="9"/>
  <c r="U4" i="9"/>
  <c r="T19" i="10"/>
  <c r="T10" i="8"/>
  <c r="Q50" i="8"/>
  <c r="Q53" i="8" s="1"/>
  <c r="Q31" i="8"/>
  <c r="T14" i="5"/>
  <c r="T10" i="5"/>
  <c r="T3" i="5"/>
  <c r="T13" i="5"/>
  <c r="T9" i="5"/>
  <c r="T16" i="5"/>
  <c r="T12" i="5"/>
  <c r="T11" i="5"/>
  <c r="T15" i="5"/>
  <c r="U4" i="5"/>
  <c r="U4" i="8"/>
  <c r="T7" i="8"/>
  <c r="T3" i="8"/>
  <c r="U15" i="12"/>
  <c r="U11" i="12"/>
  <c r="T16" i="10"/>
  <c r="T24" i="8"/>
  <c r="T52" i="8" s="1"/>
  <c r="R64" i="13"/>
  <c r="R63" i="13"/>
  <c r="R73" i="13" s="1"/>
  <c r="R71" i="13"/>
  <c r="U3" i="13"/>
  <c r="W19" i="11"/>
  <c r="W17" i="11"/>
  <c r="W8" i="11"/>
  <c r="W12" i="11" s="1"/>
  <c r="U7" i="13" s="1"/>
  <c r="W2" i="11"/>
  <c r="W3" i="11"/>
  <c r="W7" i="11"/>
  <c r="W11" i="11" s="1"/>
  <c r="X4" i="11"/>
  <c r="W18" i="11"/>
  <c r="W15" i="11"/>
  <c r="P32" i="8"/>
  <c r="O47" i="4"/>
  <c r="O41" i="4"/>
  <c r="O29" i="4"/>
  <c r="O23" i="4"/>
  <c r="P7" i="5" s="1"/>
  <c r="P17" i="5" s="1"/>
  <c r="P21" i="5" s="1"/>
  <c r="O35" i="4"/>
  <c r="T46" i="11"/>
  <c r="T28" i="8"/>
  <c r="U28" i="12"/>
  <c r="U14" i="8"/>
  <c r="V16" i="11"/>
  <c r="V20" i="11" s="1"/>
  <c r="R5" i="13"/>
  <c r="R25" i="13" s="1"/>
  <c r="T28" i="11"/>
  <c r="T43" i="8"/>
  <c r="B13" i="15"/>
  <c r="N13" i="15"/>
  <c r="T17" i="12"/>
  <c r="T18" i="12" s="1"/>
  <c r="T29" i="8"/>
  <c r="V12" i="11"/>
  <c r="V13" i="11" s="1"/>
  <c r="O50" i="4"/>
  <c r="O38" i="4"/>
  <c r="O26" i="4"/>
  <c r="S8" i="5" s="1"/>
  <c r="O44" i="4"/>
  <c r="O32" i="4"/>
  <c r="T45" i="11"/>
  <c r="T13" i="8"/>
  <c r="U21" i="12"/>
  <c r="U23" i="12" s="1"/>
  <c r="U24" i="12" s="1"/>
  <c r="E17" i="5"/>
  <c r="T23" i="11"/>
  <c r="S65" i="13"/>
  <c r="C28" i="15"/>
  <c r="S44" i="8"/>
  <c r="R8" i="5"/>
  <c r="R61" i="13"/>
  <c r="R60" i="13"/>
  <c r="R74" i="13" s="1"/>
  <c r="R69" i="13"/>
  <c r="S18" i="12"/>
  <c r="S12" i="9"/>
  <c r="S9" i="8"/>
  <c r="V38" i="11"/>
  <c r="V26" i="8" s="1"/>
  <c r="V37" i="11"/>
  <c r="V11" i="8" s="1"/>
  <c r="S60" i="13"/>
  <c r="S74" i="13" s="1"/>
  <c r="S61" i="13"/>
  <c r="S69" i="13"/>
  <c r="I54" i="14"/>
  <c r="S37" i="8"/>
  <c r="S38" i="8" s="1"/>
  <c r="V42" i="11"/>
  <c r="V27" i="8" s="1"/>
  <c r="V41" i="11"/>
  <c r="V12" i="8" s="1"/>
  <c r="E69" i="14"/>
  <c r="V54" i="14"/>
  <c r="C137" i="13"/>
  <c r="T24" i="12"/>
  <c r="U18" i="10"/>
  <c r="U8" i="10"/>
  <c r="U25" i="8" s="1"/>
  <c r="U7" i="10"/>
  <c r="U2" i="10"/>
  <c r="U6" i="10"/>
  <c r="U9" i="10"/>
  <c r="U10" i="10" s="1"/>
  <c r="V4" i="10"/>
  <c r="U3" i="10"/>
  <c r="T51" i="13"/>
  <c r="T45" i="13"/>
  <c r="T37" i="13"/>
  <c r="T147" i="13"/>
  <c r="T43" i="13"/>
  <c r="T49" i="13"/>
  <c r="T44" i="13"/>
  <c r="T32" i="13"/>
  <c r="T31" i="13"/>
  <c r="T145" i="13"/>
  <c r="T33" i="13"/>
  <c r="T39" i="13"/>
  <c r="T50" i="13"/>
  <c r="T38" i="13"/>
  <c r="V9" i="11"/>
  <c r="W6" i="11" s="1"/>
  <c r="P13" i="15"/>
  <c r="S9" i="9"/>
  <c r="S8" i="8"/>
  <c r="S62" i="13"/>
  <c r="S70" i="13" s="1"/>
  <c r="G69" i="14"/>
  <c r="W54" i="14"/>
  <c r="Q58" i="13"/>
  <c r="Q57" i="13"/>
  <c r="Q56" i="13"/>
  <c r="Q55" i="13"/>
  <c r="S64" i="13"/>
  <c r="S63" i="13"/>
  <c r="S73" i="13" s="1"/>
  <c r="S71" i="13"/>
  <c r="T11" i="10"/>
  <c r="R14" i="9"/>
  <c r="R22" i="8"/>
  <c r="U13" i="8" l="1"/>
  <c r="U28" i="8"/>
  <c r="R17" i="8"/>
  <c r="B28" i="15"/>
  <c r="S15" i="8"/>
  <c r="V27" i="11"/>
  <c r="T5" i="13" s="1"/>
  <c r="T25" i="13" s="1"/>
  <c r="T65" i="13"/>
  <c r="T59" i="13"/>
  <c r="W42" i="11"/>
  <c r="W27" i="8" s="1"/>
  <c r="W41" i="11"/>
  <c r="W12" i="8" s="1"/>
  <c r="Q13" i="15"/>
  <c r="T62" i="13"/>
  <c r="T70" i="13" s="1"/>
  <c r="U50" i="13"/>
  <c r="U51" i="13"/>
  <c r="U44" i="13"/>
  <c r="U33" i="13"/>
  <c r="U32" i="13"/>
  <c r="U49" i="13"/>
  <c r="U31" i="13"/>
  <c r="U37" i="13"/>
  <c r="U45" i="13"/>
  <c r="U38" i="13"/>
  <c r="U39" i="13"/>
  <c r="U43" i="13"/>
  <c r="U147" i="13"/>
  <c r="U27" i="13"/>
  <c r="U3" i="9"/>
  <c r="U13" i="9"/>
  <c r="U23" i="8" s="1"/>
  <c r="U51" i="8" s="1"/>
  <c r="U8" i="9"/>
  <c r="U7" i="9"/>
  <c r="V4" i="9"/>
  <c r="V28" i="12"/>
  <c r="V14" i="8"/>
  <c r="P38" i="4"/>
  <c r="P26" i="4"/>
  <c r="T8" i="5" s="1"/>
  <c r="P44" i="4"/>
  <c r="P32" i="4"/>
  <c r="P50" i="4"/>
  <c r="V15" i="12"/>
  <c r="V11" i="12"/>
  <c r="V18" i="10"/>
  <c r="V9" i="10"/>
  <c r="V10" i="10" s="1"/>
  <c r="V2" i="10"/>
  <c r="V6" i="10"/>
  <c r="W4" i="10"/>
  <c r="V8" i="10"/>
  <c r="V25" i="8" s="1"/>
  <c r="V3" i="10"/>
  <c r="V7" i="10"/>
  <c r="E21" i="5"/>
  <c r="T9" i="9"/>
  <c r="T8" i="8"/>
  <c r="V23" i="12"/>
  <c r="T6" i="13"/>
  <c r="T26" i="13" s="1"/>
  <c r="V34" i="11"/>
  <c r="V33" i="11"/>
  <c r="V22" i="11"/>
  <c r="W9" i="11"/>
  <c r="X6" i="11" s="1"/>
  <c r="T44" i="8"/>
  <c r="T12" i="9"/>
  <c r="T9" i="8"/>
  <c r="U23" i="11"/>
  <c r="T37" i="8"/>
  <c r="T38" i="8" s="1"/>
  <c r="U11" i="10"/>
  <c r="T7" i="13"/>
  <c r="T27" i="13" s="1"/>
  <c r="W16" i="11"/>
  <c r="W20" i="11" s="1"/>
  <c r="U17" i="12"/>
  <c r="U29" i="8"/>
  <c r="V30" i="8"/>
  <c r="S5" i="13"/>
  <c r="S25" i="13" s="1"/>
  <c r="U28" i="11"/>
  <c r="U43" i="8"/>
  <c r="W16" i="12"/>
  <c r="W30" i="8" s="1"/>
  <c r="W10" i="12"/>
  <c r="W21" i="12" s="1"/>
  <c r="W9" i="12"/>
  <c r="W27" i="12" s="1"/>
  <c r="W22" i="12"/>
  <c r="W8" i="12"/>
  <c r="X4" i="12"/>
  <c r="W3" i="12"/>
  <c r="W38" i="11"/>
  <c r="W26" i="8" s="1"/>
  <c r="W37" i="11"/>
  <c r="W11" i="8" s="1"/>
  <c r="R50" i="8"/>
  <c r="R53" i="8" s="1"/>
  <c r="R31" i="8"/>
  <c r="U16" i="10"/>
  <c r="U24" i="8"/>
  <c r="U52" i="8" s="1"/>
  <c r="R58" i="13"/>
  <c r="R57" i="13"/>
  <c r="R72" i="13" s="1"/>
  <c r="R56" i="13"/>
  <c r="R55" i="13"/>
  <c r="V3" i="13"/>
  <c r="X19" i="11"/>
  <c r="X18" i="11"/>
  <c r="X7" i="11"/>
  <c r="X11" i="11" s="1"/>
  <c r="X15" i="11"/>
  <c r="X8" i="11"/>
  <c r="X12" i="11" s="1"/>
  <c r="V7" i="13" s="1"/>
  <c r="X3" i="11"/>
  <c r="X17" i="11"/>
  <c r="Y4" i="11"/>
  <c r="X2" i="11"/>
  <c r="Q72" i="13"/>
  <c r="X54" i="14"/>
  <c r="H69" i="14"/>
  <c r="S14" i="9"/>
  <c r="S22" i="8"/>
  <c r="W13" i="11"/>
  <c r="U7" i="8"/>
  <c r="V4" i="8"/>
  <c r="U3" i="8"/>
  <c r="T12" i="10"/>
  <c r="U19" i="10"/>
  <c r="U10" i="8"/>
  <c r="U13" i="5"/>
  <c r="U9" i="5"/>
  <c r="U16" i="5"/>
  <c r="U12" i="5"/>
  <c r="U15" i="5"/>
  <c r="U11" i="5"/>
  <c r="U10" i="5"/>
  <c r="U14" i="5"/>
  <c r="U3" i="5"/>
  <c r="V4" i="5"/>
  <c r="Q32" i="8"/>
  <c r="P35" i="4"/>
  <c r="P23" i="4"/>
  <c r="P47" i="4"/>
  <c r="P41" i="4"/>
  <c r="P29" i="4"/>
  <c r="V43" i="8" l="1"/>
  <c r="S17" i="8"/>
  <c r="U12" i="10"/>
  <c r="T15" i="8"/>
  <c r="U65" i="13"/>
  <c r="X9" i="11"/>
  <c r="Y6" i="11" s="1"/>
  <c r="W27" i="11"/>
  <c r="U5" i="13" s="1"/>
  <c r="U25" i="13" s="1"/>
  <c r="V7" i="8"/>
  <c r="V3" i="8"/>
  <c r="W4" i="8"/>
  <c r="U6" i="13"/>
  <c r="U26" i="13" s="1"/>
  <c r="W34" i="11"/>
  <c r="W33" i="11"/>
  <c r="W22" i="11"/>
  <c r="V23" i="11"/>
  <c r="V17" i="12"/>
  <c r="V18" i="12" s="1"/>
  <c r="V29" i="8"/>
  <c r="V13" i="9"/>
  <c r="V23" i="8" s="1"/>
  <c r="V51" i="8" s="1"/>
  <c r="V8" i="9"/>
  <c r="V7" i="9"/>
  <c r="W4" i="9"/>
  <c r="V3" i="9"/>
  <c r="Q7" i="5"/>
  <c r="E23" i="5"/>
  <c r="D28" i="15"/>
  <c r="S50" i="8"/>
  <c r="S53" i="8" s="1"/>
  <c r="S31" i="8"/>
  <c r="W3" i="13"/>
  <c r="Y18" i="11"/>
  <c r="Y7" i="11"/>
  <c r="Y11" i="11" s="1"/>
  <c r="Y15" i="11"/>
  <c r="Y8" i="11"/>
  <c r="Y12" i="11" s="1"/>
  <c r="W7" i="13" s="1"/>
  <c r="Y3" i="11"/>
  <c r="Y17" i="11"/>
  <c r="Y19" i="11"/>
  <c r="Z4" i="11"/>
  <c r="Y2" i="11"/>
  <c r="V45" i="11"/>
  <c r="V13" i="8"/>
  <c r="U9" i="9"/>
  <c r="U8" i="8"/>
  <c r="X41" i="11"/>
  <c r="X12" i="8" s="1"/>
  <c r="X42" i="11"/>
  <c r="X27" i="8" s="1"/>
  <c r="V46" i="11"/>
  <c r="V28" i="8"/>
  <c r="V16" i="10"/>
  <c r="V24" i="8"/>
  <c r="V52" i="8" s="1"/>
  <c r="U12" i="9"/>
  <c r="U9" i="8"/>
  <c r="W15" i="12"/>
  <c r="W11" i="12"/>
  <c r="U18" i="12"/>
  <c r="V13" i="5"/>
  <c r="V9" i="5"/>
  <c r="V16" i="5"/>
  <c r="V12" i="5"/>
  <c r="V15" i="5"/>
  <c r="V11" i="5"/>
  <c r="W4" i="5"/>
  <c r="V14" i="5"/>
  <c r="V3" i="5"/>
  <c r="V10" i="5"/>
  <c r="U44" i="8"/>
  <c r="T61" i="13"/>
  <c r="T60" i="13"/>
  <c r="T74" i="13" s="1"/>
  <c r="T69" i="13"/>
  <c r="V49" i="13"/>
  <c r="V50" i="13"/>
  <c r="V38" i="13"/>
  <c r="V39" i="13"/>
  <c r="V27" i="13"/>
  <c r="V51" i="13"/>
  <c r="V45" i="13"/>
  <c r="V147" i="13"/>
  <c r="V44" i="13"/>
  <c r="V32" i="13"/>
  <c r="V37" i="13"/>
  <c r="V31" i="13"/>
  <c r="V43" i="13"/>
  <c r="V33" i="13"/>
  <c r="T14" i="9"/>
  <c r="T22" i="8"/>
  <c r="U59" i="13"/>
  <c r="R32" i="8"/>
  <c r="Q35" i="4"/>
  <c r="Q23" i="4"/>
  <c r="R7" i="5" s="1"/>
  <c r="R17" i="5" s="1"/>
  <c r="R21" i="5" s="1"/>
  <c r="Q47" i="4"/>
  <c r="Q41" i="4"/>
  <c r="Q29" i="4"/>
  <c r="Y54" i="14"/>
  <c r="X16" i="11"/>
  <c r="X20" i="11" s="1"/>
  <c r="T64" i="13"/>
  <c r="T63" i="13"/>
  <c r="T73" i="13" s="1"/>
  <c r="T71" i="13"/>
  <c r="W18" i="10"/>
  <c r="W2" i="10"/>
  <c r="W6" i="10"/>
  <c r="W9" i="10"/>
  <c r="W10" i="10" s="1"/>
  <c r="X4" i="10"/>
  <c r="W3" i="10"/>
  <c r="W8" i="10"/>
  <c r="W25" i="8" s="1"/>
  <c r="W7" i="10"/>
  <c r="U64" i="13"/>
  <c r="U63" i="13"/>
  <c r="U73" i="13" s="1"/>
  <c r="U71" i="13"/>
  <c r="V19" i="10"/>
  <c r="V10" i="8"/>
  <c r="Q38" i="4"/>
  <c r="Q26" i="4"/>
  <c r="U8" i="5" s="1"/>
  <c r="Q50" i="4"/>
  <c r="Q44" i="4"/>
  <c r="Q32" i="4"/>
  <c r="W23" i="12"/>
  <c r="W24" i="12" s="1"/>
  <c r="X13" i="11"/>
  <c r="X16" i="12"/>
  <c r="X30" i="8" s="1"/>
  <c r="X22" i="12"/>
  <c r="X10" i="12"/>
  <c r="X21" i="12" s="1"/>
  <c r="X9" i="12"/>
  <c r="X27" i="12" s="1"/>
  <c r="X8" i="12"/>
  <c r="Y4" i="12"/>
  <c r="X3" i="12"/>
  <c r="S58" i="13"/>
  <c r="S57" i="13"/>
  <c r="S72" i="13" s="1"/>
  <c r="S56" i="13"/>
  <c r="S55" i="13"/>
  <c r="U37" i="8"/>
  <c r="U38" i="8" s="1"/>
  <c r="V24" i="12"/>
  <c r="V11" i="10"/>
  <c r="T56" i="13"/>
  <c r="T55" i="13"/>
  <c r="T58" i="13"/>
  <c r="T57" i="13"/>
  <c r="T72" i="13" s="1"/>
  <c r="W28" i="12"/>
  <c r="W14" i="8"/>
  <c r="X38" i="11"/>
  <c r="X26" i="8" s="1"/>
  <c r="X37" i="11"/>
  <c r="X11" i="8" s="1"/>
  <c r="V28" i="11"/>
  <c r="U62" i="13"/>
  <c r="U70" i="13" s="1"/>
  <c r="V44" i="8" l="1"/>
  <c r="T17" i="8"/>
  <c r="X27" i="11"/>
  <c r="V5" i="13" s="1"/>
  <c r="V25" i="13" s="1"/>
  <c r="Y9" i="11"/>
  <c r="Z6" i="11" s="1"/>
  <c r="W28" i="11"/>
  <c r="V62" i="13"/>
  <c r="V70" i="13" s="1"/>
  <c r="W43" i="8"/>
  <c r="U15" i="8"/>
  <c r="X3" i="13"/>
  <c r="Z18" i="11"/>
  <c r="Z17" i="11"/>
  <c r="Z15" i="11"/>
  <c r="AA4" i="11"/>
  <c r="Z3" i="11"/>
  <c r="Z19" i="11"/>
  <c r="Z7" i="11"/>
  <c r="Z11" i="11" s="1"/>
  <c r="Z2" i="11"/>
  <c r="Z8" i="11"/>
  <c r="Z12" i="11" s="1"/>
  <c r="X7" i="13" s="1"/>
  <c r="X18" i="10"/>
  <c r="X8" i="10"/>
  <c r="X25" i="8" s="1"/>
  <c r="X6" i="10"/>
  <c r="X9" i="10"/>
  <c r="X10" i="10" s="1"/>
  <c r="Y4" i="10"/>
  <c r="X3" i="10"/>
  <c r="X7" i="10"/>
  <c r="X2" i="10"/>
  <c r="W7" i="8"/>
  <c r="W3" i="8"/>
  <c r="X4" i="8"/>
  <c r="Y16" i="12"/>
  <c r="Y30" i="8" s="1"/>
  <c r="Y22" i="12"/>
  <c r="Y10" i="12"/>
  <c r="Y21" i="12" s="1"/>
  <c r="Y9" i="12"/>
  <c r="Y27" i="12" s="1"/>
  <c r="Y8" i="12"/>
  <c r="Z4" i="12"/>
  <c r="Y3" i="12"/>
  <c r="X15" i="12"/>
  <c r="X11" i="12"/>
  <c r="V65" i="13"/>
  <c r="V64" i="13"/>
  <c r="V63" i="13"/>
  <c r="V73" i="13" s="1"/>
  <c r="V71" i="13"/>
  <c r="U22" i="8"/>
  <c r="U14" i="9"/>
  <c r="Y16" i="11"/>
  <c r="Y20" i="11" s="1"/>
  <c r="Q17" i="5"/>
  <c r="T50" i="8"/>
  <c r="T53" i="8" s="1"/>
  <c r="T31" i="8"/>
  <c r="Y42" i="11"/>
  <c r="Y27" i="8" s="1"/>
  <c r="Y41" i="11"/>
  <c r="Y12" i="8" s="1"/>
  <c r="V37" i="8"/>
  <c r="V38" i="8" s="1"/>
  <c r="X23" i="12"/>
  <c r="X24" i="12" s="1"/>
  <c r="Y13" i="11"/>
  <c r="W11" i="10"/>
  <c r="W19" i="10"/>
  <c r="W10" i="8"/>
  <c r="V59" i="13"/>
  <c r="Y38" i="11"/>
  <c r="Y26" i="8" s="1"/>
  <c r="Y37" i="11"/>
  <c r="Y11" i="8" s="1"/>
  <c r="W38" i="13"/>
  <c r="W33" i="13"/>
  <c r="W51" i="13"/>
  <c r="W45" i="13"/>
  <c r="W31" i="13"/>
  <c r="W32" i="13"/>
  <c r="W50" i="13"/>
  <c r="W39" i="13"/>
  <c r="W43" i="13"/>
  <c r="W44" i="13"/>
  <c r="W37" i="13"/>
  <c r="W27" i="13"/>
  <c r="W147" i="13"/>
  <c r="W49" i="13"/>
  <c r="W16" i="10"/>
  <c r="W24" i="8"/>
  <c r="W52" i="8" s="1"/>
  <c r="F23" i="5"/>
  <c r="G23" i="5" s="1"/>
  <c r="H23" i="5" s="1"/>
  <c r="I23" i="5" s="1"/>
  <c r="J23" i="5" s="1"/>
  <c r="K23" i="5" s="1"/>
  <c r="L23" i="5" s="1"/>
  <c r="M23" i="5" s="1"/>
  <c r="N23" i="5" s="1"/>
  <c r="O23" i="5" s="1"/>
  <c r="P23" i="5" s="1"/>
  <c r="V12" i="10"/>
  <c r="S32" i="8"/>
  <c r="R47" i="4"/>
  <c r="R29" i="4"/>
  <c r="R23" i="4"/>
  <c r="S7" i="5" s="1"/>
  <c r="S17" i="5" s="1"/>
  <c r="S21" i="5" s="1"/>
  <c r="R35" i="4"/>
  <c r="R41" i="4"/>
  <c r="W8" i="9"/>
  <c r="W7" i="9"/>
  <c r="X4" i="9"/>
  <c r="W13" i="9"/>
  <c r="W23" i="8" s="1"/>
  <c r="W51" i="8" s="1"/>
  <c r="W3" i="9"/>
  <c r="W45" i="11"/>
  <c r="W13" i="8"/>
  <c r="W46" i="11"/>
  <c r="W28" i="8"/>
  <c r="V6" i="13"/>
  <c r="V26" i="13" s="1"/>
  <c r="X34" i="11"/>
  <c r="X33" i="11"/>
  <c r="X22" i="11"/>
  <c r="R50" i="4"/>
  <c r="R38" i="4"/>
  <c r="R26" i="4"/>
  <c r="V8" i="5" s="1"/>
  <c r="R44" i="4"/>
  <c r="R32" i="4"/>
  <c r="V9" i="9"/>
  <c r="V8" i="8"/>
  <c r="U61" i="13"/>
  <c r="U60" i="13"/>
  <c r="U74" i="13" s="1"/>
  <c r="U69" i="13"/>
  <c r="X28" i="12"/>
  <c r="X14" i="8"/>
  <c r="W13" i="5"/>
  <c r="W9" i="5"/>
  <c r="W16" i="5"/>
  <c r="W12" i="5"/>
  <c r="W15" i="5"/>
  <c r="W11" i="5"/>
  <c r="X4" i="5"/>
  <c r="W14" i="5"/>
  <c r="W3" i="5"/>
  <c r="W10" i="5"/>
  <c r="W17" i="12"/>
  <c r="W18" i="12" s="1"/>
  <c r="W29" i="8"/>
  <c r="E28" i="15"/>
  <c r="V12" i="9"/>
  <c r="V9" i="8"/>
  <c r="W23" i="11"/>
  <c r="U56" i="13"/>
  <c r="U55" i="13"/>
  <c r="U58" i="13"/>
  <c r="U57" i="13"/>
  <c r="U72" i="13" s="1"/>
  <c r="U17" i="8" l="1"/>
  <c r="W44" i="8"/>
  <c r="X43" i="8"/>
  <c r="X28" i="11"/>
  <c r="W12" i="10"/>
  <c r="Z13" i="11"/>
  <c r="Z33" i="11" s="1"/>
  <c r="V15" i="8"/>
  <c r="Z9" i="11"/>
  <c r="AA6" i="11" s="1"/>
  <c r="Y27" i="11"/>
  <c r="Q21" i="5"/>
  <c r="W65" i="13"/>
  <c r="W37" i="8"/>
  <c r="W38" i="8" s="1"/>
  <c r="Z16" i="12"/>
  <c r="Z30" i="8" s="1"/>
  <c r="Z22" i="12"/>
  <c r="Z10" i="12"/>
  <c r="Z21" i="12" s="1"/>
  <c r="Z9" i="12"/>
  <c r="Z27" i="12" s="1"/>
  <c r="Z8" i="12"/>
  <c r="AA4" i="12"/>
  <c r="Z3" i="12"/>
  <c r="X23" i="11"/>
  <c r="U50" i="8"/>
  <c r="U53" i="8" s="1"/>
  <c r="U31" i="8"/>
  <c r="X16" i="10"/>
  <c r="X24" i="8"/>
  <c r="X52" i="8" s="1"/>
  <c r="X17" i="12"/>
  <c r="X18" i="12" s="1"/>
  <c r="X29" i="8"/>
  <c r="X8" i="9"/>
  <c r="X7" i="9"/>
  <c r="Y4" i="9"/>
  <c r="X13" i="9"/>
  <c r="X23" i="8" s="1"/>
  <c r="X51" i="8" s="1"/>
  <c r="X3" i="9"/>
  <c r="W6" i="13"/>
  <c r="W26" i="13" s="1"/>
  <c r="Y34" i="11"/>
  <c r="Y33" i="11"/>
  <c r="Y22" i="11"/>
  <c r="X45" i="11"/>
  <c r="X13" i="8"/>
  <c r="W12" i="9"/>
  <c r="W9" i="8"/>
  <c r="Y15" i="12"/>
  <c r="Y11" i="12"/>
  <c r="Z42" i="11"/>
  <c r="Z27" i="8" s="1"/>
  <c r="Z41" i="11"/>
  <c r="Z12" i="8" s="1"/>
  <c r="W9" i="9"/>
  <c r="W8" i="8"/>
  <c r="X46" i="11"/>
  <c r="X28" i="8"/>
  <c r="T32" i="8"/>
  <c r="S35" i="4"/>
  <c r="S23" i="4"/>
  <c r="T7" i="5" s="1"/>
  <c r="T17" i="5" s="1"/>
  <c r="T21" i="5" s="1"/>
  <c r="S29" i="4"/>
  <c r="S47" i="4"/>
  <c r="S41" i="4"/>
  <c r="Y28" i="12"/>
  <c r="Y14" i="8"/>
  <c r="Y18" i="10"/>
  <c r="Y6" i="10"/>
  <c r="Y9" i="10"/>
  <c r="Y10" i="10" s="1"/>
  <c r="Z4" i="10"/>
  <c r="Y3" i="10"/>
  <c r="Y7" i="10"/>
  <c r="Y8" i="10"/>
  <c r="Y25" i="8" s="1"/>
  <c r="Y2" i="10"/>
  <c r="X16" i="5"/>
  <c r="X12" i="5"/>
  <c r="X15" i="5"/>
  <c r="X11" i="5"/>
  <c r="Y4" i="5"/>
  <c r="X14" i="5"/>
  <c r="X10" i="5"/>
  <c r="X3" i="5"/>
  <c r="X13" i="5"/>
  <c r="X9" i="5"/>
  <c r="V61" i="13"/>
  <c r="V60" i="13"/>
  <c r="V74" i="13" s="1"/>
  <c r="V69" i="13"/>
  <c r="S50" i="4"/>
  <c r="S44" i="4"/>
  <c r="S32" i="4"/>
  <c r="S26" i="4"/>
  <c r="W8" i="5" s="1"/>
  <c r="S38" i="4"/>
  <c r="Y23" i="12"/>
  <c r="Y24" i="12" s="1"/>
  <c r="Y3" i="13"/>
  <c r="AA17" i="11"/>
  <c r="AA8" i="11"/>
  <c r="AA12" i="11" s="1"/>
  <c r="Y7" i="13" s="1"/>
  <c r="AA15" i="11"/>
  <c r="AA19" i="11"/>
  <c r="AA7" i="11"/>
  <c r="AA11" i="11" s="1"/>
  <c r="AA18" i="11"/>
  <c r="AB4" i="11"/>
  <c r="AA2" i="11"/>
  <c r="AA3" i="11"/>
  <c r="V22" i="8"/>
  <c r="V14" i="9"/>
  <c r="X11" i="10"/>
  <c r="Z16" i="11"/>
  <c r="Z20" i="11" s="1"/>
  <c r="W62" i="13"/>
  <c r="W70" i="13" s="1"/>
  <c r="V56" i="13"/>
  <c r="V55" i="13"/>
  <c r="V58" i="13"/>
  <c r="V57" i="13"/>
  <c r="V72" i="13" s="1"/>
  <c r="X33" i="13"/>
  <c r="X147" i="13"/>
  <c r="X51" i="13"/>
  <c r="X31" i="13"/>
  <c r="X50" i="13"/>
  <c r="X32" i="13"/>
  <c r="X37" i="13"/>
  <c r="X43" i="13"/>
  <c r="X45" i="13"/>
  <c r="X27" i="13"/>
  <c r="X38" i="13"/>
  <c r="X39" i="13"/>
  <c r="X49" i="13"/>
  <c r="X44" i="13"/>
  <c r="W64" i="13"/>
  <c r="W63" i="13"/>
  <c r="W73" i="13" s="1"/>
  <c r="W71" i="13"/>
  <c r="W59" i="13"/>
  <c r="X7" i="8"/>
  <c r="X3" i="8"/>
  <c r="Y4" i="8"/>
  <c r="X19" i="10"/>
  <c r="X10" i="8"/>
  <c r="Z38" i="11"/>
  <c r="Z26" i="8" s="1"/>
  <c r="Z37" i="11"/>
  <c r="Z11" i="8" s="1"/>
  <c r="V17" i="8" l="1"/>
  <c r="X6" i="13"/>
  <c r="X26" i="13" s="1"/>
  <c r="X60" i="13" s="1"/>
  <c r="X74" i="13" s="1"/>
  <c r="Y28" i="11"/>
  <c r="Z34" i="11"/>
  <c r="Z46" i="11" s="1"/>
  <c r="X44" i="8"/>
  <c r="W15" i="8"/>
  <c r="W17" i="8" s="1"/>
  <c r="W5" i="13"/>
  <c r="W25" i="13" s="1"/>
  <c r="W55" i="13" s="1"/>
  <c r="X12" i="10"/>
  <c r="Z27" i="11"/>
  <c r="X5" i="13" s="1"/>
  <c r="X25" i="13" s="1"/>
  <c r="Y43" i="8"/>
  <c r="Z23" i="12"/>
  <c r="Z24" i="12" s="1"/>
  <c r="AA13" i="11"/>
  <c r="Y6" i="13" s="1"/>
  <c r="Y26" i="13" s="1"/>
  <c r="X62" i="13"/>
  <c r="X70" i="13" s="1"/>
  <c r="Y16" i="5"/>
  <c r="Y12" i="5"/>
  <c r="Y15" i="5"/>
  <c r="Y11" i="5"/>
  <c r="Z4" i="5"/>
  <c r="Y14" i="5"/>
  <c r="Y10" i="5"/>
  <c r="Y3" i="5"/>
  <c r="Y9" i="5"/>
  <c r="Y13" i="5"/>
  <c r="AA38" i="11"/>
  <c r="AA26" i="8" s="1"/>
  <c r="AA37" i="11"/>
  <c r="AA11" i="8" s="1"/>
  <c r="Z18" i="10"/>
  <c r="Z7" i="10"/>
  <c r="Z9" i="10"/>
  <c r="Z10" i="10" s="1"/>
  <c r="AA4" i="10"/>
  <c r="Z3" i="10"/>
  <c r="Z8" i="10"/>
  <c r="Z25" i="8" s="1"/>
  <c r="Z2" i="10"/>
  <c r="Z6" i="10"/>
  <c r="X59" i="13"/>
  <c r="AA9" i="11"/>
  <c r="AB6" i="11" s="1"/>
  <c r="AA42" i="11"/>
  <c r="AA27" i="8" s="1"/>
  <c r="AA41" i="11"/>
  <c r="AA12" i="8" s="1"/>
  <c r="Y11" i="10"/>
  <c r="Y17" i="12"/>
  <c r="Y18" i="12" s="1"/>
  <c r="Y29" i="8"/>
  <c r="Y7" i="9"/>
  <c r="Z4" i="9"/>
  <c r="Y13" i="9"/>
  <c r="Y23" i="8" s="1"/>
  <c r="Y51" i="8" s="1"/>
  <c r="Y8" i="9"/>
  <c r="Y3" i="9"/>
  <c r="U32" i="8"/>
  <c r="T23" i="4"/>
  <c r="U7" i="5" s="1"/>
  <c r="U17" i="5" s="1"/>
  <c r="U21" i="5" s="1"/>
  <c r="T35" i="4"/>
  <c r="T47" i="4"/>
  <c r="T41" i="4"/>
  <c r="T29" i="4"/>
  <c r="AA16" i="12"/>
  <c r="AA30" i="8" s="1"/>
  <c r="AA22" i="12"/>
  <c r="AA9" i="12"/>
  <c r="AA27" i="12" s="1"/>
  <c r="AA8" i="12"/>
  <c r="AB4" i="12"/>
  <c r="AA3" i="12"/>
  <c r="AA10" i="12"/>
  <c r="AA21" i="12" s="1"/>
  <c r="Z45" i="11"/>
  <c r="Z13" i="8"/>
  <c r="AA16" i="11"/>
  <c r="AA20" i="11" s="1"/>
  <c r="Y19" i="10"/>
  <c r="Y10" i="8"/>
  <c r="X9" i="9"/>
  <c r="X8" i="8"/>
  <c r="T50" i="4"/>
  <c r="T44" i="4"/>
  <c r="T32" i="4"/>
  <c r="T26" i="4"/>
  <c r="X8" i="5" s="1"/>
  <c r="T38" i="4"/>
  <c r="Y45" i="11"/>
  <c r="Y13" i="8"/>
  <c r="Y16" i="10"/>
  <c r="Y24" i="8"/>
  <c r="Y52" i="8" s="1"/>
  <c r="Y7" i="8"/>
  <c r="Y3" i="8"/>
  <c r="Z4" i="8"/>
  <c r="X12" i="9"/>
  <c r="X9" i="8"/>
  <c r="Z15" i="12"/>
  <c r="Z11" i="12"/>
  <c r="X64" i="13"/>
  <c r="X63" i="13"/>
  <c r="X73" i="13" s="1"/>
  <c r="X71" i="13"/>
  <c r="X37" i="8"/>
  <c r="X38" i="8" s="1"/>
  <c r="W14" i="9"/>
  <c r="W22" i="8"/>
  <c r="Z28" i="12"/>
  <c r="Z14" i="8"/>
  <c r="Y46" i="11"/>
  <c r="Y28" i="8"/>
  <c r="Y31" i="13"/>
  <c r="Y27" i="13"/>
  <c r="Y44" i="13"/>
  <c r="Y37" i="13"/>
  <c r="Y45" i="13"/>
  <c r="Y49" i="13"/>
  <c r="Y51" i="13"/>
  <c r="Y38" i="13"/>
  <c r="Y39" i="13"/>
  <c r="Y50" i="13"/>
  <c r="Y32" i="13"/>
  <c r="Y33" i="13"/>
  <c r="Y43" i="13"/>
  <c r="Y147" i="13"/>
  <c r="Z3" i="13"/>
  <c r="AB17" i="11"/>
  <c r="AB8" i="11"/>
  <c r="AB12" i="11" s="1"/>
  <c r="Z7" i="13" s="1"/>
  <c r="AB3" i="11"/>
  <c r="AB19" i="11"/>
  <c r="AB7" i="11"/>
  <c r="AB11" i="11" s="1"/>
  <c r="AB18" i="11"/>
  <c r="AC4" i="11"/>
  <c r="AB2" i="11"/>
  <c r="AB15" i="11"/>
  <c r="X65" i="13"/>
  <c r="Q23" i="5"/>
  <c r="W61" i="13"/>
  <c r="W60" i="13"/>
  <c r="W74" i="13" s="1"/>
  <c r="W69" i="13"/>
  <c r="V50" i="8"/>
  <c r="V53" i="8" s="1"/>
  <c r="V31" i="8"/>
  <c r="Y23" i="11"/>
  <c r="Z22" i="11"/>
  <c r="X61" i="13" l="1"/>
  <c r="X69" i="13"/>
  <c r="Z28" i="8"/>
  <c r="Y44" i="8"/>
  <c r="W57" i="13"/>
  <c r="W72" i="13" s="1"/>
  <c r="W58" i="13"/>
  <c r="W56" i="13"/>
  <c r="Z43" i="8"/>
  <c r="Z28" i="11"/>
  <c r="AA33" i="11"/>
  <c r="AA45" i="11" s="1"/>
  <c r="AA34" i="11"/>
  <c r="AA46" i="11" s="1"/>
  <c r="AB13" i="11"/>
  <c r="Z6" i="13" s="1"/>
  <c r="Z26" i="13" s="1"/>
  <c r="AA27" i="11"/>
  <c r="Y5" i="13" s="1"/>
  <c r="Y25" i="13" s="1"/>
  <c r="AA22" i="11"/>
  <c r="Y62" i="13"/>
  <c r="Y70" i="13" s="1"/>
  <c r="X15" i="8"/>
  <c r="X17" i="8" s="1"/>
  <c r="Y60" i="13"/>
  <c r="Y74" i="13" s="1"/>
  <c r="Y69" i="13"/>
  <c r="Y61" i="13"/>
  <c r="AA28" i="12"/>
  <c r="AA14" i="8"/>
  <c r="Y9" i="9"/>
  <c r="Y8" i="8"/>
  <c r="Z7" i="8"/>
  <c r="Z3" i="8"/>
  <c r="AA4" i="8"/>
  <c r="AA15" i="12"/>
  <c r="AA11" i="12"/>
  <c r="Z19" i="10"/>
  <c r="Z10" i="8"/>
  <c r="Z17" i="12"/>
  <c r="Z18" i="12" s="1"/>
  <c r="Z29" i="8"/>
  <c r="R23" i="5"/>
  <c r="S23" i="5" s="1"/>
  <c r="T23" i="5" s="1"/>
  <c r="U23" i="5" s="1"/>
  <c r="W50" i="8"/>
  <c r="W53" i="8" s="1"/>
  <c r="W31" i="8"/>
  <c r="Y37" i="8"/>
  <c r="Y38" i="8" s="1"/>
  <c r="Y12" i="10"/>
  <c r="AB16" i="11"/>
  <c r="AB20" i="11" s="1"/>
  <c r="AA3" i="13"/>
  <c r="AC8" i="11"/>
  <c r="AC12" i="11" s="1"/>
  <c r="AA7" i="13" s="1"/>
  <c r="AC19" i="11"/>
  <c r="AC18" i="11"/>
  <c r="AC17" i="11"/>
  <c r="AC7" i="11"/>
  <c r="AC11" i="11" s="1"/>
  <c r="AD4" i="11"/>
  <c r="AC2" i="11"/>
  <c r="AC15" i="11"/>
  <c r="AC3" i="11"/>
  <c r="V32" i="8"/>
  <c r="U47" i="4"/>
  <c r="U35" i="4"/>
  <c r="U23" i="4"/>
  <c r="V7" i="5" s="1"/>
  <c r="U41" i="4"/>
  <c r="U29" i="4"/>
  <c r="AB37" i="11"/>
  <c r="AB11" i="8" s="1"/>
  <c r="AB38" i="11"/>
  <c r="AB26" i="8" s="1"/>
  <c r="Y65" i="13"/>
  <c r="X14" i="9"/>
  <c r="X22" i="8"/>
  <c r="AA13" i="8"/>
  <c r="Y64" i="13"/>
  <c r="Y63" i="13"/>
  <c r="Y73" i="13" s="1"/>
  <c r="Y71" i="13"/>
  <c r="Z11" i="10"/>
  <c r="AA23" i="12"/>
  <c r="AA24" i="12" s="1"/>
  <c r="U26" i="4"/>
  <c r="Y8" i="5" s="1"/>
  <c r="U44" i="4"/>
  <c r="U32" i="4"/>
  <c r="U38" i="4"/>
  <c r="U50" i="4"/>
  <c r="AB42" i="11"/>
  <c r="AB27" i="8" s="1"/>
  <c r="AB41" i="11"/>
  <c r="AB12" i="8" s="1"/>
  <c r="Z33" i="13"/>
  <c r="Z38" i="13"/>
  <c r="Z45" i="13"/>
  <c r="Z43" i="13"/>
  <c r="Z39" i="13"/>
  <c r="Z44" i="13"/>
  <c r="Z32" i="13"/>
  <c r="Z50" i="13"/>
  <c r="Z31" i="13"/>
  <c r="Z51" i="13"/>
  <c r="Z27" i="13"/>
  <c r="Z147" i="13"/>
  <c r="Z37" i="13"/>
  <c r="Z49" i="13"/>
  <c r="Z16" i="10"/>
  <c r="Z24" i="8"/>
  <c r="Z52" i="8" s="1"/>
  <c r="Y59" i="13"/>
  <c r="X58" i="13"/>
  <c r="X57" i="13"/>
  <c r="X72" i="13" s="1"/>
  <c r="X56" i="13"/>
  <c r="X55" i="13"/>
  <c r="AB16" i="12"/>
  <c r="AB30" i="8" s="1"/>
  <c r="AB22" i="12"/>
  <c r="AB9" i="12"/>
  <c r="AB27" i="12" s="1"/>
  <c r="AB8" i="12"/>
  <c r="AC4" i="12"/>
  <c r="AB3" i="12"/>
  <c r="AB10" i="12"/>
  <c r="AB21" i="12" s="1"/>
  <c r="AB9" i="11"/>
  <c r="AC6" i="11" s="1"/>
  <c r="Z16" i="5"/>
  <c r="Z12" i="5"/>
  <c r="Z15" i="5"/>
  <c r="Z11" i="5"/>
  <c r="AA4" i="5"/>
  <c r="Z14" i="5"/>
  <c r="Z10" i="5"/>
  <c r="Z3" i="5"/>
  <c r="Z9" i="5"/>
  <c r="Z13" i="5"/>
  <c r="Z8" i="9"/>
  <c r="Z7" i="9"/>
  <c r="AA4" i="9"/>
  <c r="Z3" i="9"/>
  <c r="Z13" i="9"/>
  <c r="Z23" i="8" s="1"/>
  <c r="Z51" i="8" s="1"/>
  <c r="Z23" i="11"/>
  <c r="AA23" i="11" s="1"/>
  <c r="Y12" i="9"/>
  <c r="Y9" i="8"/>
  <c r="AA9" i="10"/>
  <c r="AA10" i="10" s="1"/>
  <c r="AB4" i="10"/>
  <c r="AA3" i="10"/>
  <c r="AA18" i="10"/>
  <c r="AA8" i="10"/>
  <c r="AA25" i="8" s="1"/>
  <c r="AA7" i="10"/>
  <c r="AA2" i="10"/>
  <c r="AA6" i="10"/>
  <c r="Z44" i="8" l="1"/>
  <c r="AB33" i="11"/>
  <c r="AB13" i="8" s="1"/>
  <c r="AB34" i="11"/>
  <c r="AB46" i="11" s="1"/>
  <c r="AA43" i="8"/>
  <c r="AA28" i="8"/>
  <c r="AA28" i="11"/>
  <c r="AC13" i="11"/>
  <c r="AC33" i="11" s="1"/>
  <c r="Y15" i="8"/>
  <c r="Y17" i="8" s="1"/>
  <c r="AB27" i="11"/>
  <c r="AB22" i="11"/>
  <c r="AB6" i="10"/>
  <c r="AC4" i="10"/>
  <c r="AB9" i="10"/>
  <c r="AB10" i="10" s="1"/>
  <c r="AB3" i="10"/>
  <c r="AB18" i="10"/>
  <c r="AB8" i="10"/>
  <c r="AB25" i="8" s="1"/>
  <c r="AB7" i="10"/>
  <c r="AB2" i="10"/>
  <c r="AC38" i="11"/>
  <c r="AC26" i="8" s="1"/>
  <c r="AC37" i="11"/>
  <c r="AC11" i="8" s="1"/>
  <c r="AB28" i="12"/>
  <c r="AB14" i="8"/>
  <c r="AA8" i="9"/>
  <c r="AB4" i="9"/>
  <c r="AA3" i="9"/>
  <c r="AA13" i="9"/>
  <c r="AA23" i="8" s="1"/>
  <c r="AA51" i="8" s="1"/>
  <c r="AA7" i="9"/>
  <c r="AC41" i="11"/>
  <c r="AC12" i="8" s="1"/>
  <c r="AC42" i="11"/>
  <c r="AC27" i="8" s="1"/>
  <c r="AB45" i="11"/>
  <c r="Z9" i="9"/>
  <c r="Z8" i="8"/>
  <c r="V17" i="5"/>
  <c r="AC22" i="12"/>
  <c r="AC8" i="12"/>
  <c r="AC3" i="12"/>
  <c r="AC16" i="12"/>
  <c r="AC30" i="8" s="1"/>
  <c r="AC10" i="12"/>
  <c r="AC21" i="12" s="1"/>
  <c r="AC9" i="12"/>
  <c r="AC27" i="12" s="1"/>
  <c r="AD4" i="12"/>
  <c r="Z60" i="13"/>
  <c r="Z74" i="13" s="1"/>
  <c r="B55" i="14" s="1"/>
  <c r="Z69" i="13"/>
  <c r="Z61" i="13"/>
  <c r="Z64" i="13"/>
  <c r="Z63" i="13"/>
  <c r="Z73" i="13" s="1"/>
  <c r="D84" i="13" s="1"/>
  <c r="D85" i="13" s="1"/>
  <c r="Z71" i="13"/>
  <c r="Y14" i="9"/>
  <c r="Y22" i="8"/>
  <c r="Z12" i="9"/>
  <c r="Z9" i="8"/>
  <c r="Z65" i="13"/>
  <c r="AA38" i="13"/>
  <c r="AA31" i="13"/>
  <c r="AA49" i="13"/>
  <c r="AA32" i="13"/>
  <c r="AA39" i="13"/>
  <c r="AA50" i="13"/>
  <c r="AA43" i="13"/>
  <c r="AA44" i="13"/>
  <c r="AA37" i="13"/>
  <c r="AA27" i="13"/>
  <c r="AA33" i="13"/>
  <c r="AA51" i="13"/>
  <c r="AA45" i="13"/>
  <c r="AB3" i="13"/>
  <c r="AD7" i="11"/>
  <c r="AD11" i="11" s="1"/>
  <c r="AD15" i="11"/>
  <c r="AD19" i="11"/>
  <c r="AD18" i="11"/>
  <c r="AD17" i="11"/>
  <c r="AE4" i="11"/>
  <c r="AD2" i="11"/>
  <c r="AD8" i="11"/>
  <c r="AD12" i="11" s="1"/>
  <c r="AB7" i="13" s="1"/>
  <c r="AD3" i="11"/>
  <c r="AA15" i="5"/>
  <c r="AA11" i="5"/>
  <c r="AB4" i="5"/>
  <c r="AA14" i="5"/>
  <c r="AA10" i="5"/>
  <c r="AA3" i="5"/>
  <c r="AA13" i="5"/>
  <c r="AA9" i="5"/>
  <c r="AA16" i="5"/>
  <c r="AA12" i="5"/>
  <c r="Z59" i="13"/>
  <c r="Z37" i="8"/>
  <c r="Z38" i="8" s="1"/>
  <c r="AA19" i="10"/>
  <c r="AA10" i="8"/>
  <c r="AB15" i="12"/>
  <c r="AB11" i="12"/>
  <c r="AB28" i="8"/>
  <c r="AC9" i="11"/>
  <c r="AD6" i="11" s="1"/>
  <c r="Y58" i="13"/>
  <c r="Y57" i="13"/>
  <c r="Y72" i="13" s="1"/>
  <c r="Y56" i="13"/>
  <c r="Y55" i="13"/>
  <c r="AA16" i="10"/>
  <c r="AA24" i="8"/>
  <c r="AA52" i="8" s="1"/>
  <c r="AA11" i="10"/>
  <c r="AB23" i="12"/>
  <c r="AB24" i="12" s="1"/>
  <c r="X50" i="8"/>
  <c r="X53" i="8" s="1"/>
  <c r="X31" i="8"/>
  <c r="Z12" i="10"/>
  <c r="W32" i="8"/>
  <c r="V47" i="4"/>
  <c r="V41" i="4"/>
  <c r="V29" i="4"/>
  <c r="V35" i="4"/>
  <c r="V23" i="4"/>
  <c r="W7" i="5" s="1"/>
  <c r="W17" i="5" s="1"/>
  <c r="W21" i="5" s="1"/>
  <c r="AA17" i="12"/>
  <c r="AA18" i="12" s="1"/>
  <c r="AA29" i="8"/>
  <c r="Z62" i="13"/>
  <c r="Z70" i="13" s="1"/>
  <c r="J55" i="14" s="1"/>
  <c r="AC16" i="11"/>
  <c r="AC20" i="11" s="1"/>
  <c r="V44" i="4"/>
  <c r="V32" i="4"/>
  <c r="V26" i="4"/>
  <c r="Z8" i="5" s="1"/>
  <c r="V38" i="4"/>
  <c r="V50" i="4"/>
  <c r="AA7" i="8"/>
  <c r="AA3" i="8"/>
  <c r="AB4" i="8"/>
  <c r="AA44" i="8" l="1"/>
  <c r="AC27" i="11"/>
  <c r="AA5" i="13" s="1"/>
  <c r="AA25" i="13" s="1"/>
  <c r="AC34" i="11"/>
  <c r="AC46" i="11" s="1"/>
  <c r="AC23" i="12"/>
  <c r="AC24" i="12" s="1"/>
  <c r="AA6" i="13"/>
  <c r="AA26" i="13" s="1"/>
  <c r="AA60" i="13" s="1"/>
  <c r="AA74" i="13" s="1"/>
  <c r="AD13" i="11"/>
  <c r="AD34" i="11" s="1"/>
  <c r="Z15" i="8"/>
  <c r="Z17" i="8" s="1"/>
  <c r="AC15" i="12"/>
  <c r="AC11" i="12"/>
  <c r="AA9" i="9"/>
  <c r="AA8" i="8"/>
  <c r="AB19" i="10"/>
  <c r="AB10" i="8"/>
  <c r="B70" i="14"/>
  <c r="L93" i="13"/>
  <c r="K93" i="13"/>
  <c r="D86" i="13"/>
  <c r="D70" i="14" s="1"/>
  <c r="J93" i="13"/>
  <c r="I93" i="13"/>
  <c r="H93" i="13"/>
  <c r="G93" i="13"/>
  <c r="F93" i="13"/>
  <c r="E93" i="13"/>
  <c r="D93" i="13"/>
  <c r="B93" i="13"/>
  <c r="AB7" i="8"/>
  <c r="AB3" i="8"/>
  <c r="AC4" i="8"/>
  <c r="Z14" i="9"/>
  <c r="Z22" i="8"/>
  <c r="AA65" i="13"/>
  <c r="AA62" i="13"/>
  <c r="AA70" i="13" s="1"/>
  <c r="AB8" i="9"/>
  <c r="AB7" i="9"/>
  <c r="AB3" i="9"/>
  <c r="AB13" i="9"/>
  <c r="AB23" i="8" s="1"/>
  <c r="AB51" i="8" s="1"/>
  <c r="AC4" i="9"/>
  <c r="AC8" i="10"/>
  <c r="AC25" i="8" s="1"/>
  <c r="AD4" i="10"/>
  <c r="AC9" i="10"/>
  <c r="AC10" i="10" s="1"/>
  <c r="AC3" i="10"/>
  <c r="AC18" i="10"/>
  <c r="AC7" i="10"/>
  <c r="AC2" i="10"/>
  <c r="AC6" i="10"/>
  <c r="AB17" i="12"/>
  <c r="AB18" i="12" s="1"/>
  <c r="AB29" i="8"/>
  <c r="AD9" i="11"/>
  <c r="AE6" i="11" s="1"/>
  <c r="AC3" i="13"/>
  <c r="AE7" i="11"/>
  <c r="AE11" i="11" s="1"/>
  <c r="AE15" i="11"/>
  <c r="AE19" i="11"/>
  <c r="AE18" i="11"/>
  <c r="AE17" i="11"/>
  <c r="AF4" i="11"/>
  <c r="AE2" i="11"/>
  <c r="AE3" i="11"/>
  <c r="AE8" i="11"/>
  <c r="AE12" i="11" s="1"/>
  <c r="AC7" i="13" s="1"/>
  <c r="AA64" i="13"/>
  <c r="AA63" i="13"/>
  <c r="AA73" i="13" s="1"/>
  <c r="AA71" i="13"/>
  <c r="V21" i="5"/>
  <c r="AA12" i="9"/>
  <c r="AA9" i="8"/>
  <c r="AB11" i="10"/>
  <c r="AA37" i="8"/>
  <c r="AA38" i="8" s="1"/>
  <c r="AB37" i="13"/>
  <c r="AB38" i="13"/>
  <c r="AB33" i="13"/>
  <c r="AB49" i="13"/>
  <c r="AB27" i="13"/>
  <c r="AB32" i="13"/>
  <c r="AB50" i="13"/>
  <c r="AB51" i="13"/>
  <c r="AB39" i="13"/>
  <c r="AB31" i="13"/>
  <c r="AB43" i="13"/>
  <c r="AB45" i="13"/>
  <c r="AB44" i="13"/>
  <c r="AB16" i="10"/>
  <c r="AB24" i="8"/>
  <c r="AB52" i="8" s="1"/>
  <c r="AC43" i="8"/>
  <c r="AB15" i="5"/>
  <c r="AB11" i="5"/>
  <c r="AC4" i="5"/>
  <c r="AB14" i="5"/>
  <c r="AB10" i="5"/>
  <c r="AB3" i="5"/>
  <c r="AB13" i="5"/>
  <c r="AB9" i="5"/>
  <c r="AB16" i="5"/>
  <c r="AB12" i="5"/>
  <c r="AA59" i="13"/>
  <c r="C55" i="14"/>
  <c r="AB23" i="11"/>
  <c r="AD16" i="11"/>
  <c r="AD20" i="11" s="1"/>
  <c r="Y50" i="8"/>
  <c r="Y53" i="8" s="1"/>
  <c r="Y31" i="8"/>
  <c r="AA12" i="10"/>
  <c r="X32" i="8"/>
  <c r="W47" i="4"/>
  <c r="W41" i="4"/>
  <c r="W29" i="4"/>
  <c r="W23" i="4"/>
  <c r="X7" i="5" s="1"/>
  <c r="X17" i="5" s="1"/>
  <c r="X21" i="5" s="1"/>
  <c r="W35" i="4"/>
  <c r="AC22" i="11"/>
  <c r="W44" i="4"/>
  <c r="W32" i="4"/>
  <c r="W50" i="4"/>
  <c r="W38" i="4"/>
  <c r="W26" i="4"/>
  <c r="AA8" i="5" s="1"/>
  <c r="AC45" i="11"/>
  <c r="AC13" i="8"/>
  <c r="AD37" i="11"/>
  <c r="AD11" i="8" s="1"/>
  <c r="AD38" i="11"/>
  <c r="AD26" i="8" s="1"/>
  <c r="AD22" i="12"/>
  <c r="AD8" i="12"/>
  <c r="AE4" i="12"/>
  <c r="AD3" i="12"/>
  <c r="AD16" i="12"/>
  <c r="AD30" i="8" s="1"/>
  <c r="AD10" i="12"/>
  <c r="AD21" i="12" s="1"/>
  <c r="AD9" i="12"/>
  <c r="AD27" i="12" s="1"/>
  <c r="Z5" i="13"/>
  <c r="Z25" i="13" s="1"/>
  <c r="AB28" i="11"/>
  <c r="AB43" i="8"/>
  <c r="K55" i="14"/>
  <c r="L55" i="14" s="1"/>
  <c r="AD42" i="11"/>
  <c r="AD27" i="8" s="1"/>
  <c r="AD41" i="11"/>
  <c r="AD12" i="8" s="1"/>
  <c r="AC28" i="12"/>
  <c r="AC14" i="8"/>
  <c r="AC28" i="8" l="1"/>
  <c r="AB44" i="8"/>
  <c r="AC28" i="11"/>
  <c r="AA15" i="8"/>
  <c r="AA17" i="8" s="1"/>
  <c r="AA69" i="13"/>
  <c r="AA61" i="13"/>
  <c r="AB6" i="13"/>
  <c r="AB26" i="13" s="1"/>
  <c r="AB61" i="13" s="1"/>
  <c r="AD33" i="11"/>
  <c r="AD13" i="8" s="1"/>
  <c r="AE13" i="11"/>
  <c r="AC6" i="13" s="1"/>
  <c r="AC26" i="13" s="1"/>
  <c r="AD27" i="11"/>
  <c r="AD22" i="11"/>
  <c r="AB64" i="13"/>
  <c r="AB63" i="13"/>
  <c r="AB73" i="13" s="1"/>
  <c r="AB71" i="13"/>
  <c r="H94" i="13"/>
  <c r="H96" i="13"/>
  <c r="I94" i="13"/>
  <c r="I96" i="13"/>
  <c r="AB65" i="13"/>
  <c r="AE42" i="11"/>
  <c r="AE27" i="8" s="1"/>
  <c r="AE41" i="11"/>
  <c r="AE12" i="8" s="1"/>
  <c r="AA14" i="9"/>
  <c r="AA22" i="8"/>
  <c r="J94" i="13"/>
  <c r="J96" i="13"/>
  <c r="AC44" i="8"/>
  <c r="AB59" i="13"/>
  <c r="V23" i="5"/>
  <c r="W23" i="5" s="1"/>
  <c r="X23" i="5" s="1"/>
  <c r="AE16" i="11"/>
  <c r="AE20" i="11" s="1"/>
  <c r="AD3" i="10"/>
  <c r="AD18" i="10"/>
  <c r="AD7" i="10"/>
  <c r="AD8" i="10"/>
  <c r="AD25" i="8" s="1"/>
  <c r="AD2" i="10"/>
  <c r="AD6" i="10"/>
  <c r="AD9" i="10"/>
  <c r="AD10" i="10" s="1"/>
  <c r="AE4" i="10"/>
  <c r="AC7" i="8"/>
  <c r="AD4" i="8"/>
  <c r="AC3" i="8"/>
  <c r="K94" i="13"/>
  <c r="K96" i="13"/>
  <c r="D55" i="14"/>
  <c r="AE38" i="11"/>
  <c r="AE26" i="8" s="1"/>
  <c r="AE37" i="11"/>
  <c r="AE11" i="8" s="1"/>
  <c r="AD28" i="12"/>
  <c r="AD14" i="8"/>
  <c r="AB12" i="10"/>
  <c r="L94" i="13"/>
  <c r="L96" i="13"/>
  <c r="AD15" i="12"/>
  <c r="AD11" i="12"/>
  <c r="G94" i="13"/>
  <c r="G96" i="13"/>
  <c r="Z31" i="8"/>
  <c r="Z50" i="8"/>
  <c r="Z53" i="8" s="1"/>
  <c r="Z58" i="13"/>
  <c r="Z57" i="13"/>
  <c r="Z56" i="13"/>
  <c r="O55" i="14" s="1"/>
  <c r="Z55" i="13"/>
  <c r="N55" i="14" s="1"/>
  <c r="AC37" i="13"/>
  <c r="AC31" i="13"/>
  <c r="AC44" i="13"/>
  <c r="AC39" i="13"/>
  <c r="AC38" i="13"/>
  <c r="AC51" i="13"/>
  <c r="AC32" i="13"/>
  <c r="AC45" i="13"/>
  <c r="AC33" i="13"/>
  <c r="AC49" i="13"/>
  <c r="AC27" i="13"/>
  <c r="AC43" i="13"/>
  <c r="AC50" i="13"/>
  <c r="AC7" i="9"/>
  <c r="AD4" i="9"/>
  <c r="AC3" i="9"/>
  <c r="AC13" i="9"/>
  <c r="AC23" i="8" s="1"/>
  <c r="AC51" i="8" s="1"/>
  <c r="AC8" i="9"/>
  <c r="Y32" i="8"/>
  <c r="X23" i="4"/>
  <c r="Y7" i="5" s="1"/>
  <c r="Y17" i="5" s="1"/>
  <c r="Y21" i="5" s="1"/>
  <c r="X41" i="4"/>
  <c r="X29" i="4"/>
  <c r="X47" i="4"/>
  <c r="X35" i="4"/>
  <c r="AA56" i="13"/>
  <c r="AA55" i="13"/>
  <c r="AA58" i="13"/>
  <c r="AA57" i="13"/>
  <c r="AE9" i="11"/>
  <c r="AF6" i="11" s="1"/>
  <c r="D95" i="13"/>
  <c r="D133" i="13" s="1"/>
  <c r="L95" i="13"/>
  <c r="K95" i="13"/>
  <c r="J95" i="13"/>
  <c r="I95" i="13"/>
  <c r="H95" i="13"/>
  <c r="G95" i="13"/>
  <c r="F95" i="13"/>
  <c r="E95" i="13"/>
  <c r="AD23" i="12"/>
  <c r="AD24" i="12" s="1"/>
  <c r="M55" i="14"/>
  <c r="X50" i="4"/>
  <c r="X44" i="4"/>
  <c r="X32" i="4"/>
  <c r="X38" i="4"/>
  <c r="X26" i="4"/>
  <c r="AB8" i="5" s="1"/>
  <c r="D96" i="13"/>
  <c r="D134" i="13" s="1"/>
  <c r="F70" i="14" s="1"/>
  <c r="D94" i="13"/>
  <c r="D132" i="13" s="1"/>
  <c r="D131" i="13"/>
  <c r="AD46" i="11"/>
  <c r="AD28" i="8"/>
  <c r="AC17" i="12"/>
  <c r="AC18" i="12" s="1"/>
  <c r="AC29" i="8"/>
  <c r="AC15" i="5"/>
  <c r="AC11" i="5"/>
  <c r="AD4" i="5"/>
  <c r="AC14" i="5"/>
  <c r="AC10" i="5"/>
  <c r="AC3" i="5"/>
  <c r="AC13" i="5"/>
  <c r="AC9" i="5"/>
  <c r="AC16" i="5"/>
  <c r="AC12" i="5"/>
  <c r="AC24" i="8"/>
  <c r="AC52" i="8" s="1"/>
  <c r="AC16" i="10"/>
  <c r="AE22" i="12"/>
  <c r="AF4" i="12"/>
  <c r="AE16" i="12"/>
  <c r="AE30" i="8" s="1"/>
  <c r="AE10" i="12"/>
  <c r="AE21" i="12" s="1"/>
  <c r="AE9" i="12"/>
  <c r="AE27" i="12" s="1"/>
  <c r="AE3" i="12"/>
  <c r="AE8" i="12"/>
  <c r="AB9" i="9"/>
  <c r="AB8" i="8"/>
  <c r="E96" i="13"/>
  <c r="E94" i="13"/>
  <c r="AB37" i="8"/>
  <c r="AB38" i="8" s="1"/>
  <c r="AD3" i="13"/>
  <c r="AF15" i="11"/>
  <c r="AF18" i="11"/>
  <c r="AF17" i="11"/>
  <c r="AF19" i="11"/>
  <c r="AF7" i="11"/>
  <c r="AF11" i="11" s="1"/>
  <c r="AG4" i="11"/>
  <c r="AF2" i="11"/>
  <c r="AF3" i="11"/>
  <c r="AF8" i="11"/>
  <c r="AF12" i="11" s="1"/>
  <c r="AD7" i="13" s="1"/>
  <c r="AC19" i="10"/>
  <c r="AC10" i="8"/>
  <c r="AC23" i="11"/>
  <c r="AB62" i="13"/>
  <c r="AB70" i="13" s="1"/>
  <c r="AC11" i="10"/>
  <c r="AB12" i="9"/>
  <c r="AB9" i="8"/>
  <c r="F96" i="13"/>
  <c r="F94" i="13"/>
  <c r="AD45" i="11"/>
  <c r="AE33" i="11" l="1"/>
  <c r="AE45" i="11" s="1"/>
  <c r="AE34" i="11"/>
  <c r="AB15" i="8"/>
  <c r="AB17" i="8" s="1"/>
  <c r="AE27" i="11"/>
  <c r="AE43" i="8" s="1"/>
  <c r="AB69" i="13"/>
  <c r="AB60" i="13"/>
  <c r="AB74" i="13" s="1"/>
  <c r="Y23" i="5"/>
  <c r="AC62" i="13"/>
  <c r="AC70" i="13" s="1"/>
  <c r="D136" i="13"/>
  <c r="G70" i="14" s="1"/>
  <c r="AC9" i="9"/>
  <c r="AC8" i="8"/>
  <c r="E55" i="14"/>
  <c r="AD19" i="10"/>
  <c r="AD10" i="8"/>
  <c r="AD17" i="12"/>
  <c r="AD18" i="12" s="1"/>
  <c r="AD29" i="8"/>
  <c r="AD7" i="9"/>
  <c r="AE4" i="9"/>
  <c r="AD13" i="9"/>
  <c r="AD23" i="8" s="1"/>
  <c r="AD51" i="8" s="1"/>
  <c r="AD3" i="9"/>
  <c r="AD8" i="9"/>
  <c r="Z72" i="13"/>
  <c r="P55" i="14"/>
  <c r="AE22" i="11"/>
  <c r="AA50" i="8"/>
  <c r="AA53" i="8" s="1"/>
  <c r="AA31" i="8"/>
  <c r="AC37" i="8"/>
  <c r="AC38" i="8" s="1"/>
  <c r="F55" i="14"/>
  <c r="H55" i="14"/>
  <c r="P14" i="15" s="1"/>
  <c r="G55" i="14"/>
  <c r="AE46" i="11"/>
  <c r="AE28" i="8"/>
  <c r="AC5" i="13"/>
  <c r="AC25" i="13" s="1"/>
  <c r="AF42" i="11"/>
  <c r="AF27" i="8" s="1"/>
  <c r="AF41" i="11"/>
  <c r="AF12" i="8" s="1"/>
  <c r="AE11" i="12"/>
  <c r="AE15" i="12"/>
  <c r="Y50" i="4"/>
  <c r="Y38" i="4"/>
  <c r="Y26" i="4"/>
  <c r="AC8" i="5" s="1"/>
  <c r="Y32" i="4"/>
  <c r="Y44" i="4"/>
  <c r="AD16" i="10"/>
  <c r="AD24" i="8"/>
  <c r="AD52" i="8" s="1"/>
  <c r="AC64" i="13"/>
  <c r="AC63" i="13"/>
  <c r="AC73" i="13" s="1"/>
  <c r="AC71" i="13"/>
  <c r="Z32" i="8"/>
  <c r="Y23" i="4"/>
  <c r="Z7" i="5" s="1"/>
  <c r="Z17" i="5" s="1"/>
  <c r="Y41" i="4"/>
  <c r="Y29" i="4"/>
  <c r="Y47" i="4"/>
  <c r="Y35" i="4"/>
  <c r="AE4" i="8"/>
  <c r="AD3" i="8"/>
  <c r="AD7" i="8"/>
  <c r="AF37" i="11"/>
  <c r="AF11" i="8" s="1"/>
  <c r="AF38" i="11"/>
  <c r="AF26" i="8" s="1"/>
  <c r="AE28" i="12"/>
  <c r="AE14" i="8"/>
  <c r="AF9" i="11"/>
  <c r="AG6" i="11" s="1"/>
  <c r="AD23" i="11"/>
  <c r="AE3" i="13"/>
  <c r="AG18" i="11"/>
  <c r="AG17" i="11"/>
  <c r="AG19" i="11"/>
  <c r="AG7" i="11"/>
  <c r="AG11" i="11" s="1"/>
  <c r="AH4" i="11"/>
  <c r="AG2" i="11"/>
  <c r="AG15" i="11"/>
  <c r="AG3" i="11"/>
  <c r="AG8" i="11"/>
  <c r="AG12" i="11" s="1"/>
  <c r="AE7" i="13" s="1"/>
  <c r="AF13" i="11"/>
  <c r="AE23" i="12"/>
  <c r="AE24" i="12" s="1"/>
  <c r="AC65" i="13"/>
  <c r="AC59" i="13"/>
  <c r="AC12" i="10"/>
  <c r="AE3" i="10"/>
  <c r="AE18" i="10"/>
  <c r="AE7" i="10"/>
  <c r="AE8" i="10"/>
  <c r="AE25" i="8" s="1"/>
  <c r="AE2" i="10"/>
  <c r="AE6" i="10"/>
  <c r="AE9" i="10"/>
  <c r="AE10" i="10" s="1"/>
  <c r="AF4" i="10"/>
  <c r="AB5" i="13"/>
  <c r="AB25" i="13" s="1"/>
  <c r="AD28" i="11"/>
  <c r="AD43" i="8"/>
  <c r="AD44" i="8" s="1"/>
  <c r="AF16" i="11"/>
  <c r="AF20" i="11" s="1"/>
  <c r="AD49" i="13"/>
  <c r="AD27" i="13"/>
  <c r="AD32" i="13"/>
  <c r="AD43" i="13"/>
  <c r="AD33" i="13"/>
  <c r="AD44" i="13"/>
  <c r="AD39" i="13"/>
  <c r="AD31" i="13"/>
  <c r="AD37" i="13"/>
  <c r="AD51" i="13"/>
  <c r="AD45" i="13"/>
  <c r="AD38" i="13"/>
  <c r="AD50" i="13"/>
  <c r="C70" i="14"/>
  <c r="D135" i="13"/>
  <c r="AA72" i="13"/>
  <c r="AC12" i="9"/>
  <c r="AC9" i="8"/>
  <c r="AC61" i="13"/>
  <c r="AC60" i="13"/>
  <c r="AC74" i="13" s="1"/>
  <c r="AC69" i="13"/>
  <c r="AE4" i="5"/>
  <c r="AD14" i="5"/>
  <c r="AD10" i="5"/>
  <c r="AD3" i="5"/>
  <c r="AD13" i="5"/>
  <c r="AD9" i="5"/>
  <c r="AD16" i="5"/>
  <c r="AD12" i="5"/>
  <c r="AD11" i="5"/>
  <c r="AD15" i="5"/>
  <c r="AB14" i="9"/>
  <c r="AB22" i="8"/>
  <c r="AF22" i="12"/>
  <c r="AF16" i="12"/>
  <c r="AF30" i="8" s="1"/>
  <c r="AG4" i="12"/>
  <c r="AF3" i="12"/>
  <c r="AF10" i="12"/>
  <c r="AF21" i="12" s="1"/>
  <c r="AF9" i="12"/>
  <c r="AF27" i="12" s="1"/>
  <c r="AF8" i="12"/>
  <c r="AD11" i="10"/>
  <c r="AE28" i="11" l="1"/>
  <c r="AE13" i="8"/>
  <c r="AC15" i="8"/>
  <c r="AC17" i="8" s="1"/>
  <c r="W55" i="14"/>
  <c r="D14" i="15"/>
  <c r="E14" i="15" s="1"/>
  <c r="AF27" i="11"/>
  <c r="AD5" i="13" s="1"/>
  <c r="AD25" i="13" s="1"/>
  <c r="AG13" i="11"/>
  <c r="AE6" i="13" s="1"/>
  <c r="AE26" i="13" s="1"/>
  <c r="AD59" i="13"/>
  <c r="AC14" i="9"/>
  <c r="AC22" i="8"/>
  <c r="AD9" i="9"/>
  <c r="AD8" i="8"/>
  <c r="AE14" i="5"/>
  <c r="AE10" i="5"/>
  <c r="AE3" i="5"/>
  <c r="AE13" i="5"/>
  <c r="AE9" i="5"/>
  <c r="AE16" i="5"/>
  <c r="AE12" i="5"/>
  <c r="AF4" i="5"/>
  <c r="AE15" i="5"/>
  <c r="AE11" i="5"/>
  <c r="AB58" i="13"/>
  <c r="AB57" i="13"/>
  <c r="AB56" i="13"/>
  <c r="AB55" i="13"/>
  <c r="AG42" i="11"/>
  <c r="AG27" i="8" s="1"/>
  <c r="AG41" i="11"/>
  <c r="AG12" i="8" s="1"/>
  <c r="Q55" i="14"/>
  <c r="Q14" i="15"/>
  <c r="AD37" i="8"/>
  <c r="AD38" i="8" s="1"/>
  <c r="Z21" i="5"/>
  <c r="AD12" i="10"/>
  <c r="AB50" i="8"/>
  <c r="AB53" i="8" s="1"/>
  <c r="AB31" i="8"/>
  <c r="E70" i="14"/>
  <c r="V55" i="14"/>
  <c r="D137" i="13"/>
  <c r="AF2" i="10"/>
  <c r="AF18" i="10"/>
  <c r="AF3" i="10"/>
  <c r="AF7" i="10"/>
  <c r="AF8" i="10"/>
  <c r="AF25" i="8" s="1"/>
  <c r="AF6" i="10"/>
  <c r="AF9" i="10"/>
  <c r="AF10" i="10" s="1"/>
  <c r="AG4" i="10"/>
  <c r="AE17" i="12"/>
  <c r="AE18" i="12" s="1"/>
  <c r="AE29" i="8"/>
  <c r="AE23" i="11"/>
  <c r="AD62" i="13"/>
  <c r="AD70" i="13" s="1"/>
  <c r="AG37" i="11"/>
  <c r="AG11" i="8" s="1"/>
  <c r="AG38" i="11"/>
  <c r="AG26" i="8" s="1"/>
  <c r="AG9" i="11"/>
  <c r="AH6" i="11" s="1"/>
  <c r="C29" i="15"/>
  <c r="C14" i="15"/>
  <c r="O14" i="15"/>
  <c r="AD65" i="13"/>
  <c r="AF15" i="12"/>
  <c r="AF11" i="12"/>
  <c r="AF28" i="12"/>
  <c r="AF14" i="8"/>
  <c r="AE11" i="10"/>
  <c r="AE37" i="13"/>
  <c r="AE33" i="13"/>
  <c r="AE49" i="13"/>
  <c r="AE43" i="13"/>
  <c r="AE50" i="13"/>
  <c r="AE38" i="13"/>
  <c r="AE39" i="13"/>
  <c r="AE45" i="13"/>
  <c r="AE51" i="13"/>
  <c r="AE32" i="13"/>
  <c r="AE31" i="13"/>
  <c r="AE44" i="13"/>
  <c r="AE27" i="13"/>
  <c r="AF4" i="8"/>
  <c r="AE3" i="8"/>
  <c r="AE7" i="8"/>
  <c r="I55" i="14"/>
  <c r="AG16" i="11"/>
  <c r="AG20" i="11" s="1"/>
  <c r="Z50" i="4"/>
  <c r="Z38" i="4"/>
  <c r="Z26" i="4"/>
  <c r="AD8" i="5" s="1"/>
  <c r="Z32" i="4"/>
  <c r="Z44" i="4"/>
  <c r="B14" i="15"/>
  <c r="N14" i="15"/>
  <c r="AA32" i="8"/>
  <c r="Z41" i="4"/>
  <c r="Z29" i="4"/>
  <c r="Z47" i="4"/>
  <c r="Z35" i="4"/>
  <c r="Z23" i="4"/>
  <c r="AA7" i="5" s="1"/>
  <c r="AA17" i="5" s="1"/>
  <c r="AA21" i="5" s="1"/>
  <c r="AF3" i="13"/>
  <c r="AH19" i="11"/>
  <c r="AH17" i="11"/>
  <c r="AH8" i="11"/>
  <c r="AH12" i="11" s="1"/>
  <c r="AF7" i="13" s="1"/>
  <c r="AH7" i="11"/>
  <c r="AH11" i="11" s="1"/>
  <c r="AI4" i="11"/>
  <c r="AH2" i="11"/>
  <c r="AH15" i="11"/>
  <c r="AH3" i="11"/>
  <c r="AH18" i="11"/>
  <c r="AD6" i="13"/>
  <c r="AD26" i="13" s="1"/>
  <c r="AF33" i="11"/>
  <c r="AF34" i="11"/>
  <c r="AF22" i="11"/>
  <c r="AD12" i="9"/>
  <c r="AD9" i="8"/>
  <c r="AC58" i="13"/>
  <c r="AC57" i="13"/>
  <c r="AC72" i="13" s="1"/>
  <c r="AC56" i="13"/>
  <c r="AC55" i="13"/>
  <c r="AF23" i="12"/>
  <c r="AF24" i="12" s="1"/>
  <c r="AG16" i="12"/>
  <c r="AG30" i="8" s="1"/>
  <c r="AG3" i="12"/>
  <c r="AG10" i="12"/>
  <c r="AG21" i="12" s="1"/>
  <c r="AG22" i="12"/>
  <c r="AG9" i="12"/>
  <c r="AG27" i="12" s="1"/>
  <c r="AG8" i="12"/>
  <c r="AH4" i="12"/>
  <c r="AD64" i="13"/>
  <c r="AD63" i="13"/>
  <c r="AD73" i="13" s="1"/>
  <c r="AD71" i="13"/>
  <c r="AE16" i="10"/>
  <c r="AE24" i="8"/>
  <c r="AE52" i="8" s="1"/>
  <c r="AF4" i="9"/>
  <c r="AE3" i="9"/>
  <c r="AE7" i="9"/>
  <c r="AE13" i="9"/>
  <c r="AE23" i="8" s="1"/>
  <c r="AE51" i="8" s="1"/>
  <c r="AE8" i="9"/>
  <c r="AE19" i="10"/>
  <c r="AE10" i="8"/>
  <c r="AE44" i="8"/>
  <c r="AF43" i="8" l="1"/>
  <c r="AF44" i="8" s="1"/>
  <c r="AF28" i="11"/>
  <c r="AE12" i="10"/>
  <c r="AG34" i="11"/>
  <c r="AG46" i="11" s="1"/>
  <c r="AD15" i="8"/>
  <c r="AD17" i="8" s="1"/>
  <c r="AG33" i="11"/>
  <c r="AF11" i="10"/>
  <c r="AF37" i="8" s="1"/>
  <c r="AE65" i="13"/>
  <c r="AH13" i="11"/>
  <c r="AH33" i="11" s="1"/>
  <c r="AG27" i="11"/>
  <c r="AG22" i="11"/>
  <c r="Z23" i="5"/>
  <c r="AA23" i="5" s="1"/>
  <c r="AE12" i="9"/>
  <c r="AE9" i="8"/>
  <c r="AH16" i="12"/>
  <c r="AH30" i="8" s="1"/>
  <c r="AH3" i="12"/>
  <c r="AH10" i="12"/>
  <c r="AH21" i="12" s="1"/>
  <c r="AH22" i="12"/>
  <c r="AH9" i="12"/>
  <c r="AH27" i="12" s="1"/>
  <c r="AH8" i="12"/>
  <c r="AI4" i="12"/>
  <c r="AE61" i="13"/>
  <c r="AE60" i="13"/>
  <c r="AE74" i="13" s="1"/>
  <c r="AE69" i="13"/>
  <c r="AF19" i="10"/>
  <c r="AF10" i="8"/>
  <c r="AF39" i="13"/>
  <c r="AF33" i="13"/>
  <c r="AF31" i="13"/>
  <c r="AF44" i="13"/>
  <c r="AF38" i="13"/>
  <c r="AF27" i="13"/>
  <c r="AF45" i="13"/>
  <c r="AF51" i="13"/>
  <c r="AF50" i="13"/>
  <c r="AF32" i="13"/>
  <c r="AF43" i="13"/>
  <c r="AF37" i="13"/>
  <c r="AF49" i="13"/>
  <c r="AB72" i="13"/>
  <c r="AE59" i="13"/>
  <c r="AG45" i="11"/>
  <c r="AG13" i="8"/>
  <c r="AH38" i="11"/>
  <c r="AH26" i="8" s="1"/>
  <c r="AH37" i="11"/>
  <c r="AH11" i="8" s="1"/>
  <c r="AE9" i="9"/>
  <c r="AE8" i="8"/>
  <c r="AG15" i="12"/>
  <c r="AG11" i="12"/>
  <c r="AE62" i="13"/>
  <c r="AE70" i="13" s="1"/>
  <c r="H70" i="14"/>
  <c r="X55" i="14"/>
  <c r="AF14" i="5"/>
  <c r="AF10" i="5"/>
  <c r="AF3" i="5"/>
  <c r="AF13" i="5"/>
  <c r="AF9" i="5"/>
  <c r="AF16" i="5"/>
  <c r="AF12" i="5"/>
  <c r="AF15" i="5"/>
  <c r="AG4" i="5"/>
  <c r="AF11" i="5"/>
  <c r="AF16" i="10"/>
  <c r="AF24" i="8"/>
  <c r="AF52" i="8" s="1"/>
  <c r="AD14" i="9"/>
  <c r="AD22" i="8"/>
  <c r="AG3" i="13"/>
  <c r="AI19" i="11"/>
  <c r="AI17" i="11"/>
  <c r="AI8" i="11"/>
  <c r="AI12" i="11" s="1"/>
  <c r="AG7" i="13" s="1"/>
  <c r="AI7" i="11"/>
  <c r="AI11" i="11" s="1"/>
  <c r="AJ4" i="11"/>
  <c r="AI2" i="11"/>
  <c r="AI15" i="11"/>
  <c r="AI3" i="11"/>
  <c r="AI18" i="11"/>
  <c r="AE63" i="13"/>
  <c r="AE73" i="13" s="1"/>
  <c r="AE64" i="13"/>
  <c r="AE71" i="13"/>
  <c r="AD61" i="13"/>
  <c r="AD60" i="13"/>
  <c r="AD74" i="13" s="1"/>
  <c r="AD69" i="13"/>
  <c r="AF17" i="12"/>
  <c r="AF18" i="12" s="1"/>
  <c r="AF29" i="8"/>
  <c r="AG28" i="12"/>
  <c r="AG14" i="8"/>
  <c r="AG23" i="12"/>
  <c r="AG24" i="12" s="1"/>
  <c r="AF23" i="11"/>
  <c r="AH9" i="11"/>
  <c r="AI6" i="11" s="1"/>
  <c r="AB32" i="8"/>
  <c r="AA47" i="4"/>
  <c r="AA41" i="4"/>
  <c r="AA29" i="4"/>
  <c r="AA35" i="4"/>
  <c r="AA23" i="4"/>
  <c r="AB7" i="5" s="1"/>
  <c r="AB17" i="5" s="1"/>
  <c r="B29" i="15" s="1"/>
  <c r="AF3" i="9"/>
  <c r="AF13" i="9"/>
  <c r="AF23" i="8" s="1"/>
  <c r="AF51" i="8" s="1"/>
  <c r="AF7" i="9"/>
  <c r="AG4" i="9"/>
  <c r="AF8" i="9"/>
  <c r="AF46" i="11"/>
  <c r="AF28" i="8"/>
  <c r="AE37" i="8"/>
  <c r="AE38" i="8" s="1"/>
  <c r="AG18" i="10"/>
  <c r="AG3" i="10"/>
  <c r="AG7" i="10"/>
  <c r="AG8" i="10"/>
  <c r="AG25" i="8" s="1"/>
  <c r="AG2" i="10"/>
  <c r="AG6" i="10"/>
  <c r="AG9" i="10"/>
  <c r="AG10" i="10" s="1"/>
  <c r="AH4" i="10"/>
  <c r="AA50" i="4"/>
  <c r="AA44" i="4"/>
  <c r="AA38" i="4"/>
  <c r="AA26" i="4"/>
  <c r="AE8" i="5" s="1"/>
  <c r="AA32" i="4"/>
  <c r="AG4" i="8"/>
  <c r="AF3" i="8"/>
  <c r="AF7" i="8"/>
  <c r="AH16" i="11"/>
  <c r="AH20" i="11" s="1"/>
  <c r="AF45" i="11"/>
  <c r="AF13" i="8"/>
  <c r="AH42" i="11"/>
  <c r="AH27" i="8" s="1"/>
  <c r="AH41" i="11"/>
  <c r="AH12" i="8" s="1"/>
  <c r="AC31" i="8"/>
  <c r="AC50" i="8"/>
  <c r="AC53" i="8" s="1"/>
  <c r="AD58" i="13"/>
  <c r="AD57" i="13"/>
  <c r="AD72" i="13" s="1"/>
  <c r="AD56" i="13"/>
  <c r="AD55" i="13"/>
  <c r="AG28" i="8" l="1"/>
  <c r="AF6" i="13"/>
  <c r="AF26" i="13" s="1"/>
  <c r="AF61" i="13" s="1"/>
  <c r="AH34" i="11"/>
  <c r="AH46" i="11" s="1"/>
  <c r="AH27" i="11"/>
  <c r="AF5" i="13" s="1"/>
  <c r="AF25" i="13" s="1"/>
  <c r="AF12" i="10"/>
  <c r="AI9" i="11"/>
  <c r="AJ6" i="11" s="1"/>
  <c r="AE15" i="8"/>
  <c r="AE17" i="8" s="1"/>
  <c r="AI38" i="11"/>
  <c r="AI26" i="8" s="1"/>
  <c r="AI37" i="11"/>
  <c r="AI11" i="8" s="1"/>
  <c r="AE14" i="9"/>
  <c r="AE22" i="8"/>
  <c r="AD50" i="8"/>
  <c r="AD53" i="8" s="1"/>
  <c r="AD31" i="8"/>
  <c r="AF62" i="13"/>
  <c r="AF70" i="13" s="1"/>
  <c r="AG3" i="9"/>
  <c r="AG13" i="9"/>
  <c r="AG23" i="8" s="1"/>
  <c r="AG51" i="8" s="1"/>
  <c r="AG8" i="9"/>
  <c r="AH4" i="9"/>
  <c r="AG7" i="9"/>
  <c r="AF59" i="13"/>
  <c r="AG11" i="10"/>
  <c r="AG16" i="10"/>
  <c r="AG24" i="8"/>
  <c r="AG52" i="8" s="1"/>
  <c r="AF9" i="9"/>
  <c r="AF8" i="8"/>
  <c r="AI16" i="11"/>
  <c r="AI20" i="11" s="1"/>
  <c r="AF65" i="13"/>
  <c r="AG13" i="5"/>
  <c r="AG9" i="5"/>
  <c r="AG16" i="5"/>
  <c r="AG12" i="5"/>
  <c r="AG15" i="5"/>
  <c r="AG11" i="5"/>
  <c r="AG14" i="5"/>
  <c r="AG3" i="5"/>
  <c r="AG10" i="5"/>
  <c r="AH4" i="5"/>
  <c r="AI16" i="12"/>
  <c r="AI30" i="8" s="1"/>
  <c r="AI10" i="12"/>
  <c r="AI21" i="12" s="1"/>
  <c r="AI22" i="12"/>
  <c r="AI9" i="12"/>
  <c r="AI27" i="12" s="1"/>
  <c r="AI8" i="12"/>
  <c r="AJ4" i="12"/>
  <c r="AI3" i="12"/>
  <c r="Y55" i="14"/>
  <c r="AF12" i="9"/>
  <c r="AF9" i="8"/>
  <c r="AB21" i="5"/>
  <c r="AI13" i="11"/>
  <c r="AH15" i="12"/>
  <c r="AH11" i="12"/>
  <c r="AF38" i="8"/>
  <c r="AH4" i="8"/>
  <c r="AG7" i="8"/>
  <c r="AG3" i="8"/>
  <c r="AG19" i="10"/>
  <c r="AG10" i="8"/>
  <c r="AH22" i="11"/>
  <c r="AF64" i="13"/>
  <c r="AF63" i="13"/>
  <c r="AF73" i="13" s="1"/>
  <c r="AF71" i="13"/>
  <c r="AH28" i="12"/>
  <c r="AH14" i="8"/>
  <c r="AH3" i="13"/>
  <c r="AJ19" i="11"/>
  <c r="AJ18" i="11"/>
  <c r="AJ7" i="11"/>
  <c r="AJ11" i="11" s="1"/>
  <c r="AJ15" i="11"/>
  <c r="AJ3" i="11"/>
  <c r="AJ8" i="11"/>
  <c r="AJ12" i="11" s="1"/>
  <c r="AH7" i="13" s="1"/>
  <c r="AK4" i="11"/>
  <c r="AJ2" i="11"/>
  <c r="AJ17" i="11"/>
  <c r="AH43" i="8"/>
  <c r="AB38" i="4"/>
  <c r="AB26" i="4"/>
  <c r="AF8" i="5" s="1"/>
  <c r="AB50" i="4"/>
  <c r="AB32" i="4"/>
  <c r="AB44" i="4"/>
  <c r="AH45" i="11"/>
  <c r="AH13" i="8"/>
  <c r="AI42" i="11"/>
  <c r="AI27" i="8" s="1"/>
  <c r="AI41" i="11"/>
  <c r="AI12" i="8" s="1"/>
  <c r="AG17" i="12"/>
  <c r="AG18" i="12" s="1"/>
  <c r="AG29" i="8"/>
  <c r="AH23" i="12"/>
  <c r="AH24" i="12" s="1"/>
  <c r="AG23" i="11"/>
  <c r="AC32" i="8"/>
  <c r="AB47" i="4"/>
  <c r="AB35" i="4"/>
  <c r="AB23" i="4"/>
  <c r="AC7" i="5" s="1"/>
  <c r="AC17" i="5" s="1"/>
  <c r="AC21" i="5" s="1"/>
  <c r="AB41" i="4"/>
  <c r="AB29" i="4"/>
  <c r="AH18" i="10"/>
  <c r="AH9" i="10"/>
  <c r="AH10" i="10" s="1"/>
  <c r="AH7" i="10"/>
  <c r="AH8" i="10"/>
  <c r="AH25" i="8" s="1"/>
  <c r="AH2" i="10"/>
  <c r="AH6" i="10"/>
  <c r="AI4" i="10"/>
  <c r="AH3" i="10"/>
  <c r="AG33" i="13"/>
  <c r="AG43" i="13"/>
  <c r="AG49" i="13"/>
  <c r="AG37" i="13"/>
  <c r="AG32" i="13"/>
  <c r="AG39" i="13"/>
  <c r="AG44" i="13"/>
  <c r="AG38" i="13"/>
  <c r="AG50" i="13"/>
  <c r="AG51" i="13"/>
  <c r="AG27" i="13"/>
  <c r="AG45" i="13"/>
  <c r="AG31" i="13"/>
  <c r="AE5" i="13"/>
  <c r="AE25" i="13" s="1"/>
  <c r="AG28" i="11"/>
  <c r="AH28" i="11" s="1"/>
  <c r="AG43" i="8"/>
  <c r="AG44" i="8" s="1"/>
  <c r="AH28" i="8" l="1"/>
  <c r="AG12" i="10"/>
  <c r="AF60" i="13"/>
  <c r="AF74" i="13" s="1"/>
  <c r="AF69" i="13"/>
  <c r="AI27" i="11"/>
  <c r="AG5" i="13" s="1"/>
  <c r="AG25" i="13" s="1"/>
  <c r="AJ9" i="11"/>
  <c r="AK6" i="11" s="1"/>
  <c r="AF15" i="8"/>
  <c r="AF17" i="8" s="1"/>
  <c r="AG59" i="13"/>
  <c r="AG62" i="13"/>
  <c r="AG70" i="13" s="1"/>
  <c r="AI43" i="8"/>
  <c r="AJ16" i="12"/>
  <c r="AJ30" i="8" s="1"/>
  <c r="AJ22" i="12"/>
  <c r="AJ10" i="12"/>
  <c r="AJ21" i="12" s="1"/>
  <c r="AJ9" i="12"/>
  <c r="AJ27" i="12" s="1"/>
  <c r="AJ8" i="12"/>
  <c r="AK4" i="12"/>
  <c r="AJ3" i="12"/>
  <c r="AC38" i="4"/>
  <c r="AC26" i="4"/>
  <c r="AG8" i="5" s="1"/>
  <c r="AC50" i="4"/>
  <c r="AC44" i="4"/>
  <c r="AC32" i="4"/>
  <c r="AH17" i="12"/>
  <c r="AH18" i="12" s="1"/>
  <c r="AH29" i="8"/>
  <c r="AE50" i="8"/>
  <c r="AE53" i="8" s="1"/>
  <c r="AE31" i="8"/>
  <c r="AI15" i="12"/>
  <c r="AI11" i="12"/>
  <c r="AH19" i="10"/>
  <c r="AH10" i="8"/>
  <c r="AH44" i="8"/>
  <c r="AI3" i="13"/>
  <c r="AK18" i="11"/>
  <c r="AK7" i="11"/>
  <c r="AK11" i="11" s="1"/>
  <c r="AK15" i="11"/>
  <c r="AK19" i="11"/>
  <c r="AK3" i="11"/>
  <c r="AK8" i="11"/>
  <c r="AK12" i="11" s="1"/>
  <c r="AI7" i="13" s="1"/>
  <c r="AL4" i="11"/>
  <c r="AK2" i="11"/>
  <c r="AK17" i="11"/>
  <c r="AG6" i="13"/>
  <c r="AG26" i="13" s="1"/>
  <c r="AI33" i="11"/>
  <c r="AI34" i="11"/>
  <c r="AI22" i="11"/>
  <c r="AI28" i="12"/>
  <c r="AI14" i="8"/>
  <c r="AG37" i="8"/>
  <c r="AG38" i="8" s="1"/>
  <c r="AH49" i="13"/>
  <c r="AH38" i="13"/>
  <c r="AH27" i="13"/>
  <c r="AH45" i="13"/>
  <c r="AH37" i="13"/>
  <c r="AH31" i="13"/>
  <c r="AH39" i="13"/>
  <c r="AH32" i="13"/>
  <c r="AH44" i="13"/>
  <c r="AH43" i="13"/>
  <c r="AH51" i="13"/>
  <c r="AH33" i="13"/>
  <c r="AH50" i="13"/>
  <c r="AH16" i="10"/>
  <c r="AH24" i="8"/>
  <c r="AH52" i="8" s="1"/>
  <c r="AG65" i="13"/>
  <c r="AH23" i="11"/>
  <c r="AI23" i="12"/>
  <c r="AI24" i="12" s="1"/>
  <c r="AG9" i="9"/>
  <c r="AG8" i="8"/>
  <c r="AF58" i="13"/>
  <c r="AF57" i="13"/>
  <c r="AF72" i="13" s="1"/>
  <c r="AF56" i="13"/>
  <c r="AF55" i="13"/>
  <c r="AJ16" i="11"/>
  <c r="AJ20" i="11" s="1"/>
  <c r="AB23" i="5"/>
  <c r="AC23" i="5" s="1"/>
  <c r="D29" i="15"/>
  <c r="AH13" i="9"/>
  <c r="AH23" i="8" s="1"/>
  <c r="AH51" i="8" s="1"/>
  <c r="AH8" i="9"/>
  <c r="AI4" i="9"/>
  <c r="AH3" i="9"/>
  <c r="AH7" i="9"/>
  <c r="AI18" i="10"/>
  <c r="AI8" i="10"/>
  <c r="AI25" i="8" s="1"/>
  <c r="AI2" i="10"/>
  <c r="AI6" i="10"/>
  <c r="AJ4" i="10"/>
  <c r="AI9" i="10"/>
  <c r="AI10" i="10" s="1"/>
  <c r="AI3" i="10"/>
  <c r="AI7" i="10"/>
  <c r="AJ13" i="11"/>
  <c r="AH13" i="5"/>
  <c r="AH9" i="5"/>
  <c r="AH16" i="5"/>
  <c r="AH12" i="5"/>
  <c r="AH15" i="5"/>
  <c r="AH11" i="5"/>
  <c r="AI4" i="5"/>
  <c r="AH14" i="5"/>
  <c r="AH3" i="5"/>
  <c r="AH10" i="5"/>
  <c r="AG12" i="9"/>
  <c r="AG9" i="8"/>
  <c r="AI4" i="8"/>
  <c r="AH7" i="8"/>
  <c r="AH3" i="8"/>
  <c r="AD32" i="8"/>
  <c r="AC47" i="4"/>
  <c r="AC35" i="4"/>
  <c r="AC23" i="4"/>
  <c r="AD7" i="5" s="1"/>
  <c r="AD17" i="5" s="1"/>
  <c r="AD21" i="5" s="1"/>
  <c r="AC41" i="4"/>
  <c r="AC29" i="4"/>
  <c r="AH11" i="10"/>
  <c r="AJ38" i="11"/>
  <c r="AJ26" i="8" s="1"/>
  <c r="AJ37" i="11"/>
  <c r="AJ11" i="8" s="1"/>
  <c r="AF14" i="9"/>
  <c r="AF22" i="8"/>
  <c r="AG64" i="13"/>
  <c r="AG63" i="13"/>
  <c r="AG73" i="13" s="1"/>
  <c r="AG71" i="13"/>
  <c r="AE58" i="13"/>
  <c r="AE57" i="13"/>
  <c r="AE56" i="13"/>
  <c r="AE55" i="13"/>
  <c r="AJ41" i="11"/>
  <c r="AJ12" i="8" s="1"/>
  <c r="AJ42" i="11"/>
  <c r="AJ27" i="8" s="1"/>
  <c r="AI28" i="11" l="1"/>
  <c r="AG15" i="8"/>
  <c r="AG17" i="8" s="1"/>
  <c r="AJ27" i="11"/>
  <c r="AJ28" i="11" s="1"/>
  <c r="AH62" i="13"/>
  <c r="AH70" i="13" s="1"/>
  <c r="AK9" i="11"/>
  <c r="AL6" i="11" s="1"/>
  <c r="AK38" i="11"/>
  <c r="AK26" i="8" s="1"/>
  <c r="AK37" i="11"/>
  <c r="AK11" i="8" s="1"/>
  <c r="AI50" i="13"/>
  <c r="AI31" i="13"/>
  <c r="AI32" i="13"/>
  <c r="AI39" i="13"/>
  <c r="AI43" i="13"/>
  <c r="AI49" i="13"/>
  <c r="AI44" i="13"/>
  <c r="AI45" i="13"/>
  <c r="AI33" i="13"/>
  <c r="AI27" i="13"/>
  <c r="AI38" i="13"/>
  <c r="AI51" i="13"/>
  <c r="AI37" i="13"/>
  <c r="AI7" i="8"/>
  <c r="AI3" i="8"/>
  <c r="AJ4" i="8"/>
  <c r="AI8" i="9"/>
  <c r="AI7" i="9"/>
  <c r="AJ4" i="9"/>
  <c r="AI3" i="9"/>
  <c r="AI13" i="9"/>
  <c r="AI23" i="8" s="1"/>
  <c r="AI51" i="8" s="1"/>
  <c r="AH59" i="13"/>
  <c r="AK16" i="12"/>
  <c r="AK30" i="8" s="1"/>
  <c r="AK22" i="12"/>
  <c r="AK10" i="12"/>
  <c r="AK21" i="12" s="1"/>
  <c r="AK9" i="12"/>
  <c r="AK27" i="12" s="1"/>
  <c r="AK8" i="12"/>
  <c r="AL4" i="12"/>
  <c r="AK3" i="12"/>
  <c r="AI19" i="10"/>
  <c r="AI10" i="8"/>
  <c r="AH6" i="13"/>
  <c r="AH26" i="13" s="1"/>
  <c r="AJ34" i="11"/>
  <c r="AJ33" i="11"/>
  <c r="AJ22" i="11"/>
  <c r="AH12" i="10"/>
  <c r="AH12" i="9"/>
  <c r="AH9" i="8"/>
  <c r="AJ3" i="13"/>
  <c r="AL18" i="11"/>
  <c r="AL17" i="11"/>
  <c r="AL15" i="11"/>
  <c r="AM4" i="11"/>
  <c r="AL3" i="11"/>
  <c r="AL8" i="11"/>
  <c r="AL12" i="11" s="1"/>
  <c r="AJ7" i="13" s="1"/>
  <c r="AL19" i="11"/>
  <c r="AL2" i="11"/>
  <c r="AL7" i="11"/>
  <c r="AL11" i="11" s="1"/>
  <c r="AE32" i="8"/>
  <c r="AD47" i="4"/>
  <c r="AD29" i="4"/>
  <c r="AD35" i="4"/>
  <c r="AD23" i="4"/>
  <c r="AE7" i="5" s="1"/>
  <c r="AE17" i="5" s="1"/>
  <c r="AE21" i="5" s="1"/>
  <c r="AD41" i="4"/>
  <c r="AJ15" i="12"/>
  <c r="AJ11" i="12"/>
  <c r="AG22" i="8"/>
  <c r="AG14" i="9"/>
  <c r="AD23" i="5"/>
  <c r="AI13" i="5"/>
  <c r="AI9" i="5"/>
  <c r="AI16" i="5"/>
  <c r="AI12" i="5"/>
  <c r="AI15" i="5"/>
  <c r="AI11" i="5"/>
  <c r="AJ4" i="5"/>
  <c r="AI14" i="5"/>
  <c r="AI3" i="5"/>
  <c r="AI10" i="5"/>
  <c r="AH65" i="13"/>
  <c r="AD50" i="4"/>
  <c r="AD38" i="4"/>
  <c r="AD26" i="4"/>
  <c r="AH8" i="5" s="1"/>
  <c r="AD44" i="4"/>
  <c r="AD32" i="4"/>
  <c r="AJ28" i="12"/>
  <c r="AJ14" i="8"/>
  <c r="AI44" i="8"/>
  <c r="AJ18" i="10"/>
  <c r="AJ8" i="10"/>
  <c r="AJ25" i="8" s="1"/>
  <c r="AJ2" i="10"/>
  <c r="AJ6" i="10"/>
  <c r="AK4" i="10"/>
  <c r="AJ9" i="10"/>
  <c r="AJ10" i="10" s="1"/>
  <c r="AJ3" i="10"/>
  <c r="AJ7" i="10"/>
  <c r="E29" i="15"/>
  <c r="AH64" i="13"/>
  <c r="AH63" i="13"/>
  <c r="AH73" i="13" s="1"/>
  <c r="AH71" i="13"/>
  <c r="AK42" i="11"/>
  <c r="AK27" i="8" s="1"/>
  <c r="AK41" i="11"/>
  <c r="AK12" i="8" s="1"/>
  <c r="AJ23" i="12"/>
  <c r="AJ24" i="12" s="1"/>
  <c r="AI45" i="11"/>
  <c r="AI13" i="8"/>
  <c r="AG61" i="13"/>
  <c r="AG60" i="13"/>
  <c r="AG74" i="13" s="1"/>
  <c r="AG69" i="13"/>
  <c r="AH9" i="9"/>
  <c r="AH8" i="8"/>
  <c r="AE72" i="13"/>
  <c r="AI16" i="10"/>
  <c r="AI24" i="8"/>
  <c r="AI52" i="8" s="1"/>
  <c r="AI23" i="11"/>
  <c r="AK16" i="11"/>
  <c r="AK20" i="11" s="1"/>
  <c r="AH37" i="8"/>
  <c r="AH38" i="8" s="1"/>
  <c r="AI17" i="12"/>
  <c r="AI18" i="12" s="1"/>
  <c r="AI29" i="8"/>
  <c r="AI11" i="10"/>
  <c r="AF50" i="8"/>
  <c r="AF53" i="8" s="1"/>
  <c r="AF31" i="8"/>
  <c r="AI46" i="11"/>
  <c r="AI28" i="8"/>
  <c r="AK13" i="11"/>
  <c r="AG57" i="13"/>
  <c r="AG72" i="13" s="1"/>
  <c r="AG58" i="13"/>
  <c r="AG56" i="13"/>
  <c r="AG55" i="13"/>
  <c r="AH5" i="13" l="1"/>
  <c r="AH25" i="13" s="1"/>
  <c r="AJ43" i="8"/>
  <c r="AJ44" i="8" s="1"/>
  <c r="AH15" i="8"/>
  <c r="AH17" i="8" s="1"/>
  <c r="AL13" i="11"/>
  <c r="AL33" i="11" s="1"/>
  <c r="AK27" i="11"/>
  <c r="AI5" i="13" s="1"/>
  <c r="AI25" i="13" s="1"/>
  <c r="AL38" i="11"/>
  <c r="AL26" i="8" s="1"/>
  <c r="AL37" i="11"/>
  <c r="AL11" i="8" s="1"/>
  <c r="AJ51" i="13"/>
  <c r="AJ39" i="13"/>
  <c r="AJ33" i="13"/>
  <c r="AJ31" i="13"/>
  <c r="AJ50" i="13"/>
  <c r="AJ43" i="13"/>
  <c r="AJ37" i="13"/>
  <c r="AJ27" i="13"/>
  <c r="AJ49" i="13"/>
  <c r="AJ32" i="13"/>
  <c r="AJ38" i="13"/>
  <c r="AJ44" i="13"/>
  <c r="AJ45" i="13"/>
  <c r="AI9" i="9"/>
  <c r="AI8" i="8"/>
  <c r="AK15" i="12"/>
  <c r="AK11" i="12"/>
  <c r="AI12" i="9"/>
  <c r="AI9" i="8"/>
  <c r="AI63" i="13"/>
  <c r="AI73" i="13" s="1"/>
  <c r="AI64" i="13"/>
  <c r="AI71" i="13"/>
  <c r="AI62" i="13"/>
  <c r="AI70" i="13" s="1"/>
  <c r="AH22" i="8"/>
  <c r="AH14" i="9"/>
  <c r="AK28" i="12"/>
  <c r="AK14" i="8"/>
  <c r="AI65" i="13"/>
  <c r="AI59" i="13"/>
  <c r="AI12" i="10"/>
  <c r="AK23" i="12"/>
  <c r="AK24" i="12" s="1"/>
  <c r="AJ7" i="8"/>
  <c r="AJ3" i="8"/>
  <c r="AK4" i="8"/>
  <c r="AJ8" i="9"/>
  <c r="AJ7" i="9"/>
  <c r="AK4" i="9"/>
  <c r="AJ3" i="9"/>
  <c r="AJ13" i="9"/>
  <c r="AJ23" i="8" s="1"/>
  <c r="AJ51" i="8" s="1"/>
  <c r="AJ16" i="10"/>
  <c r="AJ24" i="8"/>
  <c r="AJ52" i="8" s="1"/>
  <c r="AJ16" i="5"/>
  <c r="AJ12" i="5"/>
  <c r="AJ15" i="5"/>
  <c r="AJ11" i="5"/>
  <c r="AK4" i="5"/>
  <c r="AJ14" i="5"/>
  <c r="AJ10" i="5"/>
  <c r="AJ3" i="5"/>
  <c r="AJ9" i="5"/>
  <c r="AJ13" i="5"/>
  <c r="AJ23" i="11"/>
  <c r="AI6" i="13"/>
  <c r="AI26" i="13" s="1"/>
  <c r="AK34" i="11"/>
  <c r="AK33" i="11"/>
  <c r="AK22" i="11"/>
  <c r="AJ17" i="12"/>
  <c r="AJ18" i="12" s="1"/>
  <c r="AJ29" i="8"/>
  <c r="AL41" i="11"/>
  <c r="AL12" i="8" s="1"/>
  <c r="AL42" i="11"/>
  <c r="AL27" i="8" s="1"/>
  <c r="AJ45" i="11"/>
  <c r="AJ13" i="8"/>
  <c r="AJ46" i="11"/>
  <c r="AJ28" i="8"/>
  <c r="AI37" i="8"/>
  <c r="AI38" i="8" s="1"/>
  <c r="AG50" i="8"/>
  <c r="AG53" i="8" s="1"/>
  <c r="AG31" i="8"/>
  <c r="AK18" i="10"/>
  <c r="AK6" i="10"/>
  <c r="AL4" i="10"/>
  <c r="AK9" i="10"/>
  <c r="AK10" i="10" s="1"/>
  <c r="AK3" i="10"/>
  <c r="AK7" i="10"/>
  <c r="AK8" i="10"/>
  <c r="AK25" i="8" s="1"/>
  <c r="AK2" i="10"/>
  <c r="AE23" i="5"/>
  <c r="AH61" i="13"/>
  <c r="AH60" i="13"/>
  <c r="AH74" i="13" s="1"/>
  <c r="AH69" i="13"/>
  <c r="AL9" i="11"/>
  <c r="AM6" i="11" s="1"/>
  <c r="AK3" i="13"/>
  <c r="AM17" i="11"/>
  <c r="AM8" i="11"/>
  <c r="AM12" i="11" s="1"/>
  <c r="AK7" i="13" s="1"/>
  <c r="AM15" i="11"/>
  <c r="AM19" i="11"/>
  <c r="AM3" i="11"/>
  <c r="AM18" i="11"/>
  <c r="AM2" i="11"/>
  <c r="AN4" i="11"/>
  <c r="AM7" i="11"/>
  <c r="AM11" i="11" s="1"/>
  <c r="AJ19" i="10"/>
  <c r="AJ10" i="8"/>
  <c r="AL16" i="12"/>
  <c r="AL30" i="8" s="1"/>
  <c r="AL22" i="12"/>
  <c r="AL10" i="12"/>
  <c r="AL21" i="12" s="1"/>
  <c r="AL9" i="12"/>
  <c r="AL27" i="12" s="1"/>
  <c r="AL8" i="12"/>
  <c r="AM4" i="12"/>
  <c r="AL3" i="12"/>
  <c r="AF32" i="8"/>
  <c r="AE35" i="4"/>
  <c r="AE23" i="4"/>
  <c r="AF7" i="5" s="1"/>
  <c r="AF17" i="5" s="1"/>
  <c r="AF21" i="5" s="1"/>
  <c r="AE41" i="4"/>
  <c r="AE29" i="4"/>
  <c r="AE47" i="4"/>
  <c r="AJ11" i="10"/>
  <c r="AE50" i="4"/>
  <c r="AE44" i="4"/>
  <c r="AE32" i="4"/>
  <c r="AE26" i="4"/>
  <c r="AI8" i="5" s="1"/>
  <c r="AE38" i="4"/>
  <c r="AL16" i="11"/>
  <c r="AL20" i="11" s="1"/>
  <c r="AH57" i="13"/>
  <c r="AH56" i="13"/>
  <c r="AH55" i="13"/>
  <c r="AH58" i="13"/>
  <c r="AL27" i="11" l="1"/>
  <c r="AJ6" i="13"/>
  <c r="AJ26" i="13" s="1"/>
  <c r="AJ61" i="13" s="1"/>
  <c r="AL34" i="11"/>
  <c r="AI15" i="8"/>
  <c r="AI17" i="8" s="1"/>
  <c r="AK28" i="11"/>
  <c r="AK43" i="8"/>
  <c r="AF23" i="5"/>
  <c r="AL23" i="12"/>
  <c r="AL24" i="12" s="1"/>
  <c r="AK11" i="10"/>
  <c r="AK37" i="8" s="1"/>
  <c r="AJ59" i="13"/>
  <c r="AM9" i="11"/>
  <c r="AN6" i="11" s="1"/>
  <c r="AJ60" i="13"/>
  <c r="AJ74" i="13" s="1"/>
  <c r="AK7" i="9"/>
  <c r="AL4" i="9"/>
  <c r="AK13" i="9"/>
  <c r="AK23" i="8" s="1"/>
  <c r="AK51" i="8" s="1"/>
  <c r="AK3" i="9"/>
  <c r="AK8" i="9"/>
  <c r="AM13" i="11"/>
  <c r="AK19" i="10"/>
  <c r="AK10" i="8"/>
  <c r="AI58" i="13"/>
  <c r="AI57" i="13"/>
  <c r="AI72" i="13" s="1"/>
  <c r="AI56" i="13"/>
  <c r="AI55" i="13"/>
  <c r="AK16" i="5"/>
  <c r="AK12" i="5"/>
  <c r="AK15" i="5"/>
  <c r="AK11" i="5"/>
  <c r="AL4" i="5"/>
  <c r="AK14" i="5"/>
  <c r="AK10" i="5"/>
  <c r="AK3" i="5"/>
  <c r="AK13" i="5"/>
  <c r="AK9" i="5"/>
  <c r="AJ9" i="9"/>
  <c r="AJ8" i="8"/>
  <c r="AJ65" i="13"/>
  <c r="AL15" i="12"/>
  <c r="AL11" i="12"/>
  <c r="AJ12" i="9"/>
  <c r="AJ9" i="8"/>
  <c r="AM16" i="12"/>
  <c r="AM30" i="8" s="1"/>
  <c r="AM22" i="12"/>
  <c r="AM9" i="12"/>
  <c r="AM27" i="12" s="1"/>
  <c r="AM8" i="12"/>
  <c r="AN4" i="12"/>
  <c r="AM3" i="12"/>
  <c r="AM10" i="12"/>
  <c r="AM21" i="12" s="1"/>
  <c r="AL3" i="13"/>
  <c r="AN17" i="11"/>
  <c r="AN8" i="11"/>
  <c r="AN12" i="11" s="1"/>
  <c r="AL7" i="13" s="1"/>
  <c r="AN3" i="11"/>
  <c r="AN19" i="11"/>
  <c r="AN18" i="11"/>
  <c r="AN15" i="11"/>
  <c r="AN2" i="11"/>
  <c r="AO4" i="11"/>
  <c r="AN7" i="11"/>
  <c r="AN11" i="11" s="1"/>
  <c r="AL28" i="12"/>
  <c r="AL14" i="8"/>
  <c r="AG32" i="8"/>
  <c r="AF35" i="4"/>
  <c r="AF23" i="4"/>
  <c r="AG7" i="5" s="1"/>
  <c r="AG17" i="5" s="1"/>
  <c r="AG21" i="5" s="1"/>
  <c r="AF41" i="4"/>
  <c r="AF29" i="4"/>
  <c r="AF47" i="4"/>
  <c r="AK7" i="8"/>
  <c r="AK3" i="8"/>
  <c r="AL4" i="8"/>
  <c r="AL18" i="10"/>
  <c r="AL7" i="10"/>
  <c r="AL6" i="10"/>
  <c r="AM4" i="10"/>
  <c r="AL9" i="10"/>
  <c r="AL10" i="10" s="1"/>
  <c r="AL3" i="10"/>
  <c r="AL2" i="10"/>
  <c r="AL8" i="10"/>
  <c r="AL25" i="8" s="1"/>
  <c r="AJ37" i="8"/>
  <c r="AJ38" i="8" s="1"/>
  <c r="AM38" i="11"/>
  <c r="AM26" i="8" s="1"/>
  <c r="AM37" i="11"/>
  <c r="AM11" i="8" s="1"/>
  <c r="AF50" i="4"/>
  <c r="AF44" i="4"/>
  <c r="AF32" i="4"/>
  <c r="AF26" i="4"/>
  <c r="AJ8" i="5" s="1"/>
  <c r="AF38" i="4"/>
  <c r="AI14" i="9"/>
  <c r="AI22" i="8"/>
  <c r="AJ62" i="13"/>
  <c r="AJ70" i="13" s="1"/>
  <c r="AM42" i="11"/>
  <c r="AM27" i="8" s="1"/>
  <c r="AM41" i="11"/>
  <c r="AM12" i="8" s="1"/>
  <c r="AK23" i="11"/>
  <c r="AH50" i="8"/>
  <c r="AH53" i="8" s="1"/>
  <c r="AH31" i="8"/>
  <c r="AK17" i="12"/>
  <c r="AK18" i="12" s="1"/>
  <c r="AK29" i="8"/>
  <c r="AJ5" i="13"/>
  <c r="AJ25" i="13" s="1"/>
  <c r="AL43" i="8"/>
  <c r="AM16" i="11"/>
  <c r="AM20" i="11" s="1"/>
  <c r="AK45" i="11"/>
  <c r="AK13" i="8"/>
  <c r="AJ12" i="10"/>
  <c r="AJ63" i="13"/>
  <c r="AJ73" i="13" s="1"/>
  <c r="AJ64" i="13"/>
  <c r="AJ71" i="13"/>
  <c r="AH72" i="13"/>
  <c r="AK16" i="10"/>
  <c r="AK24" i="8"/>
  <c r="AK52" i="8" s="1"/>
  <c r="AK46" i="11"/>
  <c r="AK28" i="8"/>
  <c r="AL22" i="11"/>
  <c r="AI60" i="13"/>
  <c r="AI74" i="13" s="1"/>
  <c r="AI61" i="13"/>
  <c r="AI69" i="13"/>
  <c r="AL45" i="11"/>
  <c r="AL13" i="8"/>
  <c r="AK50" i="13"/>
  <c r="AK27" i="13"/>
  <c r="AK37" i="13"/>
  <c r="AK38" i="13"/>
  <c r="AK32" i="13"/>
  <c r="AK33" i="13"/>
  <c r="AK43" i="13"/>
  <c r="AK45" i="13"/>
  <c r="AK31" i="13"/>
  <c r="AK39" i="13"/>
  <c r="AK49" i="13"/>
  <c r="AK51" i="13"/>
  <c r="AK44" i="13"/>
  <c r="AK44" i="8"/>
  <c r="AL46" i="11"/>
  <c r="AL28" i="8"/>
  <c r="AJ69" i="13" l="1"/>
  <c r="AL28" i="11"/>
  <c r="AK12" i="10"/>
  <c r="AJ15" i="8"/>
  <c r="AJ17" i="8" s="1"/>
  <c r="AG23" i="5"/>
  <c r="AK65" i="13"/>
  <c r="AM23" i="12"/>
  <c r="AM24" i="12" s="1"/>
  <c r="AN9" i="11"/>
  <c r="AO6" i="11" s="1"/>
  <c r="AM27" i="11"/>
  <c r="AK5" i="13" s="1"/>
  <c r="AK25" i="13" s="1"/>
  <c r="AN13" i="11"/>
  <c r="AL6" i="13" s="1"/>
  <c r="AL26" i="13" s="1"/>
  <c r="AK62" i="13"/>
  <c r="AK70" i="13" s="1"/>
  <c r="AI50" i="8"/>
  <c r="AI53" i="8" s="1"/>
  <c r="AI31" i="8"/>
  <c r="AM3" i="13"/>
  <c r="AO8" i="11"/>
  <c r="AO12" i="11" s="1"/>
  <c r="AM7" i="13" s="1"/>
  <c r="AO19" i="11"/>
  <c r="AO18" i="11"/>
  <c r="AO15" i="11"/>
  <c r="AO2" i="11"/>
  <c r="AP4" i="11"/>
  <c r="AO7" i="11"/>
  <c r="AO11" i="11" s="1"/>
  <c r="AO17" i="11"/>
  <c r="AO3" i="11"/>
  <c r="AL8" i="9"/>
  <c r="AL7" i="9"/>
  <c r="AM4" i="9"/>
  <c r="AL3" i="9"/>
  <c r="AL13" i="9"/>
  <c r="AL23" i="8" s="1"/>
  <c r="AL51" i="8" s="1"/>
  <c r="AG38" i="4"/>
  <c r="AG50" i="4"/>
  <c r="AG44" i="4"/>
  <c r="AG32" i="4"/>
  <c r="AG26" i="4"/>
  <c r="AK8" i="5" s="1"/>
  <c r="AL23" i="11"/>
  <c r="AN16" i="12"/>
  <c r="AN30" i="8" s="1"/>
  <c r="AN22" i="12"/>
  <c r="AN9" i="12"/>
  <c r="AN27" i="12" s="1"/>
  <c r="AN8" i="12"/>
  <c r="AO4" i="12"/>
  <c r="AN3" i="12"/>
  <c r="AN10" i="12"/>
  <c r="AN21" i="12" s="1"/>
  <c r="AK9" i="9"/>
  <c r="AK8" i="8"/>
  <c r="AL17" i="12"/>
  <c r="AL18" i="12" s="1"/>
  <c r="AL29" i="8"/>
  <c r="AN16" i="11"/>
  <c r="AN20" i="11" s="1"/>
  <c r="AN27" i="11" s="1"/>
  <c r="AN37" i="11"/>
  <c r="AN11" i="8" s="1"/>
  <c r="AN38" i="11"/>
  <c r="AN26" i="8" s="1"/>
  <c r="AM15" i="12"/>
  <c r="AM11" i="12"/>
  <c r="AH32" i="8"/>
  <c r="AG47" i="4"/>
  <c r="AG35" i="4"/>
  <c r="AG23" i="4"/>
  <c r="AH7" i="5" s="1"/>
  <c r="AH17" i="5" s="1"/>
  <c r="AH21" i="5" s="1"/>
  <c r="AG41" i="4"/>
  <c r="AG29" i="4"/>
  <c r="AK64" i="13"/>
  <c r="AK63" i="13"/>
  <c r="AK73" i="13" s="1"/>
  <c r="AK71" i="13"/>
  <c r="AL44" i="8"/>
  <c r="AM9" i="10"/>
  <c r="AM10" i="10" s="1"/>
  <c r="AN4" i="10"/>
  <c r="AM18" i="10"/>
  <c r="AM3" i="10"/>
  <c r="AM7" i="10"/>
  <c r="AM8" i="10"/>
  <c r="AM25" i="8" s="1"/>
  <c r="AM2" i="10"/>
  <c r="AM6" i="10"/>
  <c r="AN41" i="11"/>
  <c r="AN12" i="8" s="1"/>
  <c r="AN42" i="11"/>
  <c r="AN27" i="8" s="1"/>
  <c r="AM28" i="12"/>
  <c r="AM14" i="8"/>
  <c r="AL11" i="10"/>
  <c r="AL16" i="10"/>
  <c r="AL24" i="8"/>
  <c r="AL52" i="8" s="1"/>
  <c r="AK59" i="13"/>
  <c r="AJ58" i="13"/>
  <c r="AJ57" i="13"/>
  <c r="AJ72" i="13" s="1"/>
  <c r="AJ56" i="13"/>
  <c r="AJ55" i="13"/>
  <c r="AL19" i="10"/>
  <c r="AL10" i="8"/>
  <c r="AL16" i="5"/>
  <c r="AL12" i="5"/>
  <c r="AL15" i="5"/>
  <c r="AL11" i="5"/>
  <c r="AM4" i="5"/>
  <c r="AL14" i="5"/>
  <c r="AL10" i="5"/>
  <c r="AL3" i="5"/>
  <c r="AL13" i="5"/>
  <c r="AL9" i="5"/>
  <c r="AL7" i="8"/>
  <c r="AL3" i="8"/>
  <c r="AM4" i="8"/>
  <c r="AL33" i="13"/>
  <c r="AL51" i="13"/>
  <c r="AL50" i="13"/>
  <c r="AL27" i="13"/>
  <c r="AL39" i="13"/>
  <c r="AL32" i="13"/>
  <c r="AL38" i="13"/>
  <c r="AL45" i="13"/>
  <c r="AL44" i="13"/>
  <c r="AL37" i="13"/>
  <c r="AL43" i="13"/>
  <c r="AL31" i="13"/>
  <c r="AL49" i="13"/>
  <c r="AJ14" i="9"/>
  <c r="AJ22" i="8"/>
  <c r="AK6" i="13"/>
  <c r="AK26" i="13" s="1"/>
  <c r="AM34" i="11"/>
  <c r="AM33" i="11"/>
  <c r="AM22" i="11"/>
  <c r="AK38" i="8"/>
  <c r="AK12" i="9"/>
  <c r="AK9" i="8"/>
  <c r="AL12" i="10" l="1"/>
  <c r="AH23" i="5"/>
  <c r="AO9" i="11"/>
  <c r="AP6" i="11" s="1"/>
  <c r="AM43" i="8"/>
  <c r="AM44" i="8" s="1"/>
  <c r="AN33" i="11"/>
  <c r="AN45" i="11" s="1"/>
  <c r="AM28" i="11"/>
  <c r="AN28" i="11" s="1"/>
  <c r="AN34" i="11"/>
  <c r="AN46" i="11" s="1"/>
  <c r="AN23" i="12"/>
  <c r="AN24" i="12" s="1"/>
  <c r="AO13" i="11"/>
  <c r="AO34" i="11" s="1"/>
  <c r="AL62" i="13"/>
  <c r="AL70" i="13" s="1"/>
  <c r="J56" i="14" s="1"/>
  <c r="K56" i="14" s="1"/>
  <c r="L56" i="14" s="1"/>
  <c r="AK15" i="8"/>
  <c r="AK17" i="8" s="1"/>
  <c r="AL61" i="13"/>
  <c r="AL69" i="13"/>
  <c r="AL60" i="13"/>
  <c r="AL74" i="13" s="1"/>
  <c r="AL9" i="9"/>
  <c r="AL8" i="8"/>
  <c r="AL9" i="8"/>
  <c r="AL12" i="9"/>
  <c r="AH50" i="4"/>
  <c r="AH26" i="4"/>
  <c r="AL8" i="5" s="1"/>
  <c r="AH44" i="4"/>
  <c r="AH32" i="4"/>
  <c r="AH38" i="4"/>
  <c r="AM19" i="10"/>
  <c r="AM10" i="8"/>
  <c r="AI32" i="8"/>
  <c r="AH47" i="4"/>
  <c r="AH41" i="4"/>
  <c r="AH29" i="4"/>
  <c r="AH23" i="4"/>
  <c r="AI7" i="5" s="1"/>
  <c r="AI17" i="5" s="1"/>
  <c r="AI21" i="5" s="1"/>
  <c r="AI23" i="5" s="1"/>
  <c r="AH35" i="4"/>
  <c r="AK14" i="9"/>
  <c r="AK22" i="8"/>
  <c r="AM17" i="12"/>
  <c r="AM18" i="12" s="1"/>
  <c r="AM29" i="8"/>
  <c r="AN6" i="10"/>
  <c r="AO4" i="10"/>
  <c r="AN18" i="10"/>
  <c r="AN9" i="10"/>
  <c r="AN10" i="10" s="1"/>
  <c r="AN3" i="10"/>
  <c r="AN7" i="10"/>
  <c r="AN8" i="10"/>
  <c r="AN25" i="8" s="1"/>
  <c r="AN2" i="10"/>
  <c r="AM15" i="5"/>
  <c r="AM11" i="5"/>
  <c r="AN4" i="5"/>
  <c r="AM14" i="5"/>
  <c r="AM10" i="5"/>
  <c r="AM3" i="5"/>
  <c r="AM13" i="5"/>
  <c r="AM9" i="5"/>
  <c r="AM16" i="5"/>
  <c r="AM12" i="5"/>
  <c r="AM39" i="13"/>
  <c r="AM31" i="13"/>
  <c r="AM45" i="13"/>
  <c r="AM38" i="13"/>
  <c r="AM50" i="13"/>
  <c r="AM43" i="13"/>
  <c r="AM37" i="13"/>
  <c r="AM49" i="13"/>
  <c r="AM51" i="13"/>
  <c r="AM44" i="13"/>
  <c r="AM27" i="13"/>
  <c r="AM33" i="13"/>
  <c r="AM32" i="13"/>
  <c r="AL64" i="13"/>
  <c r="AL63" i="13"/>
  <c r="AL73" i="13" s="1"/>
  <c r="E84" i="13" s="1"/>
  <c r="E85" i="13" s="1"/>
  <c r="AL71" i="13"/>
  <c r="AM23" i="11"/>
  <c r="AL5" i="13"/>
  <c r="AL25" i="13" s="1"/>
  <c r="AN43" i="8"/>
  <c r="AO22" i="12"/>
  <c r="AO8" i="12"/>
  <c r="AO3" i="12"/>
  <c r="AO16" i="12"/>
  <c r="AO30" i="8" s="1"/>
  <c r="AO10" i="12"/>
  <c r="AO21" i="12" s="1"/>
  <c r="AO9" i="12"/>
  <c r="AO27" i="12" s="1"/>
  <c r="AP4" i="12"/>
  <c r="AN3" i="13"/>
  <c r="AP7" i="11"/>
  <c r="AP11" i="11" s="1"/>
  <c r="AP15" i="11"/>
  <c r="AP19" i="11"/>
  <c r="AP18" i="11"/>
  <c r="AP8" i="11"/>
  <c r="AP12" i="11" s="1"/>
  <c r="AN7" i="13" s="1"/>
  <c r="AP2" i="11"/>
  <c r="AQ4" i="11"/>
  <c r="AP17" i="11"/>
  <c r="AP3" i="11"/>
  <c r="AL65" i="13"/>
  <c r="AM11" i="10"/>
  <c r="AM45" i="11"/>
  <c r="AM13" i="8"/>
  <c r="AN15" i="12"/>
  <c r="AN11" i="12"/>
  <c r="AO16" i="11"/>
  <c r="AO20" i="11" s="1"/>
  <c r="AK69" i="13"/>
  <c r="AK60" i="13"/>
  <c r="AK74" i="13" s="1"/>
  <c r="AK61" i="13"/>
  <c r="AM7" i="8"/>
  <c r="AM3" i="8"/>
  <c r="AN4" i="8"/>
  <c r="AN28" i="12"/>
  <c r="AN14" i="8"/>
  <c r="AO38" i="11"/>
  <c r="AO26" i="8" s="1"/>
  <c r="AO37" i="11"/>
  <c r="AO11" i="8" s="1"/>
  <c r="AM46" i="11"/>
  <c r="AM28" i="8"/>
  <c r="AJ31" i="8"/>
  <c r="AJ50" i="8"/>
  <c r="AJ53" i="8" s="1"/>
  <c r="AN22" i="11"/>
  <c r="AO41" i="11"/>
  <c r="AO12" i="8" s="1"/>
  <c r="AO42" i="11"/>
  <c r="AO27" i="8" s="1"/>
  <c r="AL59" i="13"/>
  <c r="AM16" i="10"/>
  <c r="AM24" i="8"/>
  <c r="AM52" i="8" s="1"/>
  <c r="AL37" i="8"/>
  <c r="AL38" i="8" s="1"/>
  <c r="AN13" i="8"/>
  <c r="AM8" i="9"/>
  <c r="AN4" i="9"/>
  <c r="AM3" i="9"/>
  <c r="AM13" i="9"/>
  <c r="AM23" i="8" s="1"/>
  <c r="AM51" i="8" s="1"/>
  <c r="AM7" i="9"/>
  <c r="AK58" i="13"/>
  <c r="AK57" i="13"/>
  <c r="AK72" i="13" s="1"/>
  <c r="AK56" i="13"/>
  <c r="AK55" i="13"/>
  <c r="AL15" i="8" l="1"/>
  <c r="AO33" i="11"/>
  <c r="AM6" i="13"/>
  <c r="AM26" i="13" s="1"/>
  <c r="AM61" i="13" s="1"/>
  <c r="AN28" i="8"/>
  <c r="AL17" i="8"/>
  <c r="AP13" i="11"/>
  <c r="AP34" i="11" s="1"/>
  <c r="AO23" i="12"/>
  <c r="AO24" i="12" s="1"/>
  <c r="AM62" i="13"/>
  <c r="AM70" i="13" s="1"/>
  <c r="AN11" i="10"/>
  <c r="AN37" i="8" s="1"/>
  <c r="AO27" i="11"/>
  <c r="AO22" i="11"/>
  <c r="M56" i="14"/>
  <c r="AO3" i="13"/>
  <c r="AQ7" i="11"/>
  <c r="AQ11" i="11" s="1"/>
  <c r="AQ15" i="11"/>
  <c r="AQ19" i="11"/>
  <c r="AQ18" i="11"/>
  <c r="AQ8" i="11"/>
  <c r="AQ12" i="11" s="1"/>
  <c r="AO7" i="13" s="1"/>
  <c r="AQ2" i="11"/>
  <c r="AR4" i="11"/>
  <c r="AQ17" i="11"/>
  <c r="AQ3" i="11"/>
  <c r="AO46" i="11"/>
  <c r="AO28" i="8"/>
  <c r="AM12" i="9"/>
  <c r="AM9" i="8"/>
  <c r="AN17" i="12"/>
  <c r="AN18" i="12" s="1"/>
  <c r="AN29" i="8"/>
  <c r="AO15" i="12"/>
  <c r="AO11" i="12"/>
  <c r="AP9" i="11"/>
  <c r="AQ6" i="11" s="1"/>
  <c r="AP37" i="11"/>
  <c r="AP11" i="8" s="1"/>
  <c r="AP38" i="11"/>
  <c r="AP26" i="8" s="1"/>
  <c r="AM65" i="13"/>
  <c r="AK31" i="8"/>
  <c r="AK50" i="8"/>
  <c r="AK53" i="8" s="1"/>
  <c r="AN8" i="9"/>
  <c r="AN7" i="9"/>
  <c r="AN3" i="9"/>
  <c r="AN13" i="9"/>
  <c r="AN23" i="8" s="1"/>
  <c r="AN51" i="8" s="1"/>
  <c r="AO4" i="9"/>
  <c r="AN7" i="8"/>
  <c r="AN3" i="8"/>
  <c r="AO4" i="8"/>
  <c r="AP42" i="11"/>
  <c r="AP27" i="8" s="1"/>
  <c r="AP41" i="11"/>
  <c r="AP12" i="8" s="1"/>
  <c r="AN44" i="8"/>
  <c r="AP16" i="11"/>
  <c r="AP20" i="11" s="1"/>
  <c r="AN16" i="10"/>
  <c r="AN24" i="8"/>
  <c r="AN52" i="8" s="1"/>
  <c r="B71" i="14"/>
  <c r="G97" i="13"/>
  <c r="F97" i="13"/>
  <c r="E86" i="13"/>
  <c r="D71" i="14" s="1"/>
  <c r="E97" i="13"/>
  <c r="B97" i="13"/>
  <c r="L97" i="13"/>
  <c r="K97" i="13"/>
  <c r="J97" i="13"/>
  <c r="I97" i="13"/>
  <c r="H97" i="13"/>
  <c r="AM64" i="13"/>
  <c r="AM63" i="13"/>
  <c r="AM73" i="13" s="1"/>
  <c r="AM71" i="13"/>
  <c r="AP33" i="11"/>
  <c r="AN23" i="11"/>
  <c r="AN27" i="13"/>
  <c r="AN33" i="13"/>
  <c r="AN39" i="13"/>
  <c r="AN45" i="13"/>
  <c r="AN49" i="13"/>
  <c r="AN43" i="13"/>
  <c r="AN44" i="13"/>
  <c r="AN37" i="13"/>
  <c r="AN50" i="13"/>
  <c r="AN51" i="13"/>
  <c r="AN31" i="13"/>
  <c r="AN32" i="13"/>
  <c r="AN38" i="13"/>
  <c r="AL58" i="13"/>
  <c r="AL57" i="13"/>
  <c r="AL56" i="13"/>
  <c r="O56" i="14" s="1"/>
  <c r="AL55" i="13"/>
  <c r="N56" i="14" s="1"/>
  <c r="AM59" i="13"/>
  <c r="B56" i="14"/>
  <c r="AI50" i="4"/>
  <c r="AI44" i="4"/>
  <c r="AI32" i="4"/>
  <c r="AI38" i="4"/>
  <c r="AI26" i="4"/>
  <c r="AM8" i="5" s="1"/>
  <c r="AP22" i="12"/>
  <c r="AP8" i="12"/>
  <c r="AQ4" i="12"/>
  <c r="AP3" i="12"/>
  <c r="AP16" i="12"/>
  <c r="AP30" i="8" s="1"/>
  <c r="AP10" i="12"/>
  <c r="AP21" i="12" s="1"/>
  <c r="AP9" i="12"/>
  <c r="AP27" i="12" s="1"/>
  <c r="AN19" i="10"/>
  <c r="AN10" i="8"/>
  <c r="AJ32" i="8"/>
  <c r="AI47" i="4"/>
  <c r="AI41" i="4"/>
  <c r="AI29" i="4"/>
  <c r="AI23" i="4"/>
  <c r="AJ7" i="5" s="1"/>
  <c r="AJ17" i="5" s="1"/>
  <c r="AJ21" i="5" s="1"/>
  <c r="AJ23" i="5" s="1"/>
  <c r="AI35" i="4"/>
  <c r="AO28" i="12"/>
  <c r="AO14" i="8"/>
  <c r="AO8" i="10"/>
  <c r="AO25" i="8" s="1"/>
  <c r="AP4" i="10"/>
  <c r="AO18" i="10"/>
  <c r="AO9" i="10"/>
  <c r="AO10" i="10" s="1"/>
  <c r="AO3" i="10"/>
  <c r="AO7" i="10"/>
  <c r="AO2" i="10"/>
  <c r="AO6" i="10"/>
  <c r="AN15" i="5"/>
  <c r="AN11" i="5"/>
  <c r="AO4" i="5"/>
  <c r="AN14" i="5"/>
  <c r="AN10" i="5"/>
  <c r="AN3" i="5"/>
  <c r="AN13" i="5"/>
  <c r="AN9" i="5"/>
  <c r="AN12" i="5"/>
  <c r="AN16" i="5"/>
  <c r="AL14" i="9"/>
  <c r="AL22" i="8"/>
  <c r="AM37" i="8"/>
  <c r="AM38" i="8" s="1"/>
  <c r="AM9" i="9"/>
  <c r="AM8" i="8"/>
  <c r="AO45" i="11"/>
  <c r="AO13" i="8"/>
  <c r="AM12" i="10"/>
  <c r="AN6" i="13" l="1"/>
  <c r="AN26" i="13" s="1"/>
  <c r="AN12" i="10"/>
  <c r="AM60" i="13"/>
  <c r="AM74" i="13" s="1"/>
  <c r="AP27" i="11"/>
  <c r="AN5" i="13" s="1"/>
  <c r="AN25" i="13" s="1"/>
  <c r="AM69" i="13"/>
  <c r="AM15" i="8"/>
  <c r="AM17" i="8" s="1"/>
  <c r="AN38" i="8"/>
  <c r="AP23" i="12"/>
  <c r="AP24" i="12" s="1"/>
  <c r="AN59" i="13"/>
  <c r="AN62" i="13"/>
  <c r="AN70" i="13" s="1"/>
  <c r="AO11" i="10"/>
  <c r="AO12" i="10" s="1"/>
  <c r="AN65" i="13"/>
  <c r="AQ38" i="11"/>
  <c r="AQ26" i="8" s="1"/>
  <c r="AQ37" i="11"/>
  <c r="AQ11" i="8" s="1"/>
  <c r="AN64" i="13"/>
  <c r="AN63" i="13"/>
  <c r="AN73" i="13" s="1"/>
  <c r="AN71" i="13"/>
  <c r="AO7" i="8"/>
  <c r="AP4" i="8"/>
  <c r="AO3" i="8"/>
  <c r="AK32" i="8"/>
  <c r="AJ23" i="4"/>
  <c r="AK7" i="5" s="1"/>
  <c r="AK17" i="5" s="1"/>
  <c r="AK21" i="5" s="1"/>
  <c r="AK23" i="5" s="1"/>
  <c r="AJ41" i="4"/>
  <c r="AJ29" i="4"/>
  <c r="AJ35" i="4"/>
  <c r="AJ47" i="4"/>
  <c r="AM14" i="9"/>
  <c r="AM22" i="8"/>
  <c r="AQ42" i="11"/>
  <c r="AQ27" i="8" s="1"/>
  <c r="AQ41" i="11"/>
  <c r="AQ12" i="8" s="1"/>
  <c r="AQ22" i="12"/>
  <c r="AR4" i="12"/>
  <c r="AQ16" i="12"/>
  <c r="AQ30" i="8" s="1"/>
  <c r="AQ10" i="12"/>
  <c r="AQ21" i="12" s="1"/>
  <c r="AQ9" i="12"/>
  <c r="AQ27" i="12" s="1"/>
  <c r="AQ3" i="12"/>
  <c r="AQ8" i="12"/>
  <c r="AQ16" i="11"/>
  <c r="AQ20" i="11" s="1"/>
  <c r="G98" i="13"/>
  <c r="G100" i="13"/>
  <c r="H98" i="13"/>
  <c r="H100" i="13"/>
  <c r="AQ13" i="11"/>
  <c r="AO16" i="10"/>
  <c r="AO24" i="8"/>
  <c r="AO52" i="8" s="1"/>
  <c r="AP15" i="12"/>
  <c r="AP11" i="12"/>
  <c r="AL72" i="13"/>
  <c r="P56" i="14"/>
  <c r="I100" i="13"/>
  <c r="I98" i="13"/>
  <c r="AO7" i="9"/>
  <c r="AP4" i="9"/>
  <c r="AO3" i="9"/>
  <c r="AO13" i="9"/>
  <c r="AO23" i="8" s="1"/>
  <c r="AO51" i="8" s="1"/>
  <c r="AO8" i="9"/>
  <c r="AO38" i="13"/>
  <c r="AO32" i="13"/>
  <c r="AO49" i="13"/>
  <c r="AO31" i="13"/>
  <c r="AO37" i="13"/>
  <c r="AO51" i="13"/>
  <c r="AO39" i="13"/>
  <c r="AO33" i="13"/>
  <c r="AO27" i="13"/>
  <c r="AO43" i="13"/>
  <c r="AO44" i="13"/>
  <c r="AO45" i="13"/>
  <c r="AO50" i="13"/>
  <c r="J100" i="13"/>
  <c r="J98" i="13"/>
  <c r="K100" i="13"/>
  <c r="K98" i="13"/>
  <c r="AQ9" i="11"/>
  <c r="AR6" i="11" s="1"/>
  <c r="H56" i="14"/>
  <c r="F56" i="14"/>
  <c r="B15" i="15" s="1"/>
  <c r="G56" i="14"/>
  <c r="AO19" i="10"/>
  <c r="AO10" i="8"/>
  <c r="AP22" i="11"/>
  <c r="L100" i="13"/>
  <c r="L98" i="13"/>
  <c r="AN9" i="9"/>
  <c r="AN8" i="8"/>
  <c r="F98" i="13"/>
  <c r="F100" i="13"/>
  <c r="C56" i="14"/>
  <c r="D56" i="14" s="1"/>
  <c r="AP18" i="10"/>
  <c r="AQ4" i="10"/>
  <c r="AP9" i="10"/>
  <c r="AP10" i="10" s="1"/>
  <c r="AP3" i="10"/>
  <c r="AP7" i="10"/>
  <c r="AP2" i="10"/>
  <c r="AP8" i="10"/>
  <c r="AP25" i="8" s="1"/>
  <c r="AP6" i="10"/>
  <c r="AP46" i="11"/>
  <c r="AP28" i="8"/>
  <c r="J99" i="13"/>
  <c r="I99" i="13"/>
  <c r="H99" i="13"/>
  <c r="G99" i="13"/>
  <c r="F99" i="13"/>
  <c r="E99" i="13"/>
  <c r="E133" i="13" s="1"/>
  <c r="L99" i="13"/>
  <c r="K99" i="13"/>
  <c r="AN12" i="9"/>
  <c r="AN9" i="8"/>
  <c r="AN61" i="13"/>
  <c r="AN60" i="13"/>
  <c r="AN74" i="13" s="1"/>
  <c r="AN69" i="13"/>
  <c r="AP45" i="11"/>
  <c r="AP13" i="8"/>
  <c r="E98" i="13"/>
  <c r="E132" i="13" s="1"/>
  <c r="E100" i="13"/>
  <c r="E134" i="13" s="1"/>
  <c r="F71" i="14" s="1"/>
  <c r="E131" i="13"/>
  <c r="AO17" i="12"/>
  <c r="AO18" i="12" s="1"/>
  <c r="AO29" i="8"/>
  <c r="AP3" i="13"/>
  <c r="AR15" i="11"/>
  <c r="AR18" i="11"/>
  <c r="AR17" i="11"/>
  <c r="AR8" i="11"/>
  <c r="AR12" i="11" s="1"/>
  <c r="AP7" i="13" s="1"/>
  <c r="AR2" i="11"/>
  <c r="AS4" i="11"/>
  <c r="AR7" i="11"/>
  <c r="AR11" i="11" s="1"/>
  <c r="AR3" i="11"/>
  <c r="AR19" i="11"/>
  <c r="AO23" i="11"/>
  <c r="AJ50" i="4"/>
  <c r="AJ44" i="4"/>
  <c r="AJ32" i="4"/>
  <c r="AJ38" i="4"/>
  <c r="AJ26" i="4"/>
  <c r="AN8" i="5" s="1"/>
  <c r="AL31" i="8"/>
  <c r="AL50" i="8"/>
  <c r="AL53" i="8" s="1"/>
  <c r="AO15" i="5"/>
  <c r="AO11" i="5"/>
  <c r="AP4" i="5"/>
  <c r="AO14" i="5"/>
  <c r="AO10" i="5"/>
  <c r="AO3" i="5"/>
  <c r="AO13" i="5"/>
  <c r="AO9" i="5"/>
  <c r="AO12" i="5"/>
  <c r="AO16" i="5"/>
  <c r="AP28" i="12"/>
  <c r="AP14" i="8"/>
  <c r="AM5" i="13"/>
  <c r="AM25" i="13" s="1"/>
  <c r="AO28" i="11"/>
  <c r="AP28" i="11" s="1"/>
  <c r="AO43" i="8"/>
  <c r="AO44" i="8" s="1"/>
  <c r="AO37" i="8" l="1"/>
  <c r="AP43" i="8"/>
  <c r="AO38" i="8"/>
  <c r="AQ27" i="11"/>
  <c r="AO5" i="13" s="1"/>
  <c r="AO25" i="13" s="1"/>
  <c r="AN15" i="8"/>
  <c r="AN17" i="8" s="1"/>
  <c r="AO59" i="13"/>
  <c r="AR37" i="11"/>
  <c r="AR11" i="8" s="1"/>
  <c r="AR38" i="11"/>
  <c r="AR26" i="8" s="1"/>
  <c r="AR9" i="11"/>
  <c r="AS6" i="11" s="1"/>
  <c r="AP17" i="12"/>
  <c r="AP18" i="12" s="1"/>
  <c r="AP29" i="8"/>
  <c r="Q56" i="14"/>
  <c r="AR16" i="11"/>
  <c r="AR20" i="11" s="1"/>
  <c r="AP44" i="8"/>
  <c r="AO65" i="13"/>
  <c r="AO12" i="9"/>
  <c r="AO9" i="8"/>
  <c r="AM50" i="8"/>
  <c r="AM53" i="8" s="1"/>
  <c r="AM31" i="8"/>
  <c r="AQ4" i="8"/>
  <c r="AP3" i="8"/>
  <c r="AP7" i="8"/>
  <c r="AO62" i="13"/>
  <c r="AO70" i="13" s="1"/>
  <c r="AN14" i="9"/>
  <c r="AN22" i="8"/>
  <c r="AP11" i="10"/>
  <c r="C15" i="15"/>
  <c r="O15" i="15"/>
  <c r="AO6" i="13"/>
  <c r="AO26" i="13" s="1"/>
  <c r="AQ33" i="11"/>
  <c r="AQ34" i="11"/>
  <c r="AQ22" i="11"/>
  <c r="AQ15" i="12"/>
  <c r="AQ11" i="12"/>
  <c r="AP19" i="10"/>
  <c r="AP10" i="8"/>
  <c r="AQ4" i="5"/>
  <c r="AP14" i="5"/>
  <c r="AP10" i="5"/>
  <c r="AP3" i="5"/>
  <c r="AP13" i="5"/>
  <c r="AP9" i="5"/>
  <c r="AP16" i="5"/>
  <c r="AP12" i="5"/>
  <c r="AP11" i="5"/>
  <c r="AP15" i="5"/>
  <c r="P15" i="15"/>
  <c r="D15" i="15"/>
  <c r="E56" i="14"/>
  <c r="AN56" i="13"/>
  <c r="AN55" i="13"/>
  <c r="AN58" i="13"/>
  <c r="AN57" i="13"/>
  <c r="AN72" i="13" s="1"/>
  <c r="AP7" i="9"/>
  <c r="AQ4" i="9"/>
  <c r="AP13" i="9"/>
  <c r="AP23" i="8" s="1"/>
  <c r="AP51" i="8" s="1"/>
  <c r="AP3" i="9"/>
  <c r="AP8" i="9"/>
  <c r="I56" i="14"/>
  <c r="AR42" i="11"/>
  <c r="AR27" i="8" s="1"/>
  <c r="AR41" i="11"/>
  <c r="AR12" i="8" s="1"/>
  <c r="E136" i="13"/>
  <c r="N15" i="15"/>
  <c r="AP23" i="11"/>
  <c r="AO9" i="9"/>
  <c r="AO8" i="8"/>
  <c r="AQ28" i="12"/>
  <c r="AQ14" i="8"/>
  <c r="AP16" i="10"/>
  <c r="AP24" i="8"/>
  <c r="AP52" i="8" s="1"/>
  <c r="AQ23" i="12"/>
  <c r="AQ24" i="12" s="1"/>
  <c r="AO64" i="13"/>
  <c r="AO63" i="13"/>
  <c r="AO73" i="13" s="1"/>
  <c r="AO71" i="13"/>
  <c r="AP27" i="13"/>
  <c r="AP32" i="13"/>
  <c r="AP44" i="13"/>
  <c r="AP33" i="13"/>
  <c r="AP31" i="13"/>
  <c r="AP43" i="13"/>
  <c r="AP45" i="13"/>
  <c r="AP37" i="13"/>
  <c r="AP38" i="13"/>
  <c r="AP50" i="13"/>
  <c r="AP49" i="13"/>
  <c r="AP39" i="13"/>
  <c r="AP51" i="13"/>
  <c r="AM56" i="13"/>
  <c r="AM55" i="13"/>
  <c r="AM58" i="13"/>
  <c r="AM57" i="13"/>
  <c r="AR13" i="11"/>
  <c r="C71" i="14"/>
  <c r="E135" i="13"/>
  <c r="AL32" i="8"/>
  <c r="AK41" i="4"/>
  <c r="AK29" i="4"/>
  <c r="AK23" i="4"/>
  <c r="AL7" i="5" s="1"/>
  <c r="AL17" i="5" s="1"/>
  <c r="AK47" i="4"/>
  <c r="AK35" i="4"/>
  <c r="AQ3" i="10"/>
  <c r="AQ18" i="10"/>
  <c r="AQ9" i="10"/>
  <c r="AQ10" i="10" s="1"/>
  <c r="AQ7" i="10"/>
  <c r="AQ2" i="10"/>
  <c r="AQ8" i="10"/>
  <c r="AQ25" i="8" s="1"/>
  <c r="AQ6" i="10"/>
  <c r="AR4" i="10"/>
  <c r="AK38" i="4"/>
  <c r="AK26" i="4"/>
  <c r="AO8" i="5" s="1"/>
  <c r="AK32" i="4"/>
  <c r="AK50" i="4"/>
  <c r="AK44" i="4"/>
  <c r="AQ3" i="13"/>
  <c r="AS18" i="11"/>
  <c r="AS17" i="11"/>
  <c r="AS8" i="11"/>
  <c r="AS12" i="11" s="1"/>
  <c r="AQ7" i="13" s="1"/>
  <c r="AS15" i="11"/>
  <c r="AS2" i="11"/>
  <c r="AT4" i="11"/>
  <c r="AS7" i="11"/>
  <c r="AS11" i="11" s="1"/>
  <c r="AS3" i="11"/>
  <c r="AS19" i="11"/>
  <c r="C30" i="15"/>
  <c r="AR22" i="12"/>
  <c r="AR16" i="12"/>
  <c r="AR30" i="8" s="1"/>
  <c r="AS4" i="12"/>
  <c r="AR3" i="12"/>
  <c r="AR10" i="12"/>
  <c r="AR21" i="12" s="1"/>
  <c r="AR9" i="12"/>
  <c r="AR27" i="12" s="1"/>
  <c r="AR8" i="12"/>
  <c r="AQ43" i="8" l="1"/>
  <c r="AQ28" i="11"/>
  <c r="AR23" i="12"/>
  <c r="AR24" i="12" s="1"/>
  <c r="AP65" i="13"/>
  <c r="AO15" i="8"/>
  <c r="AO17" i="8" s="1"/>
  <c r="AS13" i="11"/>
  <c r="AS33" i="11" s="1"/>
  <c r="AR27" i="11"/>
  <c r="AP5" i="13" s="1"/>
  <c r="AP25" i="13" s="1"/>
  <c r="AS16" i="12"/>
  <c r="AS30" i="8" s="1"/>
  <c r="AS3" i="12"/>
  <c r="AS22" i="12"/>
  <c r="AS10" i="12"/>
  <c r="AS21" i="12" s="1"/>
  <c r="AS9" i="12"/>
  <c r="AS27" i="12" s="1"/>
  <c r="AS8" i="12"/>
  <c r="AT4" i="12"/>
  <c r="AP6" i="13"/>
  <c r="AP26" i="13" s="1"/>
  <c r="AR33" i="11"/>
  <c r="AR22" i="11"/>
  <c r="AR34" i="11"/>
  <c r="AP64" i="13"/>
  <c r="AP63" i="13"/>
  <c r="AP73" i="13" s="1"/>
  <c r="AP71" i="13"/>
  <c r="AR4" i="9"/>
  <c r="AQ3" i="9"/>
  <c r="AQ13" i="9"/>
  <c r="AQ23" i="8" s="1"/>
  <c r="AQ51" i="8" s="1"/>
  <c r="AQ8" i="9"/>
  <c r="AQ7" i="9"/>
  <c r="G71" i="14"/>
  <c r="W56" i="14"/>
  <c r="AP9" i="9"/>
  <c r="AP8" i="8"/>
  <c r="AQ16" i="10"/>
  <c r="AQ24" i="8"/>
  <c r="AQ52" i="8" s="1"/>
  <c r="AP12" i="9"/>
  <c r="AP9" i="8"/>
  <c r="AQ19" i="10"/>
  <c r="AQ10" i="8"/>
  <c r="AM72" i="13"/>
  <c r="AS42" i="11"/>
  <c r="AS27" i="8" s="1"/>
  <c r="AS41" i="11"/>
  <c r="AS12" i="8" s="1"/>
  <c r="AQ7" i="8"/>
  <c r="AR4" i="8"/>
  <c r="AQ3" i="8"/>
  <c r="Q15" i="15"/>
  <c r="AQ37" i="13"/>
  <c r="AQ49" i="13"/>
  <c r="AQ32" i="13"/>
  <c r="AQ50" i="13"/>
  <c r="AQ43" i="13"/>
  <c r="AQ38" i="13"/>
  <c r="AQ39" i="13"/>
  <c r="AQ44" i="13"/>
  <c r="AQ51" i="13"/>
  <c r="AQ33" i="13"/>
  <c r="AQ31" i="13"/>
  <c r="AQ45" i="13"/>
  <c r="AQ27" i="13"/>
  <c r="AL21" i="5"/>
  <c r="E71" i="14"/>
  <c r="V56" i="14"/>
  <c r="E137" i="13"/>
  <c r="AQ14" i="5"/>
  <c r="AQ10" i="5"/>
  <c r="AQ3" i="5"/>
  <c r="AQ13" i="5"/>
  <c r="AQ9" i="5"/>
  <c r="AQ16" i="5"/>
  <c r="AQ12" i="5"/>
  <c r="AQ15" i="5"/>
  <c r="AR4" i="5"/>
  <c r="AQ11" i="5"/>
  <c r="AP37" i="8"/>
  <c r="AP38" i="8" s="1"/>
  <c r="AP12" i="10"/>
  <c r="AQ44" i="8"/>
  <c r="AR3" i="13"/>
  <c r="AT19" i="11"/>
  <c r="AT17" i="11"/>
  <c r="AT8" i="11"/>
  <c r="AT12" i="11" s="1"/>
  <c r="AR7" i="13" s="1"/>
  <c r="AT15" i="11"/>
  <c r="AT2" i="11"/>
  <c r="AT18" i="11"/>
  <c r="AU4" i="11"/>
  <c r="AT7" i="11"/>
  <c r="AT11" i="11" s="1"/>
  <c r="AT3" i="11"/>
  <c r="AR2" i="10"/>
  <c r="AR18" i="10"/>
  <c r="AR3" i="10"/>
  <c r="AR7" i="10"/>
  <c r="AR8" i="10"/>
  <c r="AR25" i="8" s="1"/>
  <c r="AR6" i="10"/>
  <c r="AS4" i="10"/>
  <c r="AR9" i="10"/>
  <c r="AR10" i="10" s="1"/>
  <c r="AP59" i="13"/>
  <c r="AQ17" i="12"/>
  <c r="AQ18" i="12" s="1"/>
  <c r="AQ29" i="8"/>
  <c r="AN50" i="8"/>
  <c r="AN53" i="8" s="1"/>
  <c r="AN31" i="8"/>
  <c r="AM32" i="8"/>
  <c r="AL41" i="4"/>
  <c r="AL29" i="4"/>
  <c r="AL47" i="4"/>
  <c r="AL35" i="4"/>
  <c r="AL23" i="4"/>
  <c r="AM7" i="5" s="1"/>
  <c r="AM17" i="5" s="1"/>
  <c r="AM21" i="5" s="1"/>
  <c r="AO61" i="13"/>
  <c r="AO60" i="13"/>
  <c r="AO74" i="13" s="1"/>
  <c r="AO69" i="13"/>
  <c r="AS37" i="11"/>
  <c r="AS11" i="8" s="1"/>
  <c r="AS38" i="11"/>
  <c r="AS26" i="8" s="1"/>
  <c r="AQ23" i="11"/>
  <c r="AL50" i="4"/>
  <c r="AL38" i="4"/>
  <c r="AL26" i="4"/>
  <c r="AP8" i="5" s="1"/>
  <c r="AL32" i="4"/>
  <c r="AL44" i="4"/>
  <c r="AS9" i="11"/>
  <c r="AT6" i="11" s="1"/>
  <c r="AR28" i="12"/>
  <c r="AR14" i="8"/>
  <c r="AS16" i="11"/>
  <c r="AS20" i="11" s="1"/>
  <c r="AQ46" i="11"/>
  <c r="AQ28" i="8"/>
  <c r="AO58" i="13"/>
  <c r="AO57" i="13"/>
  <c r="AO72" i="13" s="1"/>
  <c r="AO56" i="13"/>
  <c r="AO55" i="13"/>
  <c r="AQ11" i="10"/>
  <c r="AR11" i="12"/>
  <c r="AR15" i="12"/>
  <c r="AP62" i="13"/>
  <c r="AP70" i="13" s="1"/>
  <c r="E15" i="15"/>
  <c r="AQ45" i="11"/>
  <c r="AQ13" i="8"/>
  <c r="AO14" i="9"/>
  <c r="AO22" i="8"/>
  <c r="AQ6" i="13" l="1"/>
  <c r="AQ26" i="13" s="1"/>
  <c r="AQ60" i="13" s="1"/>
  <c r="AQ74" i="13" s="1"/>
  <c r="AS23" i="12"/>
  <c r="AS24" i="12" s="1"/>
  <c r="AR43" i="8"/>
  <c r="AR44" i="8" s="1"/>
  <c r="AR11" i="10"/>
  <c r="AR37" i="8" s="1"/>
  <c r="AP15" i="8"/>
  <c r="AP17" i="8" s="1"/>
  <c r="AR28" i="11"/>
  <c r="AQ65" i="13"/>
  <c r="AS34" i="11"/>
  <c r="AS27" i="11"/>
  <c r="AS22" i="11"/>
  <c r="AQ61" i="13"/>
  <c r="AQ69" i="13"/>
  <c r="AT42" i="11"/>
  <c r="AT27" i="8" s="1"/>
  <c r="AT41" i="11"/>
  <c r="AT12" i="8" s="1"/>
  <c r="AR23" i="11"/>
  <c r="AR46" i="11"/>
  <c r="AR28" i="8"/>
  <c r="AQ37" i="8"/>
  <c r="AQ38" i="8" s="1"/>
  <c r="AR19" i="10"/>
  <c r="AR10" i="8"/>
  <c r="AR27" i="13"/>
  <c r="AR49" i="13"/>
  <c r="AR39" i="13"/>
  <c r="AR50" i="13"/>
  <c r="AR32" i="13"/>
  <c r="AR45" i="13"/>
  <c r="AR38" i="13"/>
  <c r="AR51" i="13"/>
  <c r="AR43" i="13"/>
  <c r="AR31" i="13"/>
  <c r="AR44" i="13"/>
  <c r="AR37" i="13"/>
  <c r="AR33" i="13"/>
  <c r="AR45" i="11"/>
  <c r="AR13" i="8"/>
  <c r="AT9" i="11"/>
  <c r="AU6" i="11" s="1"/>
  <c r="AM47" i="4"/>
  <c r="AM41" i="4"/>
  <c r="AM29" i="4"/>
  <c r="AN32" i="8"/>
  <c r="AM35" i="4"/>
  <c r="AM23" i="4"/>
  <c r="AN7" i="5" s="1"/>
  <c r="AN17" i="5" s="1"/>
  <c r="AN21" i="5" s="1"/>
  <c r="AL23" i="5"/>
  <c r="AM23" i="5" s="1"/>
  <c r="AS4" i="8"/>
  <c r="AR7" i="8"/>
  <c r="AR3" i="8"/>
  <c r="AP61" i="13"/>
  <c r="AP60" i="13"/>
  <c r="AP74" i="13" s="1"/>
  <c r="AP69" i="13"/>
  <c r="AR17" i="12"/>
  <c r="AR18" i="12" s="1"/>
  <c r="AR29" i="8"/>
  <c r="AM50" i="4"/>
  <c r="AM38" i="4"/>
  <c r="AM26" i="4"/>
  <c r="AQ8" i="5" s="1"/>
  <c r="AM32" i="4"/>
  <c r="AM44" i="4"/>
  <c r="AQ9" i="9"/>
  <c r="AQ8" i="8"/>
  <c r="AT16" i="12"/>
  <c r="AT30" i="8" s="1"/>
  <c r="AT3" i="12"/>
  <c r="AT22" i="12"/>
  <c r="AT10" i="12"/>
  <c r="AT21" i="12" s="1"/>
  <c r="AT9" i="12"/>
  <c r="AT27" i="12" s="1"/>
  <c r="AT8" i="12"/>
  <c r="AU4" i="12"/>
  <c r="AO50" i="8"/>
  <c r="AO53" i="8" s="1"/>
  <c r="AO31" i="8"/>
  <c r="AS46" i="11"/>
  <c r="AS28" i="8"/>
  <c r="AP14" i="9"/>
  <c r="AP22" i="8"/>
  <c r="AQ12" i="9"/>
  <c r="AQ9" i="8"/>
  <c r="AT13" i="11"/>
  <c r="AS45" i="11"/>
  <c r="AS13" i="8"/>
  <c r="AQ63" i="13"/>
  <c r="AQ73" i="13" s="1"/>
  <c r="AQ64" i="13"/>
  <c r="AQ71" i="13"/>
  <c r="AS15" i="12"/>
  <c r="AS11" i="12"/>
  <c r="AR16" i="10"/>
  <c r="AR24" i="8"/>
  <c r="AR52" i="8" s="1"/>
  <c r="AS3" i="13"/>
  <c r="AU19" i="11"/>
  <c r="AU17" i="11"/>
  <c r="AU8" i="11"/>
  <c r="AU12" i="11" s="1"/>
  <c r="AS7" i="13" s="1"/>
  <c r="AU2" i="11"/>
  <c r="AU18" i="11"/>
  <c r="AV4" i="11"/>
  <c r="AU7" i="11"/>
  <c r="AU11" i="11" s="1"/>
  <c r="AU3" i="11"/>
  <c r="AU15" i="11"/>
  <c r="AQ12" i="10"/>
  <c r="AS28" i="12"/>
  <c r="AS14" i="8"/>
  <c r="AR14" i="5"/>
  <c r="AR10" i="5"/>
  <c r="AR3" i="5"/>
  <c r="AR13" i="5"/>
  <c r="AR9" i="5"/>
  <c r="AR16" i="5"/>
  <c r="AR12" i="5"/>
  <c r="AR15" i="5"/>
  <c r="AS4" i="5"/>
  <c r="AR11" i="5"/>
  <c r="AT38" i="11"/>
  <c r="AT26" i="8" s="1"/>
  <c r="AT37" i="11"/>
  <c r="AT11" i="8" s="1"/>
  <c r="AQ59" i="13"/>
  <c r="AR3" i="9"/>
  <c r="AR13" i="9"/>
  <c r="AR23" i="8" s="1"/>
  <c r="AR51" i="8" s="1"/>
  <c r="AR8" i="9"/>
  <c r="AR7" i="9"/>
  <c r="AS4" i="9"/>
  <c r="AP58" i="13"/>
  <c r="AP57" i="13"/>
  <c r="AP56" i="13"/>
  <c r="AP55" i="13"/>
  <c r="AT16" i="11"/>
  <c r="AT20" i="11" s="1"/>
  <c r="AS18" i="10"/>
  <c r="AS3" i="10"/>
  <c r="AS7" i="10"/>
  <c r="AS8" i="10"/>
  <c r="AS25" i="8" s="1"/>
  <c r="AS2" i="10"/>
  <c r="AS6" i="10"/>
  <c r="AT4" i="10"/>
  <c r="AS9" i="10"/>
  <c r="AS10" i="10" s="1"/>
  <c r="H71" i="14"/>
  <c r="X56" i="14"/>
  <c r="AQ62" i="13"/>
  <c r="AQ70" i="13" s="1"/>
  <c r="AR12" i="10" l="1"/>
  <c r="AQ15" i="8"/>
  <c r="AQ17" i="8" s="1"/>
  <c r="AR38" i="8"/>
  <c r="AT23" i="12"/>
  <c r="AT24" i="12" s="1"/>
  <c r="AT27" i="11"/>
  <c r="AR5" i="13" s="1"/>
  <c r="AR25" i="13" s="1"/>
  <c r="AR65" i="13"/>
  <c r="AN23" i="5"/>
  <c r="AR59" i="13"/>
  <c r="AU42" i="11"/>
  <c r="AU27" i="8" s="1"/>
  <c r="AU41" i="11"/>
  <c r="AU12" i="8" s="1"/>
  <c r="AO32" i="8"/>
  <c r="AN47" i="4"/>
  <c r="AN35" i="4"/>
  <c r="AN23" i="4"/>
  <c r="AO7" i="5" s="1"/>
  <c r="AO17" i="5" s="1"/>
  <c r="AO21" i="5" s="1"/>
  <c r="AN41" i="4"/>
  <c r="AN29" i="4"/>
  <c r="AN38" i="4"/>
  <c r="AN26" i="4"/>
  <c r="AR8" i="5" s="1"/>
  <c r="AN44" i="4"/>
  <c r="AN32" i="4"/>
  <c r="AN50" i="4"/>
  <c r="AR12" i="9"/>
  <c r="AR9" i="8"/>
  <c r="AR6" i="13"/>
  <c r="AR26" i="13" s="1"/>
  <c r="AT33" i="11"/>
  <c r="AT34" i="11"/>
  <c r="AT22" i="11"/>
  <c r="AS19" i="10"/>
  <c r="AS10" i="8"/>
  <c r="AU9" i="11"/>
  <c r="AV6" i="11" s="1"/>
  <c r="AS49" i="13"/>
  <c r="AS33" i="13"/>
  <c r="AS45" i="13"/>
  <c r="AS50" i="13"/>
  <c r="AS37" i="13"/>
  <c r="AS38" i="13"/>
  <c r="AS44" i="13"/>
  <c r="AS39" i="13"/>
  <c r="AS32" i="13"/>
  <c r="AS27" i="13"/>
  <c r="AS31" i="13"/>
  <c r="AS43" i="13"/>
  <c r="AS51" i="13"/>
  <c r="AU16" i="11"/>
  <c r="AU20" i="11" s="1"/>
  <c r="AT18" i="10"/>
  <c r="AT9" i="10"/>
  <c r="AT10" i="10" s="1"/>
  <c r="AT3" i="10"/>
  <c r="AT7" i="10"/>
  <c r="AT8" i="10"/>
  <c r="AT25" i="8" s="1"/>
  <c r="AT2" i="10"/>
  <c r="AT6" i="10"/>
  <c r="AU4" i="10"/>
  <c r="AU16" i="12"/>
  <c r="AU30" i="8" s="1"/>
  <c r="AU22" i="12"/>
  <c r="AU10" i="12"/>
  <c r="AU21" i="12" s="1"/>
  <c r="AU9" i="12"/>
  <c r="AU27" i="12" s="1"/>
  <c r="AU8" i="12"/>
  <c r="AV4" i="12"/>
  <c r="AU3" i="12"/>
  <c r="AT4" i="8"/>
  <c r="AS7" i="8"/>
  <c r="AS3" i="8"/>
  <c r="AR64" i="13"/>
  <c r="AR63" i="13"/>
  <c r="AR73" i="13" s="1"/>
  <c r="AR71" i="13"/>
  <c r="AQ14" i="9"/>
  <c r="AQ22" i="8"/>
  <c r="AS16" i="10"/>
  <c r="AS24" i="8"/>
  <c r="AS52" i="8" s="1"/>
  <c r="AS13" i="5"/>
  <c r="AS9" i="5"/>
  <c r="AS16" i="5"/>
  <c r="AS12" i="5"/>
  <c r="AS15" i="5"/>
  <c r="AS11" i="5"/>
  <c r="AS14" i="5"/>
  <c r="AS3" i="5"/>
  <c r="AS10" i="5"/>
  <c r="AT4" i="5"/>
  <c r="AR9" i="9"/>
  <c r="AR8" i="8"/>
  <c r="B30" i="15"/>
  <c r="Y56" i="14"/>
  <c r="AU13" i="11"/>
  <c r="AP50" i="8"/>
  <c r="AP53" i="8" s="1"/>
  <c r="AP31" i="8"/>
  <c r="AT15" i="12"/>
  <c r="AT11" i="12"/>
  <c r="D30" i="15"/>
  <c r="AR62" i="13"/>
  <c r="AR70" i="13" s="1"/>
  <c r="AS23" i="11"/>
  <c r="AS3" i="9"/>
  <c r="AS13" i="9"/>
  <c r="AS23" i="8" s="1"/>
  <c r="AS51" i="8" s="1"/>
  <c r="AS8" i="9"/>
  <c r="AS7" i="9"/>
  <c r="AT4" i="9"/>
  <c r="AS11" i="10"/>
  <c r="AS17" i="12"/>
  <c r="AS18" i="12" s="1"/>
  <c r="AS29" i="8"/>
  <c r="AT3" i="13"/>
  <c r="AV19" i="11"/>
  <c r="AV18" i="11"/>
  <c r="AV7" i="11"/>
  <c r="AV11" i="11" s="1"/>
  <c r="AV15" i="11"/>
  <c r="AW4" i="11"/>
  <c r="AV3" i="11"/>
  <c r="AV17" i="11"/>
  <c r="AV2" i="11"/>
  <c r="AV8" i="11"/>
  <c r="AV12" i="11" s="1"/>
  <c r="AT7" i="13" s="1"/>
  <c r="AP72" i="13"/>
  <c r="AU38" i="11"/>
  <c r="AU26" i="8" s="1"/>
  <c r="AU37" i="11"/>
  <c r="AU11" i="8" s="1"/>
  <c r="AT28" i="12"/>
  <c r="AT14" i="8"/>
  <c r="AQ5" i="13"/>
  <c r="AQ25" i="13" s="1"/>
  <c r="AS28" i="11"/>
  <c r="AS43" i="8"/>
  <c r="AS44" i="8" s="1"/>
  <c r="AT28" i="11" l="1"/>
  <c r="AR15" i="8"/>
  <c r="AR17" i="8" s="1"/>
  <c r="AU23" i="12"/>
  <c r="AU24" i="12" s="1"/>
  <c r="AO23" i="5"/>
  <c r="AU27" i="11"/>
  <c r="AU43" i="8" s="1"/>
  <c r="AT43" i="8"/>
  <c r="AT44" i="8" s="1"/>
  <c r="E30" i="15"/>
  <c r="AT16" i="10"/>
  <c r="AT24" i="8"/>
  <c r="AT52" i="8" s="1"/>
  <c r="AU15" i="12"/>
  <c r="AU11" i="12"/>
  <c r="AV9" i="11"/>
  <c r="AW6" i="11" s="1"/>
  <c r="AR14" i="9"/>
  <c r="AR22" i="8"/>
  <c r="AS9" i="9"/>
  <c r="AS8" i="8"/>
  <c r="AP32" i="8"/>
  <c r="AO47" i="4"/>
  <c r="AO35" i="4"/>
  <c r="AO23" i="4"/>
  <c r="AP7" i="5" s="1"/>
  <c r="AP17" i="5" s="1"/>
  <c r="AP21" i="5" s="1"/>
  <c r="AP23" i="5" s="1"/>
  <c r="AO29" i="4"/>
  <c r="AO41" i="4"/>
  <c r="AQ50" i="8"/>
  <c r="AQ53" i="8" s="1"/>
  <c r="AQ31" i="8"/>
  <c r="AU28" i="12"/>
  <c r="AU14" i="8"/>
  <c r="AT19" i="10"/>
  <c r="AT10" i="8"/>
  <c r="AS5" i="13"/>
  <c r="AS25" i="13" s="1"/>
  <c r="AU28" i="11"/>
  <c r="AV16" i="12"/>
  <c r="AV30" i="8" s="1"/>
  <c r="AV22" i="12"/>
  <c r="AV10" i="12"/>
  <c r="AV21" i="12" s="1"/>
  <c r="AV9" i="12"/>
  <c r="AV27" i="12" s="1"/>
  <c r="AV8" i="12"/>
  <c r="AW4" i="12"/>
  <c r="AV3" i="12"/>
  <c r="AS12" i="9"/>
  <c r="AS9" i="8"/>
  <c r="AO38" i="4"/>
  <c r="AO26" i="4"/>
  <c r="AS8" i="5" s="1"/>
  <c r="AO50" i="4"/>
  <c r="AO44" i="4"/>
  <c r="AO32" i="4"/>
  <c r="AR61" i="13"/>
  <c r="AR60" i="13"/>
  <c r="AR74" i="13" s="1"/>
  <c r="AR69" i="13"/>
  <c r="AT17" i="12"/>
  <c r="AT18" i="12" s="1"/>
  <c r="AT29" i="8"/>
  <c r="AQ58" i="13"/>
  <c r="AQ57" i="13"/>
  <c r="AQ56" i="13"/>
  <c r="AQ55" i="13"/>
  <c r="AV16" i="11"/>
  <c r="AV20" i="11" s="1"/>
  <c r="AS6" i="13"/>
  <c r="AS26" i="13" s="1"/>
  <c r="AU33" i="11"/>
  <c r="AU34" i="11"/>
  <c r="AU22" i="11"/>
  <c r="AS37" i="8"/>
  <c r="AS38" i="8" s="1"/>
  <c r="AT13" i="9"/>
  <c r="AT23" i="8" s="1"/>
  <c r="AT51" i="8" s="1"/>
  <c r="AT8" i="9"/>
  <c r="AT3" i="9"/>
  <c r="AT7" i="9"/>
  <c r="AU4" i="9"/>
  <c r="AU3" i="13"/>
  <c r="AW18" i="11"/>
  <c r="AW7" i="11"/>
  <c r="AW11" i="11" s="1"/>
  <c r="AW15" i="11"/>
  <c r="AW3" i="11"/>
  <c r="AW17" i="11"/>
  <c r="AW19" i="11"/>
  <c r="AX4" i="11"/>
  <c r="AW2" i="11"/>
  <c r="AW8" i="11"/>
  <c r="AW12" i="11" s="1"/>
  <c r="AU7" i="13" s="1"/>
  <c r="AV13" i="11"/>
  <c r="AS12" i="10"/>
  <c r="AV38" i="11"/>
  <c r="AV26" i="8" s="1"/>
  <c r="AV37" i="11"/>
  <c r="AV11" i="8" s="1"/>
  <c r="AU18" i="10"/>
  <c r="AU7" i="10"/>
  <c r="AU8" i="10"/>
  <c r="AU25" i="8" s="1"/>
  <c r="AU2" i="10"/>
  <c r="AU6" i="10"/>
  <c r="AV4" i="10"/>
  <c r="AU9" i="10"/>
  <c r="AU10" i="10" s="1"/>
  <c r="AU3" i="10"/>
  <c r="AS59" i="13"/>
  <c r="AV41" i="11"/>
  <c r="AV12" i="8" s="1"/>
  <c r="AV42" i="11"/>
  <c r="AV27" i="8" s="1"/>
  <c r="AT11" i="10"/>
  <c r="AT23" i="11"/>
  <c r="AR56" i="13"/>
  <c r="AR55" i="13"/>
  <c r="AR58" i="13"/>
  <c r="AR57" i="13"/>
  <c r="AR72" i="13" s="1"/>
  <c r="AT27" i="13"/>
  <c r="AT49" i="13"/>
  <c r="AT31" i="13"/>
  <c r="AT50" i="13"/>
  <c r="AT51" i="13"/>
  <c r="AT32" i="13"/>
  <c r="AT43" i="13"/>
  <c r="AT45" i="13"/>
  <c r="AT33" i="13"/>
  <c r="AT44" i="13"/>
  <c r="AT39" i="13"/>
  <c r="AT38" i="13"/>
  <c r="AT37" i="13"/>
  <c r="AU4" i="8"/>
  <c r="AT3" i="8"/>
  <c r="AT7" i="8"/>
  <c r="AS64" i="13"/>
  <c r="AS63" i="13"/>
  <c r="AS73" i="13" s="1"/>
  <c r="AS71" i="13"/>
  <c r="AT46" i="11"/>
  <c r="AT28" i="8"/>
  <c r="AT13" i="5"/>
  <c r="AT9" i="5"/>
  <c r="AT16" i="5"/>
  <c r="AT12" i="5"/>
  <c r="AT15" i="5"/>
  <c r="AT11" i="5"/>
  <c r="AU4" i="5"/>
  <c r="AT10" i="5"/>
  <c r="AT3" i="5"/>
  <c r="AT14" i="5"/>
  <c r="AS62" i="13"/>
  <c r="AS70" i="13" s="1"/>
  <c r="AS65" i="13"/>
  <c r="AT45" i="11"/>
  <c r="AT13" i="8"/>
  <c r="AS15" i="8" l="1"/>
  <c r="AS17" i="8" s="1"/>
  <c r="AT65" i="13"/>
  <c r="AT12" i="10"/>
  <c r="AS22" i="8"/>
  <c r="AS14" i="9"/>
  <c r="AU23" i="11"/>
  <c r="AR50" i="8"/>
  <c r="AR53" i="8" s="1"/>
  <c r="AR31" i="8"/>
  <c r="AU13" i="5"/>
  <c r="AU9" i="5"/>
  <c r="AU16" i="5"/>
  <c r="AU12" i="5"/>
  <c r="AU15" i="5"/>
  <c r="AU11" i="5"/>
  <c r="AV4" i="5"/>
  <c r="AU10" i="5"/>
  <c r="AU3" i="5"/>
  <c r="AU14" i="5"/>
  <c r="AW16" i="12"/>
  <c r="AW30" i="8" s="1"/>
  <c r="AW22" i="12"/>
  <c r="AW10" i="12"/>
  <c r="AW21" i="12" s="1"/>
  <c r="AW9" i="12"/>
  <c r="AW27" i="12" s="1"/>
  <c r="AW8" i="12"/>
  <c r="AX4" i="12"/>
  <c r="AW3" i="12"/>
  <c r="AT12" i="9"/>
  <c r="AT9" i="8"/>
  <c r="AU46" i="11"/>
  <c r="AU28" i="8"/>
  <c r="AV15" i="12"/>
  <c r="AV11" i="12"/>
  <c r="AT9" i="9"/>
  <c r="AT8" i="8"/>
  <c r="AV4" i="8"/>
  <c r="AU3" i="8"/>
  <c r="AU7" i="8"/>
  <c r="AV3" i="13"/>
  <c r="AX18" i="11"/>
  <c r="AX17" i="11"/>
  <c r="AX15" i="11"/>
  <c r="AY4" i="11"/>
  <c r="AX3" i="11"/>
  <c r="AX7" i="11"/>
  <c r="AX11" i="11" s="1"/>
  <c r="AX19" i="11"/>
  <c r="AX8" i="11"/>
  <c r="AX12" i="11" s="1"/>
  <c r="AV7" i="13" s="1"/>
  <c r="AX2" i="11"/>
  <c r="AU45" i="11"/>
  <c r="AU13" i="8"/>
  <c r="AV28" i="12"/>
  <c r="AV14" i="8"/>
  <c r="AQ32" i="8"/>
  <c r="AP47" i="4"/>
  <c r="AP41" i="4"/>
  <c r="AP35" i="4"/>
  <c r="AP23" i="4"/>
  <c r="AQ7" i="5" s="1"/>
  <c r="AQ17" i="5" s="1"/>
  <c r="AQ21" i="5" s="1"/>
  <c r="AQ23" i="5" s="1"/>
  <c r="AP29" i="4"/>
  <c r="AW9" i="11"/>
  <c r="AX6" i="11" s="1"/>
  <c r="AT62" i="13"/>
  <c r="AT70" i="13" s="1"/>
  <c r="AW42" i="11"/>
  <c r="AW27" i="8" s="1"/>
  <c r="AW41" i="11"/>
  <c r="AW12" i="8" s="1"/>
  <c r="AS61" i="13"/>
  <c r="AS60" i="13"/>
  <c r="AS74" i="13" s="1"/>
  <c r="AS69" i="13"/>
  <c r="AV23" i="12"/>
  <c r="AV24" i="12" s="1"/>
  <c r="AP50" i="4"/>
  <c r="AP38" i="4"/>
  <c r="AP26" i="4"/>
  <c r="AT8" i="5" s="1"/>
  <c r="AP44" i="4"/>
  <c r="AP32" i="4"/>
  <c r="AS56" i="13"/>
  <c r="AS55" i="13"/>
  <c r="AS58" i="13"/>
  <c r="AS57" i="13"/>
  <c r="AS72" i="13" s="1"/>
  <c r="AU16" i="10"/>
  <c r="AU24" i="8"/>
  <c r="AU52" i="8" s="1"/>
  <c r="AV27" i="11"/>
  <c r="AU17" i="12"/>
  <c r="AU18" i="12" s="1"/>
  <c r="AU29" i="8"/>
  <c r="AU8" i="9"/>
  <c r="AU7" i="9"/>
  <c r="AU13" i="9"/>
  <c r="AU23" i="8" s="1"/>
  <c r="AU51" i="8" s="1"/>
  <c r="AV4" i="9"/>
  <c r="AU3" i="9"/>
  <c r="AU19" i="10"/>
  <c r="AU10" i="8"/>
  <c r="AT6" i="13"/>
  <c r="AT26" i="13" s="1"/>
  <c r="AV33" i="11"/>
  <c r="AV34" i="11"/>
  <c r="AV22" i="11"/>
  <c r="AU38" i="13"/>
  <c r="AU37" i="13"/>
  <c r="AU39" i="13"/>
  <c r="AU43" i="13"/>
  <c r="AU50" i="13"/>
  <c r="AU45" i="13"/>
  <c r="AU49" i="13"/>
  <c r="AU44" i="13"/>
  <c r="AU31" i="13"/>
  <c r="AU51" i="13"/>
  <c r="AU27" i="13"/>
  <c r="AU33" i="13"/>
  <c r="AU32" i="13"/>
  <c r="AT64" i="13"/>
  <c r="AT63" i="13"/>
  <c r="AT73" i="13" s="1"/>
  <c r="AT71" i="13"/>
  <c r="AV18" i="10"/>
  <c r="AV8" i="10"/>
  <c r="AV25" i="8" s="1"/>
  <c r="AV2" i="10"/>
  <c r="AV6" i="10"/>
  <c r="AW4" i="10"/>
  <c r="AV9" i="10"/>
  <c r="AV10" i="10" s="1"/>
  <c r="AV7" i="10"/>
  <c r="AV3" i="10"/>
  <c r="AW16" i="11"/>
  <c r="AW20" i="11" s="1"/>
  <c r="AU44" i="8"/>
  <c r="AT59" i="13"/>
  <c r="AU11" i="10"/>
  <c r="AU12" i="10" s="1"/>
  <c r="AW13" i="11"/>
  <c r="AT37" i="8"/>
  <c r="AT38" i="8" s="1"/>
  <c r="AW38" i="11"/>
  <c r="AW26" i="8" s="1"/>
  <c r="AW37" i="11"/>
  <c r="AW11" i="8" s="1"/>
  <c r="AQ72" i="13"/>
  <c r="AX9" i="11" l="1"/>
  <c r="AY6" i="11" s="1"/>
  <c r="AV11" i="10"/>
  <c r="AV12" i="10" s="1"/>
  <c r="AU59" i="13"/>
  <c r="AX13" i="11"/>
  <c r="AV6" i="13" s="1"/>
  <c r="AV26" i="13" s="1"/>
  <c r="AW27" i="11"/>
  <c r="AT15" i="8"/>
  <c r="AT17" i="8" s="1"/>
  <c r="AV19" i="10"/>
  <c r="AV10" i="8"/>
  <c r="AU12" i="9"/>
  <c r="AU9" i="8"/>
  <c r="AX38" i="11"/>
  <c r="AX26" i="8" s="1"/>
  <c r="AX37" i="11"/>
  <c r="AX11" i="8" s="1"/>
  <c r="AV27" i="13"/>
  <c r="AV43" i="13"/>
  <c r="AV32" i="13"/>
  <c r="AV44" i="13"/>
  <c r="AV37" i="13"/>
  <c r="AV39" i="13"/>
  <c r="AV45" i="13"/>
  <c r="AV33" i="13"/>
  <c r="AV50" i="13"/>
  <c r="AV51" i="13"/>
  <c r="AV49" i="13"/>
  <c r="AV38" i="13"/>
  <c r="AV31" i="13"/>
  <c r="AT22" i="8"/>
  <c r="AT14" i="9"/>
  <c r="AV16" i="5"/>
  <c r="AV12" i="5"/>
  <c r="AV15" i="5"/>
  <c r="AV11" i="5"/>
  <c r="AW4" i="5"/>
  <c r="AV14" i="5"/>
  <c r="AV10" i="5"/>
  <c r="AV3" i="5"/>
  <c r="AV13" i="5"/>
  <c r="AV9" i="5"/>
  <c r="AV17" i="12"/>
  <c r="AV18" i="12" s="1"/>
  <c r="AV29" i="8"/>
  <c r="AV23" i="11"/>
  <c r="AV46" i="11"/>
  <c r="AV28" i="8"/>
  <c r="AU37" i="8"/>
  <c r="AU38" i="8" s="1"/>
  <c r="AU5" i="13"/>
  <c r="AU25" i="13" s="1"/>
  <c r="AW43" i="8"/>
  <c r="AV45" i="11"/>
  <c r="AV13" i="8"/>
  <c r="AT5" i="13"/>
  <c r="AT25" i="13" s="1"/>
  <c r="AV28" i="11"/>
  <c r="AV43" i="8"/>
  <c r="AV44" i="8" s="1"/>
  <c r="AX16" i="12"/>
  <c r="AX30" i="8" s="1"/>
  <c r="AX22" i="12"/>
  <c r="AX10" i="12"/>
  <c r="AX21" i="12" s="1"/>
  <c r="AX9" i="12"/>
  <c r="AX27" i="12" s="1"/>
  <c r="AX8" i="12"/>
  <c r="AY4" i="12"/>
  <c r="AX3" i="12"/>
  <c r="AW3" i="13"/>
  <c r="AY17" i="11"/>
  <c r="AY8" i="11"/>
  <c r="AY12" i="11" s="1"/>
  <c r="AW7" i="13" s="1"/>
  <c r="AY15" i="11"/>
  <c r="AY19" i="11"/>
  <c r="AY18" i="11"/>
  <c r="AY3" i="11"/>
  <c r="AY7" i="11"/>
  <c r="AY11" i="11" s="1"/>
  <c r="AY2" i="11"/>
  <c r="AZ4" i="11"/>
  <c r="AT61" i="13"/>
  <c r="AT60" i="13"/>
  <c r="AT74" i="13" s="1"/>
  <c r="AT69" i="13"/>
  <c r="AW4" i="8"/>
  <c r="AV3" i="8"/>
  <c r="AV7" i="8"/>
  <c r="AW15" i="12"/>
  <c r="AW11" i="12"/>
  <c r="AX16" i="11"/>
  <c r="AX20" i="11" s="1"/>
  <c r="AU8" i="8"/>
  <c r="AU9" i="9"/>
  <c r="AV16" i="10"/>
  <c r="AV24" i="8"/>
  <c r="AV52" i="8" s="1"/>
  <c r="AU62" i="13"/>
  <c r="AU70" i="13" s="1"/>
  <c r="AX41" i="11"/>
  <c r="AX12" i="8" s="1"/>
  <c r="AX42" i="11"/>
  <c r="AX27" i="8" s="1"/>
  <c r="AW28" i="12"/>
  <c r="AW14" i="8"/>
  <c r="AS50" i="8"/>
  <c r="AS53" i="8" s="1"/>
  <c r="AS31" i="8"/>
  <c r="AQ50" i="4"/>
  <c r="AQ44" i="4"/>
  <c r="AQ32" i="4"/>
  <c r="AQ38" i="4"/>
  <c r="AQ26" i="4"/>
  <c r="AU8" i="5" s="1"/>
  <c r="AU6" i="13"/>
  <c r="AU26" i="13" s="1"/>
  <c r="AW33" i="11"/>
  <c r="AW34" i="11"/>
  <c r="AW22" i="11"/>
  <c r="AU65" i="13"/>
  <c r="AW23" i="12"/>
  <c r="AW24" i="12" s="1"/>
  <c r="AV8" i="9"/>
  <c r="AV7" i="9"/>
  <c r="AW4" i="9"/>
  <c r="AV13" i="9"/>
  <c r="AV23" i="8" s="1"/>
  <c r="AV51" i="8" s="1"/>
  <c r="AV3" i="9"/>
  <c r="AR32" i="8"/>
  <c r="AQ35" i="4"/>
  <c r="AQ23" i="4"/>
  <c r="AR7" i="5" s="1"/>
  <c r="AR17" i="5" s="1"/>
  <c r="AR21" i="5" s="1"/>
  <c r="AR23" i="5" s="1"/>
  <c r="AQ29" i="4"/>
  <c r="AQ47" i="4"/>
  <c r="AQ41" i="4"/>
  <c r="AW18" i="10"/>
  <c r="AW2" i="10"/>
  <c r="AW8" i="10"/>
  <c r="AW25" i="8" s="1"/>
  <c r="AW6" i="10"/>
  <c r="AX4" i="10"/>
  <c r="AW9" i="10"/>
  <c r="AW10" i="10" s="1"/>
  <c r="AW3" i="10"/>
  <c r="AW7" i="10"/>
  <c r="AU63" i="13"/>
  <c r="AU73" i="13" s="1"/>
  <c r="AU64" i="13"/>
  <c r="AU71" i="13"/>
  <c r="AX27" i="11" l="1"/>
  <c r="AX34" i="11"/>
  <c r="AX33" i="11"/>
  <c r="AX13" i="8" s="1"/>
  <c r="AV37" i="8"/>
  <c r="AV38" i="8" s="1"/>
  <c r="AU15" i="8"/>
  <c r="AU17" i="8" s="1"/>
  <c r="AW28" i="11"/>
  <c r="AX28" i="11" s="1"/>
  <c r="AW11" i="10"/>
  <c r="AW12" i="10" s="1"/>
  <c r="AV60" i="13"/>
  <c r="AV74" i="13" s="1"/>
  <c r="AV61" i="13"/>
  <c r="AV69" i="13"/>
  <c r="AX23" i="12"/>
  <c r="AX24" i="12" s="1"/>
  <c r="AU14" i="9"/>
  <c r="AU22" i="8"/>
  <c r="AW19" i="10"/>
  <c r="AW10" i="8"/>
  <c r="AW27" i="13"/>
  <c r="AW31" i="13"/>
  <c r="AW45" i="13"/>
  <c r="AW39" i="13"/>
  <c r="AW38" i="13"/>
  <c r="AW44" i="13"/>
  <c r="AW37" i="13"/>
  <c r="AW32" i="13"/>
  <c r="AW33" i="13"/>
  <c r="AW49" i="13"/>
  <c r="AW51" i="13"/>
  <c r="AW50" i="13"/>
  <c r="AW43" i="13"/>
  <c r="AW16" i="5"/>
  <c r="AW12" i="5"/>
  <c r="AW15" i="5"/>
  <c r="AW11" i="5"/>
  <c r="AX4" i="5"/>
  <c r="AW14" i="5"/>
  <c r="AW10" i="5"/>
  <c r="AW3" i="5"/>
  <c r="AW13" i="5"/>
  <c r="AW9" i="5"/>
  <c r="AT56" i="13"/>
  <c r="AT55" i="13"/>
  <c r="AT58" i="13"/>
  <c r="AT57" i="13"/>
  <c r="AV62" i="13"/>
  <c r="AV70" i="13" s="1"/>
  <c r="AU60" i="13"/>
  <c r="AU74" i="13" s="1"/>
  <c r="AU61" i="13"/>
  <c r="AU69" i="13"/>
  <c r="AY16" i="11"/>
  <c r="AY20" i="11" s="1"/>
  <c r="AX45" i="11"/>
  <c r="AX22" i="11"/>
  <c r="AY9" i="11"/>
  <c r="AZ6" i="11" s="1"/>
  <c r="AX46" i="11"/>
  <c r="AX28" i="8"/>
  <c r="AS32" i="8"/>
  <c r="AR23" i="4"/>
  <c r="AS7" i="5" s="1"/>
  <c r="AS17" i="5" s="1"/>
  <c r="AS21" i="5" s="1"/>
  <c r="AS23" i="5" s="1"/>
  <c r="AR35" i="4"/>
  <c r="AR47" i="4"/>
  <c r="AR41" i="4"/>
  <c r="AR29" i="4"/>
  <c r="AV5" i="13"/>
  <c r="AV25" i="13" s="1"/>
  <c r="AX43" i="8"/>
  <c r="AX3" i="13"/>
  <c r="AZ17" i="11"/>
  <c r="AZ8" i="11"/>
  <c r="AZ12" i="11" s="1"/>
  <c r="AX7" i="13" s="1"/>
  <c r="AZ3" i="11"/>
  <c r="AZ19" i="11"/>
  <c r="AZ7" i="11"/>
  <c r="AZ11" i="11" s="1"/>
  <c r="AZ2" i="11"/>
  <c r="AZ15" i="11"/>
  <c r="AZ18" i="11"/>
  <c r="BA4" i="11"/>
  <c r="AR50" i="4"/>
  <c r="AR44" i="4"/>
  <c r="AR32" i="4"/>
  <c r="AR38" i="4"/>
  <c r="AR26" i="4"/>
  <c r="AV8" i="5" s="1"/>
  <c r="AW44" i="8"/>
  <c r="AV63" i="13"/>
  <c r="AV73" i="13" s="1"/>
  <c r="AV64" i="13"/>
  <c r="AV71" i="13"/>
  <c r="AV9" i="9"/>
  <c r="AV8" i="8"/>
  <c r="AV12" i="9"/>
  <c r="AV9" i="8"/>
  <c r="AW16" i="10"/>
  <c r="AW24" i="8"/>
  <c r="AW52" i="8" s="1"/>
  <c r="AV59" i="13"/>
  <c r="AW17" i="12"/>
  <c r="AW18" i="12" s="1"/>
  <c r="AW29" i="8"/>
  <c r="AW23" i="11"/>
  <c r="AY16" i="12"/>
  <c r="AY30" i="8" s="1"/>
  <c r="AY22" i="12"/>
  <c r="AY9" i="12"/>
  <c r="AY27" i="12" s="1"/>
  <c r="AY8" i="12"/>
  <c r="AZ4" i="12"/>
  <c r="AY3" i="12"/>
  <c r="AY10" i="12"/>
  <c r="AY21" i="12" s="1"/>
  <c r="AV65" i="13"/>
  <c r="AW7" i="9"/>
  <c r="AX4" i="9"/>
  <c r="AW13" i="9"/>
  <c r="AW23" i="8" s="1"/>
  <c r="AW51" i="8" s="1"/>
  <c r="AW8" i="9"/>
  <c r="AW3" i="9"/>
  <c r="AU58" i="13"/>
  <c r="AU57" i="13"/>
  <c r="AU72" i="13" s="1"/>
  <c r="AU56" i="13"/>
  <c r="AU55" i="13"/>
  <c r="AW37" i="8"/>
  <c r="AX28" i="12"/>
  <c r="AX14" i="8"/>
  <c r="AY13" i="11"/>
  <c r="AW46" i="11"/>
  <c r="AW28" i="8"/>
  <c r="AY38" i="11"/>
  <c r="AY26" i="8" s="1"/>
  <c r="AY37" i="11"/>
  <c r="AY11" i="8" s="1"/>
  <c r="AX18" i="10"/>
  <c r="AX7" i="10"/>
  <c r="AX8" i="10"/>
  <c r="AX25" i="8" s="1"/>
  <c r="AX6" i="10"/>
  <c r="AY4" i="10"/>
  <c r="AX9" i="10"/>
  <c r="AX10" i="10" s="1"/>
  <c r="AX3" i="10"/>
  <c r="AX2" i="10"/>
  <c r="AW45" i="11"/>
  <c r="AW13" i="8"/>
  <c r="AW3" i="8"/>
  <c r="AW7" i="8"/>
  <c r="AX4" i="8"/>
  <c r="AY42" i="11"/>
  <c r="AY27" i="8" s="1"/>
  <c r="AY41" i="11"/>
  <c r="AY12" i="8" s="1"/>
  <c r="AX15" i="12"/>
  <c r="AX11" i="12"/>
  <c r="AT50" i="8"/>
  <c r="AT53" i="8" s="1"/>
  <c r="AT31" i="8"/>
  <c r="AY23" i="12" l="1"/>
  <c r="AY24" i="12" s="1"/>
  <c r="AX11" i="10"/>
  <c r="AW38" i="8"/>
  <c r="AV15" i="8"/>
  <c r="AV17" i="8" s="1"/>
  <c r="AW62" i="13"/>
  <c r="AW70" i="13" s="1"/>
  <c r="AZ13" i="11"/>
  <c r="AX6" i="13" s="1"/>
  <c r="AX26" i="13" s="1"/>
  <c r="AZ16" i="11"/>
  <c r="AZ20" i="11" s="1"/>
  <c r="AY15" i="12"/>
  <c r="AY11" i="12"/>
  <c r="AU50" i="8"/>
  <c r="AU53" i="8" s="1"/>
  <c r="AU31" i="8"/>
  <c r="AY28" i="12"/>
  <c r="AY14" i="8"/>
  <c r="AY9" i="10"/>
  <c r="AY10" i="10" s="1"/>
  <c r="AY6" i="10"/>
  <c r="AZ4" i="10"/>
  <c r="AY3" i="10"/>
  <c r="AY7" i="10"/>
  <c r="AY2" i="10"/>
  <c r="AY18" i="10"/>
  <c r="AY8" i="10"/>
  <c r="AY25" i="8" s="1"/>
  <c r="AX8" i="9"/>
  <c r="AX7" i="9"/>
  <c r="AY4" i="9"/>
  <c r="AX3" i="9"/>
  <c r="AX13" i="9"/>
  <c r="AX23" i="8" s="1"/>
  <c r="AX51" i="8" s="1"/>
  <c r="AZ42" i="11"/>
  <c r="AZ27" i="8" s="1"/>
  <c r="AZ41" i="11"/>
  <c r="AZ12" i="8" s="1"/>
  <c r="AZ16" i="12"/>
  <c r="AZ30" i="8" s="1"/>
  <c r="AZ22" i="12"/>
  <c r="AZ9" i="12"/>
  <c r="AZ27" i="12" s="1"/>
  <c r="AZ8" i="12"/>
  <c r="BA4" i="12"/>
  <c r="AZ3" i="12"/>
  <c r="AZ10" i="12"/>
  <c r="AZ21" i="12" s="1"/>
  <c r="AX23" i="11"/>
  <c r="AX17" i="12"/>
  <c r="AX18" i="12" s="1"/>
  <c r="AX29" i="8"/>
  <c r="AW9" i="9"/>
  <c r="AW8" i="8"/>
  <c r="AY27" i="11"/>
  <c r="AV58" i="13"/>
  <c r="AV57" i="13"/>
  <c r="AV72" i="13" s="1"/>
  <c r="AV56" i="13"/>
  <c r="AV55" i="13"/>
  <c r="AV14" i="9"/>
  <c r="AV22" i="8"/>
  <c r="AS44" i="4"/>
  <c r="AS32" i="4"/>
  <c r="AS26" i="4"/>
  <c r="AW8" i="5" s="1"/>
  <c r="AS50" i="4"/>
  <c r="AS38" i="4"/>
  <c r="AX16" i="10"/>
  <c r="AX24" i="8"/>
  <c r="AX52" i="8" s="1"/>
  <c r="AX37" i="8"/>
  <c r="AX3" i="8"/>
  <c r="AX7" i="8"/>
  <c r="AY4" i="8"/>
  <c r="AX19" i="10"/>
  <c r="AX10" i="8"/>
  <c r="AX43" i="13"/>
  <c r="AX50" i="13"/>
  <c r="AX45" i="13"/>
  <c r="AX37" i="13"/>
  <c r="AX39" i="13"/>
  <c r="AX49" i="13"/>
  <c r="AX31" i="13"/>
  <c r="AX44" i="13"/>
  <c r="AX33" i="13"/>
  <c r="AX51" i="13"/>
  <c r="AX38" i="13"/>
  <c r="AX27" i="13"/>
  <c r="AX32" i="13"/>
  <c r="AX16" i="5"/>
  <c r="AX12" i="5"/>
  <c r="AX15" i="5"/>
  <c r="AX11" i="5"/>
  <c r="AY4" i="5"/>
  <c r="AX14" i="5"/>
  <c r="AX10" i="5"/>
  <c r="AX3" i="5"/>
  <c r="AX13" i="5"/>
  <c r="AX9" i="5"/>
  <c r="AZ37" i="11"/>
  <c r="AZ11" i="8" s="1"/>
  <c r="AZ38" i="11"/>
  <c r="AZ26" i="8" s="1"/>
  <c r="AX44" i="8"/>
  <c r="AW59" i="13"/>
  <c r="AX12" i="10"/>
  <c r="AT32" i="8"/>
  <c r="AS47" i="4"/>
  <c r="AS35" i="4"/>
  <c r="AS23" i="4"/>
  <c r="AT7" i="5" s="1"/>
  <c r="AT17" i="5" s="1"/>
  <c r="AT21" i="5" s="1"/>
  <c r="AT23" i="5" s="1"/>
  <c r="AS41" i="4"/>
  <c r="AS29" i="4"/>
  <c r="AW9" i="8"/>
  <c r="AW12" i="9"/>
  <c r="AZ9" i="11"/>
  <c r="BA6" i="11" s="1"/>
  <c r="AT72" i="13"/>
  <c r="AW6" i="13"/>
  <c r="AW26" i="13" s="1"/>
  <c r="AY34" i="11"/>
  <c r="AY33" i="11"/>
  <c r="AY22" i="11"/>
  <c r="AY3" i="13"/>
  <c r="BA8" i="11"/>
  <c r="BA12" i="11" s="1"/>
  <c r="AY7" i="13" s="1"/>
  <c r="BA19" i="11"/>
  <c r="BA18" i="11"/>
  <c r="BA7" i="11"/>
  <c r="BA11" i="11" s="1"/>
  <c r="BA3" i="11"/>
  <c r="BA17" i="11"/>
  <c r="BA2" i="11"/>
  <c r="BB4" i="11"/>
  <c r="BA15" i="11"/>
  <c r="AW65" i="13"/>
  <c r="AW64" i="13"/>
  <c r="AW63" i="13"/>
  <c r="AW73" i="13" s="1"/>
  <c r="AW71" i="13"/>
  <c r="AW15" i="8" l="1"/>
  <c r="AW17" i="8" s="1"/>
  <c r="AX38" i="8"/>
  <c r="AZ27" i="11"/>
  <c r="AZ33" i="11"/>
  <c r="AZ45" i="11" s="1"/>
  <c r="AZ34" i="11"/>
  <c r="AZ46" i="11" s="1"/>
  <c r="BA13" i="11"/>
  <c r="BA34" i="11" s="1"/>
  <c r="AZ28" i="12"/>
  <c r="AZ14" i="8"/>
  <c r="AU32" i="8"/>
  <c r="AT47" i="4"/>
  <c r="AT41" i="4"/>
  <c r="AT29" i="4"/>
  <c r="AT23" i="4"/>
  <c r="AU7" i="5" s="1"/>
  <c r="AU17" i="5" s="1"/>
  <c r="AU21" i="5" s="1"/>
  <c r="AU23" i="5" s="1"/>
  <c r="AT35" i="4"/>
  <c r="AY32" i="13"/>
  <c r="AY51" i="13"/>
  <c r="AY39" i="13"/>
  <c r="AY43" i="13"/>
  <c r="AY45" i="13"/>
  <c r="AY33" i="13"/>
  <c r="AY44" i="13"/>
  <c r="AY50" i="13"/>
  <c r="AY27" i="13"/>
  <c r="AY37" i="13"/>
  <c r="AY31" i="13"/>
  <c r="AY38" i="13"/>
  <c r="AY49" i="13"/>
  <c r="AY3" i="8"/>
  <c r="AY7" i="8"/>
  <c r="AZ4" i="8"/>
  <c r="AZ6" i="10"/>
  <c r="BA4" i="10"/>
  <c r="AZ9" i="10"/>
  <c r="AZ10" i="10" s="1"/>
  <c r="AZ3" i="10"/>
  <c r="AZ7" i="10"/>
  <c r="AZ2" i="10"/>
  <c r="AZ18" i="10"/>
  <c r="AZ8" i="10"/>
  <c r="AZ25" i="8" s="1"/>
  <c r="AT44" i="4"/>
  <c r="AT32" i="4"/>
  <c r="AT26" i="4"/>
  <c r="AX8" i="5" s="1"/>
  <c r="AT38" i="4"/>
  <c r="AT50" i="4"/>
  <c r="AZ15" i="12"/>
  <c r="AZ11" i="12"/>
  <c r="AY23" i="11"/>
  <c r="AX62" i="13"/>
  <c r="AX70" i="13" s="1"/>
  <c r="J57" i="14" s="1"/>
  <c r="AV31" i="8"/>
  <c r="AV50" i="8"/>
  <c r="AV53" i="8" s="1"/>
  <c r="AY11" i="10"/>
  <c r="AY12" i="10" s="1"/>
  <c r="AY45" i="11"/>
  <c r="AY13" i="8"/>
  <c r="AX64" i="13"/>
  <c r="AX63" i="13"/>
  <c r="AX73" i="13" s="1"/>
  <c r="F84" i="13" s="1"/>
  <c r="F85" i="13" s="1"/>
  <c r="AX71" i="13"/>
  <c r="AY17" i="12"/>
  <c r="AY18" i="12" s="1"/>
  <c r="AY29" i="8"/>
  <c r="AX61" i="13"/>
  <c r="AX69" i="13"/>
  <c r="AX60" i="13"/>
  <c r="AX74" i="13" s="1"/>
  <c r="AY19" i="10"/>
  <c r="AY10" i="8"/>
  <c r="BA38" i="11"/>
  <c r="BA26" i="8" s="1"/>
  <c r="BA37" i="11"/>
  <c r="BA11" i="8" s="1"/>
  <c r="AW14" i="9"/>
  <c r="AW22" i="8"/>
  <c r="BA41" i="11"/>
  <c r="BA12" i="8" s="1"/>
  <c r="BA42" i="11"/>
  <c r="BA27" i="8" s="1"/>
  <c r="AY16" i="10"/>
  <c r="AY24" i="8"/>
  <c r="AY52" i="8" s="1"/>
  <c r="BA16" i="11"/>
  <c r="BA20" i="11" s="1"/>
  <c r="AY46" i="11"/>
  <c r="AY28" i="8"/>
  <c r="AX5" i="13"/>
  <c r="AX25" i="13" s="1"/>
  <c r="AZ43" i="8"/>
  <c r="AZ3" i="13"/>
  <c r="BB7" i="11"/>
  <c r="BB11" i="11" s="1"/>
  <c r="BB15" i="11"/>
  <c r="BB19" i="11"/>
  <c r="BB18" i="11"/>
  <c r="BB17" i="11"/>
  <c r="BB2" i="11"/>
  <c r="BC4" i="11"/>
  <c r="BB8" i="11"/>
  <c r="BB12" i="11" s="1"/>
  <c r="AZ7" i="13" s="1"/>
  <c r="BB3" i="11"/>
  <c r="AW61" i="13"/>
  <c r="AW60" i="13"/>
  <c r="AW74" i="13" s="1"/>
  <c r="AW69" i="13"/>
  <c r="AZ23" i="12"/>
  <c r="AZ24" i="12" s="1"/>
  <c r="AY8" i="9"/>
  <c r="AZ4" i="9"/>
  <c r="AY3" i="9"/>
  <c r="AY13" i="9"/>
  <c r="AY23" i="8" s="1"/>
  <c r="AY51" i="8" s="1"/>
  <c r="AY7" i="9"/>
  <c r="AZ22" i="11"/>
  <c r="AX65" i="13"/>
  <c r="AX9" i="9"/>
  <c r="AX8" i="8"/>
  <c r="AY15" i="5"/>
  <c r="AY11" i="5"/>
  <c r="AZ4" i="5"/>
  <c r="AY14" i="5"/>
  <c r="AY10" i="5"/>
  <c r="AY3" i="5"/>
  <c r="AY13" i="5"/>
  <c r="AY9" i="5"/>
  <c r="AY12" i="5"/>
  <c r="AY16" i="5"/>
  <c r="BA22" i="12"/>
  <c r="BA8" i="12"/>
  <c r="BA16" i="12"/>
  <c r="BA30" i="8" s="1"/>
  <c r="BA3" i="12"/>
  <c r="BA10" i="12"/>
  <c r="BA21" i="12" s="1"/>
  <c r="BB4" i="12"/>
  <c r="BA9" i="12"/>
  <c r="BA27" i="12" s="1"/>
  <c r="AX12" i="9"/>
  <c r="AX9" i="8"/>
  <c r="BA9" i="11"/>
  <c r="BB6" i="11" s="1"/>
  <c r="AX59" i="13"/>
  <c r="AW5" i="13"/>
  <c r="AW25" i="13" s="1"/>
  <c r="AY28" i="11"/>
  <c r="AY43" i="8"/>
  <c r="AY44" i="8" s="1"/>
  <c r="AZ28" i="11" l="1"/>
  <c r="B57" i="14"/>
  <c r="BA33" i="11"/>
  <c r="BA27" i="11"/>
  <c r="BA28" i="11" s="1"/>
  <c r="AY6" i="13"/>
  <c r="AY26" i="13" s="1"/>
  <c r="AY69" i="13" s="1"/>
  <c r="AZ28" i="8"/>
  <c r="AZ13" i="8"/>
  <c r="AY62" i="13"/>
  <c r="AY70" i="13" s="1"/>
  <c r="AX15" i="8"/>
  <c r="AX17" i="8" s="1"/>
  <c r="BB13" i="11"/>
  <c r="AZ6" i="13" s="1"/>
  <c r="AZ26" i="13" s="1"/>
  <c r="BB9" i="11"/>
  <c r="BC6" i="11" s="1"/>
  <c r="BA22" i="11"/>
  <c r="AY64" i="13"/>
  <c r="AY63" i="13"/>
  <c r="AY73" i="13" s="1"/>
  <c r="AY71" i="13"/>
  <c r="AZ8" i="9"/>
  <c r="AZ7" i="9"/>
  <c r="AZ3" i="9"/>
  <c r="AZ13" i="9"/>
  <c r="AZ23" i="8" s="1"/>
  <c r="AZ51" i="8" s="1"/>
  <c r="BA4" i="9"/>
  <c r="C57" i="14"/>
  <c r="D57" i="14" s="1"/>
  <c r="BB42" i="11"/>
  <c r="BB27" i="8" s="1"/>
  <c r="BB41" i="11"/>
  <c r="BB12" i="8" s="1"/>
  <c r="AZ7" i="8"/>
  <c r="AZ3" i="8"/>
  <c r="BA4" i="8"/>
  <c r="AY65" i="13"/>
  <c r="BB38" i="11"/>
  <c r="BB26" i="8" s="1"/>
  <c r="BB37" i="11"/>
  <c r="BB11" i="8" s="1"/>
  <c r="BA46" i="11"/>
  <c r="BA28" i="8"/>
  <c r="BB16" i="11"/>
  <c r="BB20" i="11" s="1"/>
  <c r="BA3" i="13"/>
  <c r="BC7" i="11"/>
  <c r="BC11" i="11" s="1"/>
  <c r="BC15" i="11"/>
  <c r="BC19" i="11"/>
  <c r="BC18" i="11"/>
  <c r="BC17" i="11"/>
  <c r="BC2" i="11"/>
  <c r="BD4" i="11"/>
  <c r="BC8" i="11"/>
  <c r="BC12" i="11" s="1"/>
  <c r="BA7" i="13" s="1"/>
  <c r="BC3" i="11"/>
  <c r="AY12" i="9"/>
  <c r="AY9" i="8"/>
  <c r="AX14" i="9"/>
  <c r="AX22" i="8"/>
  <c r="BB33" i="11"/>
  <c r="AY37" i="8"/>
  <c r="AY38" i="8" s="1"/>
  <c r="AZ17" i="12"/>
  <c r="AZ18" i="12" s="1"/>
  <c r="AZ29" i="8"/>
  <c r="AZ39" i="13"/>
  <c r="AZ32" i="13"/>
  <c r="AZ45" i="13"/>
  <c r="AZ31" i="13"/>
  <c r="AZ50" i="13"/>
  <c r="AZ33" i="13"/>
  <c r="AZ43" i="13"/>
  <c r="AZ37" i="13"/>
  <c r="AZ51" i="13"/>
  <c r="AZ49" i="13"/>
  <c r="AZ27" i="13"/>
  <c r="AZ44" i="13"/>
  <c r="AZ38" i="13"/>
  <c r="AU44" i="4"/>
  <c r="AU32" i="4"/>
  <c r="AU50" i="4"/>
  <c r="AU38" i="4"/>
  <c r="AU26" i="4"/>
  <c r="AY8" i="5" s="1"/>
  <c r="BA45" i="11"/>
  <c r="BA13" i="8"/>
  <c r="BB22" i="12"/>
  <c r="BB8" i="12"/>
  <c r="BB16" i="12"/>
  <c r="BB30" i="8" s="1"/>
  <c r="BC4" i="12"/>
  <c r="BB3" i="12"/>
  <c r="BB10" i="12"/>
  <c r="BB21" i="12" s="1"/>
  <c r="BB9" i="12"/>
  <c r="BB27" i="12" s="1"/>
  <c r="AZ44" i="8"/>
  <c r="AV32" i="8"/>
  <c r="AU47" i="4"/>
  <c r="AU41" i="4"/>
  <c r="AU29" i="4"/>
  <c r="AU23" i="4"/>
  <c r="AV7" i="5" s="1"/>
  <c r="AV17" i="5" s="1"/>
  <c r="AV21" i="5" s="1"/>
  <c r="AV23" i="5" s="1"/>
  <c r="AU35" i="4"/>
  <c r="AW58" i="13"/>
  <c r="AW57" i="13"/>
  <c r="AW56" i="13"/>
  <c r="AW55" i="13"/>
  <c r="BA15" i="12"/>
  <c r="BA11" i="12"/>
  <c r="AZ11" i="10"/>
  <c r="AZ12" i="10" s="1"/>
  <c r="BA23" i="12"/>
  <c r="BA24" i="12" s="1"/>
  <c r="AW31" i="8"/>
  <c r="AW50" i="8"/>
  <c r="AW53" i="8" s="1"/>
  <c r="B72" i="14"/>
  <c r="F86" i="13"/>
  <c r="D72" i="14" s="1"/>
  <c r="L101" i="13"/>
  <c r="K101" i="13"/>
  <c r="J101" i="13"/>
  <c r="I101" i="13"/>
  <c r="H101" i="13"/>
  <c r="G101" i="13"/>
  <c r="F101" i="13"/>
  <c r="B101" i="13"/>
  <c r="AZ19" i="10"/>
  <c r="AZ10" i="8"/>
  <c r="AY59" i="13"/>
  <c r="BA28" i="12"/>
  <c r="BA14" i="8"/>
  <c r="AZ23" i="11"/>
  <c r="K57" i="14"/>
  <c r="L57" i="14" s="1"/>
  <c r="BA8" i="10"/>
  <c r="BA25" i="8" s="1"/>
  <c r="BB4" i="10"/>
  <c r="BA9" i="10"/>
  <c r="BA10" i="10" s="1"/>
  <c r="BA3" i="10"/>
  <c r="BA7" i="10"/>
  <c r="BA2" i="10"/>
  <c r="BA18" i="10"/>
  <c r="BA6" i="10"/>
  <c r="AZ15" i="5"/>
  <c r="AZ11" i="5"/>
  <c r="BA4" i="5"/>
  <c r="AZ14" i="5"/>
  <c r="AZ10" i="5"/>
  <c r="AZ3" i="5"/>
  <c r="AZ13" i="5"/>
  <c r="AZ9" i="5"/>
  <c r="AZ16" i="5"/>
  <c r="AZ12" i="5"/>
  <c r="AY8" i="8"/>
  <c r="AY9" i="9"/>
  <c r="AX58" i="13"/>
  <c r="AX57" i="13"/>
  <c r="AX72" i="13" s="1"/>
  <c r="AX56" i="13"/>
  <c r="AX55" i="13"/>
  <c r="AZ16" i="10"/>
  <c r="AZ24" i="8"/>
  <c r="AZ52" i="8" s="1"/>
  <c r="AY5" i="13" l="1"/>
  <c r="AY25" i="13" s="1"/>
  <c r="BB27" i="11"/>
  <c r="BB43" i="8" s="1"/>
  <c r="BB34" i="11"/>
  <c r="AY60" i="13"/>
  <c r="AY74" i="13" s="1"/>
  <c r="AY61" i="13"/>
  <c r="BA43" i="8"/>
  <c r="BA44" i="8" s="1"/>
  <c r="BA23" i="11"/>
  <c r="O57" i="14"/>
  <c r="N57" i="14"/>
  <c r="AY15" i="8"/>
  <c r="AY17" i="8" s="1"/>
  <c r="BB23" i="12"/>
  <c r="BB24" i="12" s="1"/>
  <c r="AZ62" i="13"/>
  <c r="AZ70" i="13" s="1"/>
  <c r="BC9" i="11"/>
  <c r="BD6" i="11" s="1"/>
  <c r="M57" i="14"/>
  <c r="J102" i="13"/>
  <c r="J104" i="13"/>
  <c r="AZ9" i="9"/>
  <c r="AZ8" i="8"/>
  <c r="H102" i="13"/>
  <c r="H104" i="13"/>
  <c r="I102" i="13"/>
  <c r="I104" i="13"/>
  <c r="K102" i="13"/>
  <c r="K104" i="13"/>
  <c r="BB28" i="12"/>
  <c r="BB14" i="8"/>
  <c r="AZ12" i="9"/>
  <c r="AZ9" i="8"/>
  <c r="G102" i="13"/>
  <c r="G104" i="13"/>
  <c r="BA7" i="9"/>
  <c r="BB4" i="9"/>
  <c r="BA3" i="9"/>
  <c r="BA13" i="9"/>
  <c r="BA23" i="8" s="1"/>
  <c r="BA51" i="8" s="1"/>
  <c r="BA8" i="9"/>
  <c r="AY14" i="9"/>
  <c r="AY22" i="8"/>
  <c r="L102" i="13"/>
  <c r="L104" i="13"/>
  <c r="BB3" i="13"/>
  <c r="BD15" i="11"/>
  <c r="BD18" i="11"/>
  <c r="BD17" i="11"/>
  <c r="BD2" i="11"/>
  <c r="BE4" i="11"/>
  <c r="BD19" i="11"/>
  <c r="BD7" i="11"/>
  <c r="BD11" i="11" s="1"/>
  <c r="BD3" i="11"/>
  <c r="BA37" i="13"/>
  <c r="BA31" i="13"/>
  <c r="BA33" i="13"/>
  <c r="BA43" i="13"/>
  <c r="BA49" i="13"/>
  <c r="BA44" i="13"/>
  <c r="BA38" i="13"/>
  <c r="BA27" i="13"/>
  <c r="BA50" i="13"/>
  <c r="BA32" i="13"/>
  <c r="BA45" i="13"/>
  <c r="BA39" i="13"/>
  <c r="BA51" i="13"/>
  <c r="AZ5" i="13"/>
  <c r="AZ25" i="13" s="1"/>
  <c r="BB28" i="11"/>
  <c r="AW72" i="13"/>
  <c r="P57" i="14"/>
  <c r="BB22" i="11"/>
  <c r="BA16" i="10"/>
  <c r="BA24" i="8"/>
  <c r="BA52" i="8" s="1"/>
  <c r="BC22" i="12"/>
  <c r="BC16" i="12"/>
  <c r="BC30" i="8" s="1"/>
  <c r="BD4" i="12"/>
  <c r="BC10" i="12"/>
  <c r="BC21" i="12" s="1"/>
  <c r="BC9" i="12"/>
  <c r="BC27" i="12" s="1"/>
  <c r="BC3" i="12"/>
  <c r="BC8" i="12"/>
  <c r="AY56" i="13"/>
  <c r="AY55" i="13"/>
  <c r="AY58" i="13"/>
  <c r="AY57" i="13"/>
  <c r="BB45" i="11"/>
  <c r="BB13" i="8"/>
  <c r="AZ37" i="8"/>
  <c r="AZ38" i="8" s="1"/>
  <c r="H57" i="14"/>
  <c r="P16" i="15" s="1"/>
  <c r="G57" i="14"/>
  <c r="O16" i="15" s="1"/>
  <c r="F57" i="14"/>
  <c r="BA17" i="12"/>
  <c r="BA18" i="12" s="1"/>
  <c r="BA29" i="8"/>
  <c r="AZ65" i="13"/>
  <c r="BB46" i="11"/>
  <c r="BB28" i="8"/>
  <c r="BC38" i="11"/>
  <c r="BC26" i="8" s="1"/>
  <c r="BC37" i="11"/>
  <c r="BC11" i="8" s="1"/>
  <c r="AZ61" i="13"/>
  <c r="AZ60" i="13"/>
  <c r="AZ74" i="13" s="1"/>
  <c r="AZ69" i="13"/>
  <c r="BA11" i="10"/>
  <c r="BA12" i="10" s="1"/>
  <c r="AV50" i="4"/>
  <c r="AV44" i="4"/>
  <c r="AV32" i="4"/>
  <c r="AV38" i="4"/>
  <c r="AV26" i="4"/>
  <c r="AZ8" i="5" s="1"/>
  <c r="BC42" i="11"/>
  <c r="BC27" i="8" s="1"/>
  <c r="BC41" i="11"/>
  <c r="BC12" i="8" s="1"/>
  <c r="BC4" i="10"/>
  <c r="BB9" i="10"/>
  <c r="BB10" i="10" s="1"/>
  <c r="BB3" i="10"/>
  <c r="BB7" i="10"/>
  <c r="BB2" i="10"/>
  <c r="BB18" i="10"/>
  <c r="BB8" i="10"/>
  <c r="BB25" i="8" s="1"/>
  <c r="BB6" i="10"/>
  <c r="AW32" i="8"/>
  <c r="AV47" i="4"/>
  <c r="AV41" i="4"/>
  <c r="AV29" i="4"/>
  <c r="AV23" i="4"/>
  <c r="AW7" i="5" s="1"/>
  <c r="AW17" i="5" s="1"/>
  <c r="AV35" i="4"/>
  <c r="BB15" i="12"/>
  <c r="BB11" i="12"/>
  <c r="AZ64" i="13"/>
  <c r="AZ63" i="13"/>
  <c r="AZ73" i="13" s="1"/>
  <c r="AZ71" i="13"/>
  <c r="AX31" i="8"/>
  <c r="AX50" i="8"/>
  <c r="AX53" i="8" s="1"/>
  <c r="BC16" i="11"/>
  <c r="BC20" i="11" s="1"/>
  <c r="E57" i="14"/>
  <c r="BA15" i="5"/>
  <c r="BA11" i="5"/>
  <c r="BB4" i="5"/>
  <c r="BA14" i="5"/>
  <c r="BA10" i="5"/>
  <c r="BA3" i="5"/>
  <c r="BA13" i="5"/>
  <c r="BA9" i="5"/>
  <c r="BA16" i="5"/>
  <c r="BA12" i="5"/>
  <c r="BA19" i="10"/>
  <c r="BA10" i="8"/>
  <c r="L103" i="13"/>
  <c r="K103" i="13"/>
  <c r="J103" i="13"/>
  <c r="I103" i="13"/>
  <c r="H103" i="13"/>
  <c r="G103" i="13"/>
  <c r="F103" i="13"/>
  <c r="F133" i="13" s="1"/>
  <c r="F104" i="13"/>
  <c r="F134" i="13" s="1"/>
  <c r="F72" i="14" s="1"/>
  <c r="F102" i="13"/>
  <c r="F132" i="13" s="1"/>
  <c r="F131" i="13"/>
  <c r="AZ59" i="13"/>
  <c r="BC13" i="11"/>
  <c r="BA7" i="8"/>
  <c r="BB4" i="8"/>
  <c r="BA3" i="8"/>
  <c r="BB44" i="8" l="1"/>
  <c r="BC27" i="11"/>
  <c r="BA5" i="13" s="1"/>
  <c r="BA25" i="13" s="1"/>
  <c r="AZ15" i="8"/>
  <c r="AZ17" i="8" s="1"/>
  <c r="D16" i="15"/>
  <c r="E16" i="15" s="1"/>
  <c r="F136" i="13"/>
  <c r="W57" i="14" s="1"/>
  <c r="BD8" i="11"/>
  <c r="BC43" i="8"/>
  <c r="AZ14" i="9"/>
  <c r="AZ22" i="8"/>
  <c r="BB19" i="10"/>
  <c r="BB10" i="8"/>
  <c r="BA64" i="13"/>
  <c r="BA63" i="13"/>
  <c r="BA73" i="13" s="1"/>
  <c r="BA71" i="13"/>
  <c r="AY50" i="8"/>
  <c r="AY53" i="8" s="1"/>
  <c r="AY31" i="8"/>
  <c r="AW50" i="4"/>
  <c r="AW38" i="4"/>
  <c r="AW26" i="4"/>
  <c r="BA8" i="5" s="1"/>
  <c r="AW32" i="4"/>
  <c r="AW44" i="4"/>
  <c r="BB16" i="10"/>
  <c r="BB24" i="8"/>
  <c r="BB52" i="8" s="1"/>
  <c r="AZ58" i="13"/>
  <c r="AZ57" i="13"/>
  <c r="AZ72" i="13" s="1"/>
  <c r="AZ56" i="13"/>
  <c r="AZ55" i="13"/>
  <c r="BA37" i="8"/>
  <c r="BA38" i="8" s="1"/>
  <c r="BD38" i="11"/>
  <c r="BD26" i="8" s="1"/>
  <c r="BD37" i="11"/>
  <c r="BD11" i="8" s="1"/>
  <c r="BB17" i="12"/>
  <c r="BB18" i="12" s="1"/>
  <c r="BB29" i="8"/>
  <c r="AY72" i="13"/>
  <c r="BD42" i="11"/>
  <c r="BD27" i="8" s="1"/>
  <c r="BD41" i="11"/>
  <c r="BD12" i="8" s="1"/>
  <c r="BA12" i="9"/>
  <c r="BA9" i="8"/>
  <c r="BC11" i="12"/>
  <c r="BC15" i="12"/>
  <c r="BC4" i="8"/>
  <c r="BB3" i="8"/>
  <c r="BB7" i="8"/>
  <c r="BC3" i="13"/>
  <c r="BE18" i="11"/>
  <c r="BE17" i="11"/>
  <c r="BE2" i="11"/>
  <c r="BF4" i="11"/>
  <c r="BE19" i="11"/>
  <c r="BE15" i="11"/>
  <c r="BE3" i="11"/>
  <c r="BE7" i="11"/>
  <c r="BE11" i="11" s="1"/>
  <c r="Q16" i="15"/>
  <c r="AW21" i="5"/>
  <c r="BC3" i="10"/>
  <c r="BC18" i="10"/>
  <c r="BD4" i="10"/>
  <c r="BC9" i="10"/>
  <c r="BC10" i="10" s="1"/>
  <c r="BC7" i="10"/>
  <c r="BC2" i="10"/>
  <c r="BC8" i="10"/>
  <c r="BC25" i="8" s="1"/>
  <c r="BC6" i="10"/>
  <c r="BB23" i="11"/>
  <c r="BB7" i="9"/>
  <c r="BC4" i="9"/>
  <c r="BB13" i="9"/>
  <c r="BB23" i="8" s="1"/>
  <c r="BB51" i="8" s="1"/>
  <c r="BB8" i="9"/>
  <c r="BB3" i="9"/>
  <c r="Q57" i="14"/>
  <c r="BA6" i="13"/>
  <c r="BA26" i="13" s="1"/>
  <c r="BC33" i="11"/>
  <c r="BC34" i="11"/>
  <c r="BC22" i="11"/>
  <c r="BC4" i="5"/>
  <c r="BB14" i="5"/>
  <c r="BB10" i="5"/>
  <c r="BB3" i="5"/>
  <c r="BB13" i="5"/>
  <c r="BB9" i="5"/>
  <c r="BB16" i="5"/>
  <c r="BB12" i="5"/>
  <c r="BB15" i="5"/>
  <c r="BB11" i="5"/>
  <c r="BA9" i="9"/>
  <c r="BA8" i="8"/>
  <c r="BD16" i="11"/>
  <c r="BD20" i="11" s="1"/>
  <c r="AX32" i="8"/>
  <c r="AW41" i="4"/>
  <c r="AW29" i="4"/>
  <c r="AW35" i="4"/>
  <c r="AW23" i="4"/>
  <c r="AX7" i="5" s="1"/>
  <c r="AX17" i="5" s="1"/>
  <c r="AX21" i="5" s="1"/>
  <c r="AW47" i="4"/>
  <c r="I57" i="14"/>
  <c r="BC28" i="12"/>
  <c r="BC14" i="8"/>
  <c r="BA59" i="13"/>
  <c r="BB32" i="13"/>
  <c r="BB33" i="13"/>
  <c r="BB49" i="13"/>
  <c r="BB39" i="13"/>
  <c r="BB43" i="13"/>
  <c r="BB37" i="13"/>
  <c r="BB31" i="13"/>
  <c r="BB45" i="13"/>
  <c r="BB38" i="13"/>
  <c r="BB50" i="13"/>
  <c r="BB44" i="13"/>
  <c r="BB51" i="13"/>
  <c r="C72" i="14"/>
  <c r="F135" i="13"/>
  <c r="BB11" i="10"/>
  <c r="BC23" i="12"/>
  <c r="BC24" i="12" s="1"/>
  <c r="BA62" i="13"/>
  <c r="BA70" i="13" s="1"/>
  <c r="N16" i="15"/>
  <c r="B16" i="15"/>
  <c r="C31" i="15"/>
  <c r="BA65" i="13"/>
  <c r="C16" i="15"/>
  <c r="BD22" i="12"/>
  <c r="BD16" i="12"/>
  <c r="BD30" i="8" s="1"/>
  <c r="BE4" i="12"/>
  <c r="BD3" i="12"/>
  <c r="BC28" i="11" l="1"/>
  <c r="BC44" i="8"/>
  <c r="G72" i="14"/>
  <c r="BA15" i="8"/>
  <c r="BA17" i="8" s="1"/>
  <c r="BB59" i="13"/>
  <c r="BD12" i="11"/>
  <c r="BD9" i="11"/>
  <c r="BE6" i="11" s="1"/>
  <c r="BE8" i="11" s="1"/>
  <c r="BE12" i="11" s="1"/>
  <c r="BC7" i="13" s="1"/>
  <c r="BC27" i="13" s="1"/>
  <c r="BA61" i="13"/>
  <c r="BA60" i="13"/>
  <c r="BA74" i="13" s="1"/>
  <c r="BA69" i="13"/>
  <c r="BB12" i="10"/>
  <c r="BB62" i="13"/>
  <c r="BB70" i="13" s="1"/>
  <c r="BC16" i="10"/>
  <c r="BC24" i="8"/>
  <c r="BC52" i="8" s="1"/>
  <c r="BE38" i="11"/>
  <c r="BE26" i="8" s="1"/>
  <c r="BE37" i="11"/>
  <c r="BE11" i="8" s="1"/>
  <c r="BA14" i="9"/>
  <c r="BA22" i="8"/>
  <c r="BC37" i="13"/>
  <c r="BC44" i="13"/>
  <c r="BC32" i="13"/>
  <c r="BC50" i="13"/>
  <c r="BC38" i="13"/>
  <c r="BC51" i="13"/>
  <c r="BC43" i="13"/>
  <c r="BC39" i="13"/>
  <c r="BC49" i="13"/>
  <c r="BC33" i="13"/>
  <c r="BC45" i="13"/>
  <c r="BC31" i="13"/>
  <c r="BD2" i="10"/>
  <c r="BD18" i="10"/>
  <c r="BD9" i="10"/>
  <c r="BD10" i="10" s="1"/>
  <c r="BD3" i="10"/>
  <c r="BD7" i="10"/>
  <c r="BD8" i="10"/>
  <c r="BD25" i="8" s="1"/>
  <c r="BD6" i="10"/>
  <c r="BE4" i="10"/>
  <c r="BC19" i="10"/>
  <c r="BC10" i="8"/>
  <c r="AZ50" i="8"/>
  <c r="AZ53" i="8" s="1"/>
  <c r="AZ31" i="8"/>
  <c r="E72" i="14"/>
  <c r="V57" i="14"/>
  <c r="F137" i="13"/>
  <c r="BC14" i="5"/>
  <c r="BC10" i="5"/>
  <c r="BC3" i="5"/>
  <c r="BC13" i="5"/>
  <c r="BC9" i="5"/>
  <c r="BC16" i="5"/>
  <c r="BC12" i="5"/>
  <c r="BC15" i="5"/>
  <c r="BD4" i="5"/>
  <c r="BC11" i="5"/>
  <c r="AW23" i="5"/>
  <c r="AX23" i="5" s="1"/>
  <c r="BC23" i="11"/>
  <c r="BB37" i="8"/>
  <c r="BB38" i="8" s="1"/>
  <c r="BB12" i="9"/>
  <c r="BB9" i="8"/>
  <c r="BE16" i="11"/>
  <c r="BE20" i="11" s="1"/>
  <c r="BE16" i="12"/>
  <c r="BE30" i="8" s="1"/>
  <c r="BE22" i="12"/>
  <c r="BE3" i="12"/>
  <c r="BF4" i="12"/>
  <c r="BC46" i="11"/>
  <c r="BC28" i="8"/>
  <c r="BD4" i="9"/>
  <c r="BC3" i="9"/>
  <c r="BC13" i="9"/>
  <c r="BC23" i="8" s="1"/>
  <c r="BC51" i="8" s="1"/>
  <c r="BC7" i="9"/>
  <c r="BC8" i="9"/>
  <c r="BE42" i="11"/>
  <c r="BE27" i="8" s="1"/>
  <c r="BE41" i="11"/>
  <c r="BE12" i="8" s="1"/>
  <c r="BC3" i="8"/>
  <c r="BC7" i="8"/>
  <c r="BD4" i="8"/>
  <c r="AX41" i="4"/>
  <c r="AX29" i="4"/>
  <c r="AX35" i="4"/>
  <c r="AX23" i="4"/>
  <c r="AY7" i="5" s="1"/>
  <c r="AY17" i="5" s="1"/>
  <c r="AY32" i="8"/>
  <c r="AX47" i="4"/>
  <c r="BB65" i="13"/>
  <c r="BC45" i="11"/>
  <c r="BC13" i="8"/>
  <c r="BB9" i="9"/>
  <c r="BB8" i="8"/>
  <c r="BC11" i="10"/>
  <c r="BD3" i="13"/>
  <c r="BF19" i="11"/>
  <c r="BF17" i="11"/>
  <c r="BF2" i="11"/>
  <c r="BG4" i="11"/>
  <c r="BF15" i="11"/>
  <c r="BF3" i="11"/>
  <c r="BF18" i="11"/>
  <c r="BF7" i="11"/>
  <c r="BF11" i="11" s="1"/>
  <c r="BC17" i="12"/>
  <c r="BC18" i="12" s="1"/>
  <c r="BC29" i="8"/>
  <c r="AX50" i="4"/>
  <c r="AX38" i="4"/>
  <c r="AX26" i="4"/>
  <c r="BB8" i="5" s="1"/>
  <c r="AX44" i="4"/>
  <c r="AX32" i="4"/>
  <c r="BA58" i="13"/>
  <c r="BA57" i="13"/>
  <c r="BA56" i="13"/>
  <c r="BA55" i="13"/>
  <c r="BE9" i="11" l="1"/>
  <c r="BF6" i="11" s="1"/>
  <c r="BF8" i="11" s="1"/>
  <c r="BF12" i="11" s="1"/>
  <c r="BD7" i="13" s="1"/>
  <c r="BE13" i="11"/>
  <c r="BE27" i="11" s="1"/>
  <c r="BB15" i="8"/>
  <c r="BB17" i="8" s="1"/>
  <c r="BB7" i="13"/>
  <c r="BB27" i="13" s="1"/>
  <c r="BD13" i="11"/>
  <c r="AY21" i="5"/>
  <c r="BC12" i="9"/>
  <c r="BC9" i="8"/>
  <c r="BD14" i="5"/>
  <c r="BD10" i="5"/>
  <c r="BD3" i="5"/>
  <c r="BD13" i="5"/>
  <c r="BD9" i="5"/>
  <c r="BD16" i="5"/>
  <c r="BD12" i="5"/>
  <c r="BD15" i="5"/>
  <c r="BE4" i="5"/>
  <c r="BD11" i="5"/>
  <c r="BD11" i="10"/>
  <c r="BC12" i="10"/>
  <c r="AY47" i="4"/>
  <c r="AY41" i="4"/>
  <c r="AY29" i="4"/>
  <c r="AY35" i="4"/>
  <c r="AY23" i="4"/>
  <c r="AZ7" i="5" s="1"/>
  <c r="AZ17" i="5" s="1"/>
  <c r="AZ21" i="5" s="1"/>
  <c r="AZ32" i="8"/>
  <c r="AY50" i="4"/>
  <c r="AY32" i="4"/>
  <c r="AY38" i="4"/>
  <c r="AY26" i="4"/>
  <c r="BC8" i="5" s="1"/>
  <c r="AY44" i="4"/>
  <c r="BD16" i="10"/>
  <c r="BD24" i="8"/>
  <c r="BD52" i="8" s="1"/>
  <c r="BD39" i="13"/>
  <c r="BD44" i="13"/>
  <c r="BD50" i="13"/>
  <c r="BD45" i="13"/>
  <c r="BD33" i="13"/>
  <c r="BD43" i="13"/>
  <c r="BD49" i="13"/>
  <c r="BD32" i="13"/>
  <c r="BD31" i="13"/>
  <c r="BD37" i="13"/>
  <c r="BD27" i="13"/>
  <c r="BD38" i="13"/>
  <c r="BD51" i="13"/>
  <c r="BD3" i="9"/>
  <c r="BD13" i="9"/>
  <c r="BD23" i="8" s="1"/>
  <c r="BD51" i="8" s="1"/>
  <c r="BD8" i="9"/>
  <c r="BD7" i="9"/>
  <c r="BE4" i="9"/>
  <c r="BF42" i="11"/>
  <c r="BF27" i="8" s="1"/>
  <c r="BF41" i="11"/>
  <c r="BF12" i="8" s="1"/>
  <c r="BE22" i="11"/>
  <c r="BD19" i="10"/>
  <c r="BD10" i="8"/>
  <c r="BA50" i="8"/>
  <c r="BA53" i="8" s="1"/>
  <c r="BA31" i="8"/>
  <c r="BC37" i="8"/>
  <c r="BC38" i="8" s="1"/>
  <c r="BF13" i="11"/>
  <c r="BA72" i="13"/>
  <c r="BF38" i="11"/>
  <c r="BF26" i="8" s="1"/>
  <c r="BF37" i="11"/>
  <c r="BF11" i="8" s="1"/>
  <c r="BD3" i="8"/>
  <c r="BD7" i="8"/>
  <c r="BE4" i="8"/>
  <c r="BB14" i="9"/>
  <c r="BB22" i="8"/>
  <c r="BC59" i="13"/>
  <c r="BC64" i="13"/>
  <c r="BC63" i="13"/>
  <c r="BC73" i="13" s="1"/>
  <c r="BC71" i="13"/>
  <c r="BC9" i="9"/>
  <c r="BC8" i="8"/>
  <c r="BF16" i="12"/>
  <c r="BF30" i="8" s="1"/>
  <c r="BF3" i="12"/>
  <c r="BF22" i="12"/>
  <c r="BG4" i="12"/>
  <c r="BC65" i="13"/>
  <c r="BE3" i="13"/>
  <c r="BG19" i="11"/>
  <c r="BG17" i="11"/>
  <c r="BG2" i="11"/>
  <c r="BH4" i="11"/>
  <c r="BG15" i="11"/>
  <c r="BG3" i="11"/>
  <c r="BG7" i="11"/>
  <c r="BG11" i="11" s="1"/>
  <c r="BG18" i="11"/>
  <c r="H72" i="14"/>
  <c r="X57" i="14"/>
  <c r="BC62" i="13"/>
  <c r="BC70" i="13" s="1"/>
  <c r="BF16" i="11"/>
  <c r="BF20" i="11" s="1"/>
  <c r="BE18" i="10"/>
  <c r="BE9" i="10"/>
  <c r="BE10" i="10" s="1"/>
  <c r="BE3" i="10"/>
  <c r="BE7" i="10"/>
  <c r="BE2" i="10"/>
  <c r="BE8" i="10"/>
  <c r="BE25" i="8" s="1"/>
  <c r="BE6" i="10"/>
  <c r="BF4" i="10"/>
  <c r="BF9" i="11" l="1"/>
  <c r="BG6" i="11" s="1"/>
  <c r="BD12" i="10"/>
  <c r="BF27" i="11"/>
  <c r="BD5" i="13" s="1"/>
  <c r="BD25" i="13" s="1"/>
  <c r="BC15" i="8"/>
  <c r="BC17" i="8" s="1"/>
  <c r="BE33" i="11"/>
  <c r="BE45" i="11" s="1"/>
  <c r="BE34" i="11"/>
  <c r="BE46" i="11" s="1"/>
  <c r="BC6" i="13"/>
  <c r="BC26" i="13" s="1"/>
  <c r="BC60" i="13" s="1"/>
  <c r="BC74" i="13" s="1"/>
  <c r="BC5" i="13"/>
  <c r="BC25" i="13" s="1"/>
  <c r="BC56" i="13" s="1"/>
  <c r="BE43" i="8"/>
  <c r="BD62" i="13"/>
  <c r="BD70" i="13" s="1"/>
  <c r="BD27" i="11"/>
  <c r="BD34" i="11"/>
  <c r="BD33" i="11"/>
  <c r="BD22" i="11"/>
  <c r="BD23" i="11" s="1"/>
  <c r="BE23" i="11" s="1"/>
  <c r="BB6" i="13"/>
  <c r="BB26" i="13" s="1"/>
  <c r="BB64" i="13"/>
  <c r="BB63" i="13"/>
  <c r="BB73" i="13" s="1"/>
  <c r="BB71" i="13"/>
  <c r="BE3" i="9"/>
  <c r="BE13" i="9"/>
  <c r="BE23" i="8" s="1"/>
  <c r="BE51" i="8" s="1"/>
  <c r="BE8" i="9"/>
  <c r="BE7" i="9"/>
  <c r="BF4" i="9"/>
  <c r="BE19" i="10"/>
  <c r="BE10" i="8"/>
  <c r="BG38" i="11"/>
  <c r="BG26" i="8" s="1"/>
  <c r="BG37" i="11"/>
  <c r="BG11" i="8" s="1"/>
  <c r="BD9" i="9"/>
  <c r="BD8" i="8"/>
  <c r="BD37" i="8"/>
  <c r="BD38" i="8" s="1"/>
  <c r="BB50" i="8"/>
  <c r="BB53" i="8" s="1"/>
  <c r="BB31" i="8"/>
  <c r="BD6" i="13"/>
  <c r="BD26" i="13" s="1"/>
  <c r="BF34" i="11"/>
  <c r="BF33" i="11"/>
  <c r="BF22" i="11"/>
  <c r="BD12" i="9"/>
  <c r="BD9" i="8"/>
  <c r="BD65" i="13"/>
  <c r="BF43" i="8"/>
  <c r="BC14" i="9"/>
  <c r="BC22" i="8"/>
  <c r="BG42" i="11"/>
  <c r="BG27" i="8" s="1"/>
  <c r="BG41" i="11"/>
  <c r="BG12" i="8" s="1"/>
  <c r="BG16" i="11"/>
  <c r="BG20" i="11" s="1"/>
  <c r="BE7" i="8"/>
  <c r="BF4" i="8"/>
  <c r="BE3" i="8"/>
  <c r="BD64" i="13"/>
  <c r="BD63" i="13"/>
  <c r="BD73" i="13" s="1"/>
  <c r="BD71" i="13"/>
  <c r="BE13" i="5"/>
  <c r="BE9" i="5"/>
  <c r="BE16" i="5"/>
  <c r="BE12" i="5"/>
  <c r="BE15" i="5"/>
  <c r="BE11" i="5"/>
  <c r="BE10" i="5"/>
  <c r="BF4" i="5"/>
  <c r="BE3" i="5"/>
  <c r="BE14" i="5"/>
  <c r="B31" i="15"/>
  <c r="BF3" i="13"/>
  <c r="BH19" i="11"/>
  <c r="BH18" i="11"/>
  <c r="BH7" i="11"/>
  <c r="BH11" i="11" s="1"/>
  <c r="BH15" i="11"/>
  <c r="BI4" i="11"/>
  <c r="BH17" i="11"/>
  <c r="BH3" i="11"/>
  <c r="BH2" i="11"/>
  <c r="AY23" i="5"/>
  <c r="AZ23" i="5" s="1"/>
  <c r="D31" i="15"/>
  <c r="AZ50" i="4"/>
  <c r="AZ38" i="4"/>
  <c r="AZ26" i="4"/>
  <c r="BD8" i="5" s="1"/>
  <c r="AZ32" i="4"/>
  <c r="AZ44" i="4"/>
  <c r="BE16" i="10"/>
  <c r="BE24" i="8"/>
  <c r="BE52" i="8" s="1"/>
  <c r="BE44" i="13"/>
  <c r="BE39" i="13"/>
  <c r="BE33" i="13"/>
  <c r="BE50" i="13"/>
  <c r="BE37" i="13"/>
  <c r="BE51" i="13"/>
  <c r="BE38" i="13"/>
  <c r="BE45" i="13"/>
  <c r="BE43" i="13"/>
  <c r="BE31" i="13"/>
  <c r="BE32" i="13"/>
  <c r="BE49" i="13"/>
  <c r="BG16" i="12"/>
  <c r="BG30" i="8" s="1"/>
  <c r="BH4" i="12"/>
  <c r="BG22" i="12"/>
  <c r="BG3" i="12"/>
  <c r="BF18" i="10"/>
  <c r="BF9" i="10"/>
  <c r="BF10" i="10" s="1"/>
  <c r="BF3" i="10"/>
  <c r="BF7" i="10"/>
  <c r="BF2" i="10"/>
  <c r="BF8" i="10"/>
  <c r="BF25" i="8" s="1"/>
  <c r="BF6" i="10"/>
  <c r="BG4" i="10"/>
  <c r="BE11" i="10"/>
  <c r="Y57" i="14"/>
  <c r="BA32" i="8"/>
  <c r="AZ47" i="4"/>
  <c r="AZ35" i="4"/>
  <c r="AZ23" i="4"/>
  <c r="BA7" i="5" s="1"/>
  <c r="BA17" i="5" s="1"/>
  <c r="BA21" i="5" s="1"/>
  <c r="AZ29" i="4"/>
  <c r="AZ41" i="4"/>
  <c r="BD59" i="13"/>
  <c r="BG8" i="11" l="1"/>
  <c r="BG12" i="11" s="1"/>
  <c r="BE28" i="8"/>
  <c r="BE13" i="8"/>
  <c r="BC69" i="13"/>
  <c r="BC57" i="13"/>
  <c r="BC72" i="13" s="1"/>
  <c r="BC58" i="13"/>
  <c r="BC61" i="13"/>
  <c r="BC55" i="13"/>
  <c r="BB61" i="13"/>
  <c r="BB60" i="13"/>
  <c r="BB74" i="13" s="1"/>
  <c r="BB69" i="13"/>
  <c r="BD45" i="11"/>
  <c r="BD13" i="8"/>
  <c r="BD28" i="8"/>
  <c r="BD46" i="11"/>
  <c r="BB5" i="13"/>
  <c r="BB25" i="13" s="1"/>
  <c r="BD28" i="11"/>
  <c r="BE28" i="11" s="1"/>
  <c r="BF28" i="11" s="1"/>
  <c r="BD43" i="8"/>
  <c r="BD44" i="8" s="1"/>
  <c r="BE44" i="8" s="1"/>
  <c r="BF44" i="8" s="1"/>
  <c r="BA23" i="5"/>
  <c r="BH38" i="11"/>
  <c r="BH26" i="8" s="1"/>
  <c r="BH37" i="11"/>
  <c r="BH11" i="8" s="1"/>
  <c r="BD14" i="9"/>
  <c r="BD22" i="8"/>
  <c r="BE9" i="9"/>
  <c r="BE8" i="8"/>
  <c r="BF50" i="13"/>
  <c r="BF31" i="13"/>
  <c r="BF49" i="13"/>
  <c r="BF32" i="13"/>
  <c r="BF38" i="13"/>
  <c r="BF43" i="13"/>
  <c r="BF39" i="13"/>
  <c r="BF33" i="13"/>
  <c r="BF44" i="13"/>
  <c r="BF51" i="13"/>
  <c r="BF45" i="13"/>
  <c r="BF37" i="13"/>
  <c r="BC50" i="8"/>
  <c r="BC53" i="8" s="1"/>
  <c r="BC31" i="8"/>
  <c r="BE12" i="9"/>
  <c r="BE9" i="8"/>
  <c r="BE62" i="13"/>
  <c r="BE70" i="13" s="1"/>
  <c r="BF23" i="11"/>
  <c r="BE37" i="8"/>
  <c r="BE38" i="8" s="1"/>
  <c r="BE59" i="13"/>
  <c r="BF45" i="11"/>
  <c r="BF13" i="8"/>
  <c r="BH41" i="11"/>
  <c r="BH12" i="8" s="1"/>
  <c r="BH42" i="11"/>
  <c r="BH27" i="8" s="1"/>
  <c r="BG18" i="10"/>
  <c r="BG3" i="10"/>
  <c r="BG7" i="10"/>
  <c r="BG2" i="10"/>
  <c r="BG8" i="10"/>
  <c r="BG25" i="8" s="1"/>
  <c r="BG6" i="10"/>
  <c r="BH4" i="10"/>
  <c r="BG9" i="10"/>
  <c r="BG10" i="10" s="1"/>
  <c r="E31" i="15"/>
  <c r="BF13" i="5"/>
  <c r="BF9" i="5"/>
  <c r="BF16" i="5"/>
  <c r="BF12" i="5"/>
  <c r="BF15" i="5"/>
  <c r="BF11" i="5"/>
  <c r="BG4" i="5"/>
  <c r="BF14" i="5"/>
  <c r="BF3" i="5"/>
  <c r="BF10" i="5"/>
  <c r="BF46" i="11"/>
  <c r="BF28" i="8"/>
  <c r="BF19" i="10"/>
  <c r="BF10" i="8"/>
  <c r="BF11" i="10"/>
  <c r="BE65" i="13"/>
  <c r="BD61" i="13"/>
  <c r="BD60" i="13"/>
  <c r="BD74" i="13" s="1"/>
  <c r="BD69" i="13"/>
  <c r="BF13" i="9"/>
  <c r="BF23" i="8" s="1"/>
  <c r="BF51" i="8" s="1"/>
  <c r="BF8" i="9"/>
  <c r="BF7" i="9"/>
  <c r="BG4" i="9"/>
  <c r="BF3" i="9"/>
  <c r="BH16" i="12"/>
  <c r="BH30" i="8" s="1"/>
  <c r="BH22" i="12"/>
  <c r="BI4" i="12"/>
  <c r="BH3" i="12"/>
  <c r="BG4" i="8"/>
  <c r="BF7" i="8"/>
  <c r="BF3" i="8"/>
  <c r="BB32" i="8"/>
  <c r="BA47" i="4"/>
  <c r="BA35" i="4"/>
  <c r="BA23" i="4"/>
  <c r="BB7" i="5" s="1"/>
  <c r="BB17" i="5" s="1"/>
  <c r="BB21" i="5" s="1"/>
  <c r="BB23" i="5" s="1"/>
  <c r="BA29" i="4"/>
  <c r="BA41" i="4"/>
  <c r="BG3" i="13"/>
  <c r="BI18" i="11"/>
  <c r="BI7" i="11"/>
  <c r="BI11" i="11" s="1"/>
  <c r="BI15" i="11"/>
  <c r="BJ4" i="11"/>
  <c r="BI17" i="11"/>
  <c r="BI19" i="11"/>
  <c r="BI3" i="11"/>
  <c r="BI2" i="11"/>
  <c r="BA38" i="4"/>
  <c r="BA26" i="4"/>
  <c r="BE8" i="5" s="1"/>
  <c r="BA50" i="4"/>
  <c r="BA44" i="4"/>
  <c r="BA32" i="4"/>
  <c r="BF16" i="10"/>
  <c r="BF24" i="8"/>
  <c r="BF52" i="8" s="1"/>
  <c r="BH16" i="11"/>
  <c r="BH20" i="11" s="1"/>
  <c r="BD58" i="13"/>
  <c r="BD57" i="13"/>
  <c r="BD72" i="13" s="1"/>
  <c r="BD56" i="13"/>
  <c r="BD55" i="13"/>
  <c r="BE12" i="10"/>
  <c r="BE7" i="13" l="1"/>
  <c r="BE27" i="13" s="1"/>
  <c r="BG13" i="11"/>
  <c r="BG9" i="11"/>
  <c r="BH6" i="11" s="1"/>
  <c r="BH8" i="11" s="1"/>
  <c r="BH12" i="11" s="1"/>
  <c r="BF7" i="13" s="1"/>
  <c r="BF27" i="13" s="1"/>
  <c r="BF64" i="13" s="1"/>
  <c r="BB56" i="13"/>
  <c r="BB55" i="13"/>
  <c r="BB57" i="13"/>
  <c r="BB72" i="13" s="1"/>
  <c r="BB58" i="13"/>
  <c r="BF62" i="13"/>
  <c r="BF70" i="13" s="1"/>
  <c r="BF12" i="10"/>
  <c r="BH4" i="8"/>
  <c r="BG7" i="8"/>
  <c r="BG3" i="8"/>
  <c r="BF12" i="9"/>
  <c r="BF9" i="8"/>
  <c r="BF59" i="13"/>
  <c r="BF9" i="9"/>
  <c r="BF8" i="8"/>
  <c r="BG19" i="10"/>
  <c r="BG10" i="8"/>
  <c r="BH3" i="13"/>
  <c r="BJ18" i="11"/>
  <c r="BJ17" i="11"/>
  <c r="BJ15" i="11"/>
  <c r="BK4" i="11"/>
  <c r="BJ19" i="11"/>
  <c r="BJ3" i="11"/>
  <c r="BJ7" i="11"/>
  <c r="BJ11" i="11" s="1"/>
  <c r="BJ2" i="11"/>
  <c r="BF37" i="8"/>
  <c r="BF38" i="8" s="1"/>
  <c r="BF65" i="13"/>
  <c r="BG8" i="9"/>
  <c r="BG7" i="9"/>
  <c r="BG13" i="9"/>
  <c r="BG23" i="8" s="1"/>
  <c r="BG51" i="8" s="1"/>
  <c r="BH4" i="9"/>
  <c r="BG3" i="9"/>
  <c r="BI16" i="11"/>
  <c r="BI20" i="11" s="1"/>
  <c r="BG38" i="13"/>
  <c r="BG37" i="13"/>
  <c r="BG43" i="13"/>
  <c r="BG45" i="13"/>
  <c r="BG49" i="13"/>
  <c r="BG44" i="13"/>
  <c r="BG50" i="13"/>
  <c r="BG39" i="13"/>
  <c r="BG32" i="13"/>
  <c r="BG51" i="13"/>
  <c r="BG33" i="13"/>
  <c r="BG31" i="13"/>
  <c r="BE14" i="9"/>
  <c r="BE22" i="8"/>
  <c r="BI38" i="11"/>
  <c r="BI26" i="8" s="1"/>
  <c r="BI37" i="11"/>
  <c r="BI11" i="8" s="1"/>
  <c r="BC32" i="8"/>
  <c r="BB47" i="4"/>
  <c r="BB41" i="4"/>
  <c r="BB23" i="4"/>
  <c r="BC7" i="5" s="1"/>
  <c r="BC17" i="5" s="1"/>
  <c r="BC21" i="5" s="1"/>
  <c r="BC23" i="5" s="1"/>
  <c r="BB35" i="4"/>
  <c r="BB29" i="4"/>
  <c r="BD50" i="8"/>
  <c r="BD53" i="8" s="1"/>
  <c r="BG16" i="10"/>
  <c r="BG24" i="8"/>
  <c r="BG52" i="8" s="1"/>
  <c r="BI16" i="12"/>
  <c r="BI30" i="8" s="1"/>
  <c r="BI22" i="12"/>
  <c r="BJ4" i="12"/>
  <c r="BI3" i="12"/>
  <c r="BB50" i="4"/>
  <c r="BB38" i="4"/>
  <c r="BB26" i="4"/>
  <c r="BF8" i="5" s="1"/>
  <c r="BB44" i="4"/>
  <c r="BB32" i="4"/>
  <c r="BG13" i="5"/>
  <c r="BG9" i="5"/>
  <c r="BG16" i="5"/>
  <c r="BG12" i="5"/>
  <c r="BG15" i="5"/>
  <c r="BG11" i="5"/>
  <c r="BH4" i="5"/>
  <c r="BG14" i="5"/>
  <c r="BG3" i="5"/>
  <c r="BG10" i="5"/>
  <c r="BH18" i="10"/>
  <c r="BH8" i="10"/>
  <c r="BH25" i="8" s="1"/>
  <c r="BH7" i="10"/>
  <c r="BH2" i="10"/>
  <c r="BH6" i="10"/>
  <c r="BI4" i="10"/>
  <c r="BH9" i="10"/>
  <c r="BH10" i="10" s="1"/>
  <c r="BH3" i="10"/>
  <c r="BI42" i="11"/>
  <c r="BI27" i="8" s="1"/>
  <c r="BI41" i="11"/>
  <c r="BI12" i="8" s="1"/>
  <c r="BG11" i="10"/>
  <c r="BH9" i="11" l="1"/>
  <c r="BI6" i="11" s="1"/>
  <c r="BI8" i="11" s="1"/>
  <c r="BI12" i="11" s="1"/>
  <c r="BG7" i="13" s="1"/>
  <c r="BG27" i="13" s="1"/>
  <c r="BG63" i="13" s="1"/>
  <c r="BG73" i="13" s="1"/>
  <c r="BH13" i="11"/>
  <c r="BH33" i="11" s="1"/>
  <c r="BF71" i="13"/>
  <c r="BI9" i="11"/>
  <c r="BJ6" i="11" s="1"/>
  <c r="BJ8" i="11" s="1"/>
  <c r="BJ12" i="11" s="1"/>
  <c r="BH7" i="13" s="1"/>
  <c r="BH27" i="13" s="1"/>
  <c r="BF63" i="13"/>
  <c r="BF73" i="13" s="1"/>
  <c r="BG27" i="11"/>
  <c r="BE6" i="13"/>
  <c r="BE26" i="13" s="1"/>
  <c r="BG33" i="11"/>
  <c r="BG34" i="11"/>
  <c r="BG22" i="11"/>
  <c r="BG23" i="11" s="1"/>
  <c r="BE64" i="13"/>
  <c r="BE63" i="13"/>
  <c r="BE73" i="13" s="1"/>
  <c r="BE71" i="13"/>
  <c r="BG65" i="13"/>
  <c r="BI13" i="11"/>
  <c r="BI27" i="11" s="1"/>
  <c r="BG37" i="8"/>
  <c r="BG38" i="8" s="1"/>
  <c r="BG12" i="10"/>
  <c r="BG71" i="13"/>
  <c r="BG62" i="13"/>
  <c r="BG70" i="13" s="1"/>
  <c r="BI3" i="13"/>
  <c r="BK17" i="11"/>
  <c r="BK15" i="11"/>
  <c r="BK19" i="11"/>
  <c r="BL4" i="11"/>
  <c r="BK3" i="11"/>
  <c r="BK7" i="11"/>
  <c r="BK11" i="11" s="1"/>
  <c r="BK18" i="11"/>
  <c r="BK2" i="11"/>
  <c r="BG9" i="9"/>
  <c r="BG8" i="8"/>
  <c r="BH19" i="10"/>
  <c r="BH10" i="8"/>
  <c r="BJ42" i="11"/>
  <c r="BJ27" i="8" s="1"/>
  <c r="BJ41" i="11"/>
  <c r="BJ12" i="8" s="1"/>
  <c r="BJ16" i="11"/>
  <c r="BJ20" i="11" s="1"/>
  <c r="BF22" i="8"/>
  <c r="BF14" i="9"/>
  <c r="BG12" i="9"/>
  <c r="BG9" i="8"/>
  <c r="BE50" i="8"/>
  <c r="BE53" i="8" s="1"/>
  <c r="BH16" i="5"/>
  <c r="BH12" i="5"/>
  <c r="BH15" i="5"/>
  <c r="BH11" i="5"/>
  <c r="BI4" i="5"/>
  <c r="BH14" i="5"/>
  <c r="BH10" i="5"/>
  <c r="BH3" i="5"/>
  <c r="BH13" i="5"/>
  <c r="BH9" i="5"/>
  <c r="BJ38" i="11"/>
  <c r="BJ26" i="8" s="1"/>
  <c r="BJ37" i="11"/>
  <c r="BJ11" i="8" s="1"/>
  <c r="BH43" i="13"/>
  <c r="BH31" i="13"/>
  <c r="BH37" i="13"/>
  <c r="BH51" i="13"/>
  <c r="BH45" i="13"/>
  <c r="BH49" i="13"/>
  <c r="BH38" i="13"/>
  <c r="BH44" i="13"/>
  <c r="BH33" i="13"/>
  <c r="BH50" i="13"/>
  <c r="BH32" i="13"/>
  <c r="BH39" i="13"/>
  <c r="BI4" i="8"/>
  <c r="BH3" i="8"/>
  <c r="BH7" i="8"/>
  <c r="BH11" i="10"/>
  <c r="BI18" i="10"/>
  <c r="BI2" i="10"/>
  <c r="BI8" i="10"/>
  <c r="BI25" i="8" s="1"/>
  <c r="BI6" i="10"/>
  <c r="BJ4" i="10"/>
  <c r="BI9" i="10"/>
  <c r="BI10" i="10" s="1"/>
  <c r="BI7" i="10"/>
  <c r="BI3" i="10"/>
  <c r="BJ16" i="12"/>
  <c r="BJ30" i="8" s="1"/>
  <c r="BJ22" i="12"/>
  <c r="BK4" i="12"/>
  <c r="BJ3" i="12"/>
  <c r="BH8" i="9"/>
  <c r="BH7" i="9"/>
  <c r="BI4" i="9"/>
  <c r="BH3" i="9"/>
  <c r="BH13" i="9"/>
  <c r="BH23" i="8" s="1"/>
  <c r="BH51" i="8" s="1"/>
  <c r="BH16" i="10"/>
  <c r="BH24" i="8"/>
  <c r="BH52" i="8" s="1"/>
  <c r="BC50" i="4"/>
  <c r="BC44" i="4"/>
  <c r="BC32" i="4"/>
  <c r="BC38" i="4"/>
  <c r="BC26" i="4"/>
  <c r="BG8" i="5" s="1"/>
  <c r="BG59" i="13"/>
  <c r="BH34" i="11" l="1"/>
  <c r="BH46" i="11" s="1"/>
  <c r="BH27" i="11"/>
  <c r="BG64" i="13"/>
  <c r="BH45" i="11"/>
  <c r="BH13" i="8"/>
  <c r="BG6" i="13"/>
  <c r="BG26" i="13" s="1"/>
  <c r="BG61" i="13" s="1"/>
  <c r="BI33" i="11"/>
  <c r="BI45" i="11" s="1"/>
  <c r="BF6" i="13"/>
  <c r="BF26" i="13" s="1"/>
  <c r="BH22" i="11"/>
  <c r="BH23" i="11" s="1"/>
  <c r="BG46" i="11"/>
  <c r="BG28" i="8"/>
  <c r="BG45" i="11"/>
  <c r="BG13" i="8"/>
  <c r="BE61" i="13"/>
  <c r="BE60" i="13"/>
  <c r="BE74" i="13" s="1"/>
  <c r="BE69" i="13"/>
  <c r="BG43" i="8"/>
  <c r="BG44" i="8" s="1"/>
  <c r="BE5" i="13"/>
  <c r="BE25" i="13" s="1"/>
  <c r="BG28" i="11"/>
  <c r="BH28" i="11" s="1"/>
  <c r="BI28" i="11" s="1"/>
  <c r="BJ9" i="11"/>
  <c r="BK6" i="11" s="1"/>
  <c r="BK8" i="11" s="1"/>
  <c r="BK12" i="11" s="1"/>
  <c r="BI7" i="13" s="1"/>
  <c r="BI27" i="13" s="1"/>
  <c r="BH43" i="8"/>
  <c r="BF5" i="13"/>
  <c r="BF25" i="13" s="1"/>
  <c r="BH28" i="8"/>
  <c r="BI22" i="11"/>
  <c r="BI34" i="11"/>
  <c r="BI28" i="8" s="1"/>
  <c r="BG5" i="13"/>
  <c r="BG25" i="13" s="1"/>
  <c r="BG58" i="13" s="1"/>
  <c r="BI43" i="8"/>
  <c r="BD50" i="4"/>
  <c r="BD44" i="4"/>
  <c r="BD32" i="4"/>
  <c r="BD38" i="4"/>
  <c r="BD26" i="4"/>
  <c r="BH8" i="5" s="1"/>
  <c r="BJ3" i="13"/>
  <c r="BL17" i="11"/>
  <c r="BL3" i="11"/>
  <c r="BL19" i="11"/>
  <c r="BL15" i="11"/>
  <c r="BL7" i="11"/>
  <c r="BL11" i="11" s="1"/>
  <c r="BL18" i="11"/>
  <c r="BL2" i="11"/>
  <c r="BM4" i="11"/>
  <c r="BJ4" i="8"/>
  <c r="BI3" i="8"/>
  <c r="BI7" i="8"/>
  <c r="BH64" i="13"/>
  <c r="BH63" i="13"/>
  <c r="BH73" i="13" s="1"/>
  <c r="BH71" i="13"/>
  <c r="BG14" i="9"/>
  <c r="BG22" i="8"/>
  <c r="BK42" i="11"/>
  <c r="BK27" i="8" s="1"/>
  <c r="BK41" i="11"/>
  <c r="BK12" i="8" s="1"/>
  <c r="BI7" i="9"/>
  <c r="BJ4" i="9"/>
  <c r="BI13" i="9"/>
  <c r="BI23" i="8" s="1"/>
  <c r="BI51" i="8" s="1"/>
  <c r="BI3" i="9"/>
  <c r="BI8" i="9"/>
  <c r="BI16" i="10"/>
  <c r="BI24" i="8"/>
  <c r="BI52" i="8" s="1"/>
  <c r="BH62" i="13"/>
  <c r="BH70" i="13" s="1"/>
  <c r="BH59" i="13"/>
  <c r="BK16" i="11"/>
  <c r="BK20" i="11" s="1"/>
  <c r="BK38" i="11"/>
  <c r="BK26" i="8" s="1"/>
  <c r="BK37" i="11"/>
  <c r="BK11" i="8" s="1"/>
  <c r="BH9" i="9"/>
  <c r="BH8" i="8"/>
  <c r="BI16" i="5"/>
  <c r="BI12" i="5"/>
  <c r="BI15" i="5"/>
  <c r="BI11" i="5"/>
  <c r="BJ4" i="5"/>
  <c r="BI14" i="5"/>
  <c r="BI10" i="5"/>
  <c r="BI3" i="5"/>
  <c r="BI13" i="5"/>
  <c r="BI9" i="5"/>
  <c r="BF50" i="8"/>
  <c r="BF53" i="8" s="1"/>
  <c r="BH12" i="9"/>
  <c r="BH9" i="8"/>
  <c r="BJ18" i="10"/>
  <c r="BJ7" i="10"/>
  <c r="BJ2" i="10"/>
  <c r="BJ8" i="10"/>
  <c r="BJ25" i="8" s="1"/>
  <c r="BJ6" i="10"/>
  <c r="BK4" i="10"/>
  <c r="BJ9" i="10"/>
  <c r="BJ10" i="10" s="1"/>
  <c r="BJ3" i="10"/>
  <c r="BH65" i="13"/>
  <c r="BH12" i="10"/>
  <c r="BI11" i="10"/>
  <c r="BJ13" i="11"/>
  <c r="BI38" i="13"/>
  <c r="BI32" i="13"/>
  <c r="BI50" i="13"/>
  <c r="BI51" i="13"/>
  <c r="BI33" i="13"/>
  <c r="BI39" i="13"/>
  <c r="BI43" i="13"/>
  <c r="BI44" i="13"/>
  <c r="BI49" i="13"/>
  <c r="BI45" i="13"/>
  <c r="BI37" i="13"/>
  <c r="BI31" i="13"/>
  <c r="BI19" i="10"/>
  <c r="BI10" i="8"/>
  <c r="BK16" i="12"/>
  <c r="BK30" i="8" s="1"/>
  <c r="BK22" i="12"/>
  <c r="BL4" i="12"/>
  <c r="BK3" i="12"/>
  <c r="BH37" i="8"/>
  <c r="BH38" i="8" s="1"/>
  <c r="BI23" i="11" l="1"/>
  <c r="BI13" i="8"/>
  <c r="BG69" i="13"/>
  <c r="BG60" i="13"/>
  <c r="BG74" i="13" s="1"/>
  <c r="BI46" i="11"/>
  <c r="BF61" i="13"/>
  <c r="BF60" i="13"/>
  <c r="BF74" i="13" s="1"/>
  <c r="BF69" i="13"/>
  <c r="BH44" i="8"/>
  <c r="BI44" i="8" s="1"/>
  <c r="BE58" i="13"/>
  <c r="BE56" i="13"/>
  <c r="BE57" i="13"/>
  <c r="BE72" i="13" s="1"/>
  <c r="BE55" i="13"/>
  <c r="BF55" i="13"/>
  <c r="BF58" i="13"/>
  <c r="BF57" i="13"/>
  <c r="BF72" i="13" s="1"/>
  <c r="BF56" i="13"/>
  <c r="BG55" i="13"/>
  <c r="BG56" i="13"/>
  <c r="BG57" i="13"/>
  <c r="BG72" i="13" s="1"/>
  <c r="BI62" i="13"/>
  <c r="BI70" i="13" s="1"/>
  <c r="BH6" i="13"/>
  <c r="BH26" i="13" s="1"/>
  <c r="BJ33" i="11"/>
  <c r="BJ34" i="11"/>
  <c r="BJ22" i="11"/>
  <c r="BJ16" i="10"/>
  <c r="BJ24" i="8"/>
  <c r="BJ52" i="8" s="1"/>
  <c r="BL16" i="11"/>
  <c r="BL20" i="11" s="1"/>
  <c r="BI64" i="13"/>
  <c r="BI63" i="13"/>
  <c r="BI73" i="13" s="1"/>
  <c r="BI71" i="13"/>
  <c r="BI9" i="8"/>
  <c r="BI12" i="9"/>
  <c r="BI65" i="13"/>
  <c r="BJ19" i="10"/>
  <c r="BJ10" i="8"/>
  <c r="BJ8" i="9"/>
  <c r="BJ7" i="9"/>
  <c r="BK4" i="9"/>
  <c r="BJ3" i="9"/>
  <c r="BJ13" i="9"/>
  <c r="BJ23" i="8" s="1"/>
  <c r="BJ51" i="8" s="1"/>
  <c r="BL42" i="11"/>
  <c r="BL27" i="8" s="1"/>
  <c r="BL41" i="11"/>
  <c r="BL12" i="8" s="1"/>
  <c r="BJ16" i="5"/>
  <c r="BJ12" i="5"/>
  <c r="BJ15" i="5"/>
  <c r="BJ11" i="5"/>
  <c r="BK4" i="5"/>
  <c r="BJ14" i="5"/>
  <c r="BJ10" i="5"/>
  <c r="BJ3" i="5"/>
  <c r="BJ13" i="5"/>
  <c r="BI9" i="9"/>
  <c r="BI8" i="8"/>
  <c r="BH14" i="9"/>
  <c r="BH22" i="8"/>
  <c r="BK4" i="8"/>
  <c r="BJ3" i="8"/>
  <c r="BJ7" i="8"/>
  <c r="BL37" i="11"/>
  <c r="BL11" i="8" s="1"/>
  <c r="BL38" i="11"/>
  <c r="BL26" i="8" s="1"/>
  <c r="BI37" i="8"/>
  <c r="BI38" i="8" s="1"/>
  <c r="BI59" i="13"/>
  <c r="BI12" i="10"/>
  <c r="BJ50" i="13"/>
  <c r="BJ43" i="13"/>
  <c r="BJ44" i="13"/>
  <c r="BJ51" i="13"/>
  <c r="BJ33" i="13"/>
  <c r="BJ37" i="13"/>
  <c r="BJ31" i="13"/>
  <c r="BJ38" i="13"/>
  <c r="BJ32" i="13"/>
  <c r="BJ45" i="13"/>
  <c r="BJ39" i="13"/>
  <c r="BJ49" i="13"/>
  <c r="BK9" i="11"/>
  <c r="BL6" i="11" s="1"/>
  <c r="BK13" i="11"/>
  <c r="BE26" i="4"/>
  <c r="BI8" i="5" s="1"/>
  <c r="BE38" i="4"/>
  <c r="BE44" i="4"/>
  <c r="BE32" i="4"/>
  <c r="BE50" i="4"/>
  <c r="BJ27" i="11"/>
  <c r="BK9" i="10"/>
  <c r="BK10" i="10" s="1"/>
  <c r="BK8" i="10"/>
  <c r="BK25" i="8" s="1"/>
  <c r="BK6" i="10"/>
  <c r="BL4" i="10"/>
  <c r="BK18" i="10"/>
  <c r="BK3" i="10"/>
  <c r="BK7" i="10"/>
  <c r="BK2" i="10"/>
  <c r="BG50" i="8"/>
  <c r="BG53" i="8" s="1"/>
  <c r="BK3" i="13"/>
  <c r="BM19" i="11"/>
  <c r="BM18" i="11"/>
  <c r="BM17" i="11"/>
  <c r="BM3" i="11"/>
  <c r="BM15" i="11"/>
  <c r="BM7" i="11"/>
  <c r="BM11" i="11" s="1"/>
  <c r="BM2" i="11"/>
  <c r="BN4" i="11"/>
  <c r="BL16" i="12"/>
  <c r="BL30" i="8" s="1"/>
  <c r="BL22" i="12"/>
  <c r="BM4" i="12"/>
  <c r="BL3" i="12"/>
  <c r="BJ11" i="10"/>
  <c r="BJ65" i="13" l="1"/>
  <c r="BK37" i="13"/>
  <c r="BK38" i="13"/>
  <c r="BK43" i="13"/>
  <c r="BK33" i="13"/>
  <c r="BK32" i="13"/>
  <c r="BK44" i="13"/>
  <c r="BK45" i="13"/>
  <c r="BK50" i="13"/>
  <c r="BK51" i="13"/>
  <c r="BK31" i="13"/>
  <c r="BK39" i="13"/>
  <c r="BK49" i="13"/>
  <c r="BK15" i="5"/>
  <c r="BK11" i="5"/>
  <c r="BL4" i="5"/>
  <c r="BK14" i="5"/>
  <c r="BK10" i="5"/>
  <c r="BK3" i="5"/>
  <c r="BK13" i="5"/>
  <c r="BK16" i="5"/>
  <c r="BK12" i="5"/>
  <c r="BK8" i="9"/>
  <c r="BL4" i="9"/>
  <c r="BK3" i="9"/>
  <c r="BK13" i="9"/>
  <c r="BK23" i="8" s="1"/>
  <c r="BK51" i="8" s="1"/>
  <c r="BK7" i="9"/>
  <c r="BJ59" i="13"/>
  <c r="BK3" i="8"/>
  <c r="BK7" i="8"/>
  <c r="BL4" i="8"/>
  <c r="BJ9" i="9"/>
  <c r="BJ8" i="8"/>
  <c r="BH5" i="13"/>
  <c r="BH25" i="13" s="1"/>
  <c r="BJ28" i="11"/>
  <c r="BJ43" i="8"/>
  <c r="BJ44" i="8" s="1"/>
  <c r="BJ37" i="8"/>
  <c r="BJ38" i="8" s="1"/>
  <c r="BI6" i="13"/>
  <c r="BI26" i="13" s="1"/>
  <c r="BK33" i="11"/>
  <c r="BK34" i="11"/>
  <c r="BK22" i="11"/>
  <c r="BH50" i="8"/>
  <c r="BH53" i="8" s="1"/>
  <c r="BJ12" i="9"/>
  <c r="BJ9" i="8"/>
  <c r="BF44" i="4"/>
  <c r="BF32" i="4"/>
  <c r="BF50" i="4"/>
  <c r="BF26" i="4"/>
  <c r="BJ8" i="5" s="1"/>
  <c r="BF38" i="4"/>
  <c r="BM16" i="11"/>
  <c r="BM20" i="11" s="1"/>
  <c r="BK19" i="10"/>
  <c r="BK10" i="8"/>
  <c r="BJ12" i="10"/>
  <c r="BJ23" i="11"/>
  <c r="BK16" i="10"/>
  <c r="BK24" i="8"/>
  <c r="BK52" i="8" s="1"/>
  <c r="BJ46" i="11"/>
  <c r="BJ28" i="8"/>
  <c r="BJ62" i="13"/>
  <c r="BJ70" i="13" s="1"/>
  <c r="J58" i="14" s="1"/>
  <c r="BL3" i="13"/>
  <c r="BN7" i="11"/>
  <c r="BN11" i="11" s="1"/>
  <c r="BN15" i="11"/>
  <c r="BN19" i="11"/>
  <c r="BN18" i="11"/>
  <c r="BN3" i="11"/>
  <c r="BN2" i="11"/>
  <c r="BN17" i="11"/>
  <c r="BO4" i="11"/>
  <c r="BM22" i="12"/>
  <c r="BM16" i="12"/>
  <c r="BM30" i="8" s="1"/>
  <c r="BM3" i="12"/>
  <c r="BN4" i="12"/>
  <c r="BL8" i="11"/>
  <c r="BK11" i="10"/>
  <c r="BJ45" i="11"/>
  <c r="BJ13" i="8"/>
  <c r="BL6" i="10"/>
  <c r="BL8" i="10"/>
  <c r="BL25" i="8" s="1"/>
  <c r="BM4" i="10"/>
  <c r="BL18" i="10"/>
  <c r="BL9" i="10"/>
  <c r="BL10" i="10" s="1"/>
  <c r="BL3" i="10"/>
  <c r="BL7" i="10"/>
  <c r="BL2" i="10"/>
  <c r="BI14" i="9"/>
  <c r="BI22" i="8"/>
  <c r="BH60" i="13"/>
  <c r="BH74" i="13" s="1"/>
  <c r="BH61" i="13"/>
  <c r="BH69" i="13"/>
  <c r="BM38" i="11"/>
  <c r="BM26" i="8" s="1"/>
  <c r="BM37" i="11"/>
  <c r="BM11" i="8" s="1"/>
  <c r="BM41" i="11"/>
  <c r="BM12" i="8" s="1"/>
  <c r="BM42" i="11"/>
  <c r="BM27" i="8" s="1"/>
  <c r="BK27" i="11"/>
  <c r="BI61" i="13" l="1"/>
  <c r="BI60" i="13"/>
  <c r="BI74" i="13" s="1"/>
  <c r="BI69" i="13"/>
  <c r="BK12" i="9"/>
  <c r="BK9" i="8"/>
  <c r="BL7" i="8"/>
  <c r="BL3" i="8"/>
  <c r="BM4" i="8"/>
  <c r="BN42" i="11"/>
  <c r="BN27" i="8" s="1"/>
  <c r="BN41" i="11"/>
  <c r="BN12" i="8" s="1"/>
  <c r="BK65" i="13"/>
  <c r="BN22" i="12"/>
  <c r="BO4" i="12"/>
  <c r="BN3" i="12"/>
  <c r="BN16" i="12"/>
  <c r="BN30" i="8" s="1"/>
  <c r="BK59" i="13"/>
  <c r="BH58" i="13"/>
  <c r="BH57" i="13"/>
  <c r="BH72" i="13" s="1"/>
  <c r="BH56" i="13"/>
  <c r="BH55" i="13"/>
  <c r="BK45" i="11"/>
  <c r="BK13" i="8"/>
  <c r="BI50" i="8"/>
  <c r="BI53" i="8" s="1"/>
  <c r="BL19" i="10"/>
  <c r="BL10" i="8"/>
  <c r="BL11" i="10"/>
  <c r="BN16" i="11"/>
  <c r="BN20" i="11" s="1"/>
  <c r="BL38" i="13"/>
  <c r="BL45" i="13"/>
  <c r="BL39" i="13"/>
  <c r="BL50" i="13"/>
  <c r="BL37" i="13"/>
  <c r="BL31" i="13"/>
  <c r="BL43" i="13"/>
  <c r="BL51" i="13"/>
  <c r="BL44" i="13"/>
  <c r="BL49" i="13"/>
  <c r="BL33" i="13"/>
  <c r="BL32" i="13"/>
  <c r="BK9" i="9"/>
  <c r="BK8" i="8"/>
  <c r="BK23" i="11"/>
  <c r="BN37" i="11"/>
  <c r="BN11" i="8" s="1"/>
  <c r="BN38" i="11"/>
  <c r="BN26" i="8" s="1"/>
  <c r="BK37" i="8"/>
  <c r="BK38" i="8" s="1"/>
  <c r="BK46" i="11"/>
  <c r="BK28" i="8"/>
  <c r="BM8" i="10"/>
  <c r="BM25" i="8" s="1"/>
  <c r="BN4" i="10"/>
  <c r="BM6" i="10"/>
  <c r="BM18" i="10"/>
  <c r="BM9" i="10"/>
  <c r="BM10" i="10" s="1"/>
  <c r="BM3" i="10"/>
  <c r="BM7" i="10"/>
  <c r="BM2" i="10"/>
  <c r="K58" i="14"/>
  <c r="L58" i="14" s="1"/>
  <c r="BJ14" i="9"/>
  <c r="BJ22" i="8"/>
  <c r="BL12" i="11"/>
  <c r="BK12" i="10"/>
  <c r="BL15" i="5"/>
  <c r="BL11" i="5"/>
  <c r="BM4" i="5"/>
  <c r="BL14" i="5"/>
  <c r="BL10" i="5"/>
  <c r="BL3" i="5"/>
  <c r="BL13" i="5"/>
  <c r="BL16" i="5"/>
  <c r="BL12" i="5"/>
  <c r="BK62" i="13"/>
  <c r="BK70" i="13" s="1"/>
  <c r="BI5" i="13"/>
  <c r="BI25" i="13" s="1"/>
  <c r="BK28" i="11"/>
  <c r="BK43" i="8"/>
  <c r="BK44" i="8" s="1"/>
  <c r="BL16" i="10"/>
  <c r="BL24" i="8"/>
  <c r="BL52" i="8" s="1"/>
  <c r="BL9" i="11"/>
  <c r="BM6" i="11" s="1"/>
  <c r="BM3" i="13"/>
  <c r="BO7" i="11"/>
  <c r="BO11" i="11" s="1"/>
  <c r="BO15" i="11"/>
  <c r="BO19" i="11"/>
  <c r="BO18" i="11"/>
  <c r="BO17" i="11"/>
  <c r="BO2" i="11"/>
  <c r="BP4" i="11"/>
  <c r="BO3" i="11"/>
  <c r="BG44" i="4"/>
  <c r="BG32" i="4"/>
  <c r="BG50" i="4"/>
  <c r="BG38" i="4"/>
  <c r="BG26" i="4"/>
  <c r="BK8" i="5" s="1"/>
  <c r="BL8" i="9"/>
  <c r="BL7" i="9"/>
  <c r="BL3" i="9"/>
  <c r="BL13" i="9"/>
  <c r="BL23" i="8" s="1"/>
  <c r="BL51" i="8" s="1"/>
  <c r="BM4" i="9"/>
  <c r="BL12" i="10" l="1"/>
  <c r="M58" i="14"/>
  <c r="BN3" i="13"/>
  <c r="BP15" i="11"/>
  <c r="BP18" i="11"/>
  <c r="BP17" i="11"/>
  <c r="BP19" i="11"/>
  <c r="BP7" i="11"/>
  <c r="BP11" i="11" s="1"/>
  <c r="BP2" i="11"/>
  <c r="BQ4" i="11"/>
  <c r="BP3" i="11"/>
  <c r="BO22" i="12"/>
  <c r="BP4" i="12"/>
  <c r="BO16" i="12"/>
  <c r="BO30" i="8" s="1"/>
  <c r="BO3" i="12"/>
  <c r="BL12" i="9"/>
  <c r="BL9" i="8"/>
  <c r="BL9" i="9"/>
  <c r="BL8" i="8"/>
  <c r="BM24" i="8"/>
  <c r="BM52" i="8" s="1"/>
  <c r="BM16" i="10"/>
  <c r="BK14" i="9"/>
  <c r="BK22" i="8"/>
  <c r="BM15" i="5"/>
  <c r="BM11" i="5"/>
  <c r="BN4" i="5"/>
  <c r="BM14" i="5"/>
  <c r="BM10" i="5"/>
  <c r="BM3" i="5"/>
  <c r="BM13" i="5"/>
  <c r="BM16" i="5"/>
  <c r="BM12" i="5"/>
  <c r="BI58" i="13"/>
  <c r="BI57" i="13"/>
  <c r="BI72" i="13" s="1"/>
  <c r="BI56" i="13"/>
  <c r="BI55" i="13"/>
  <c r="BO42" i="11"/>
  <c r="BO27" i="8" s="1"/>
  <c r="BO41" i="11"/>
  <c r="BO12" i="8" s="1"/>
  <c r="BM19" i="10"/>
  <c r="BM10" i="8"/>
  <c r="BH50" i="4"/>
  <c r="BH44" i="4"/>
  <c r="BH32" i="4"/>
  <c r="BH38" i="4"/>
  <c r="BH26" i="4"/>
  <c r="BL8" i="5" s="1"/>
  <c r="BO16" i="11"/>
  <c r="BO20" i="11" s="1"/>
  <c r="BM11" i="10"/>
  <c r="BM12" i="10" s="1"/>
  <c r="BJ7" i="13"/>
  <c r="BJ27" i="13" s="1"/>
  <c r="BL13" i="11"/>
  <c r="BO4" i="10"/>
  <c r="BN18" i="10"/>
  <c r="BN9" i="10"/>
  <c r="BN10" i="10" s="1"/>
  <c r="BN3" i="10"/>
  <c r="BN7" i="10"/>
  <c r="BN2" i="10"/>
  <c r="BN8" i="10"/>
  <c r="BN25" i="8" s="1"/>
  <c r="BN6" i="10"/>
  <c r="BO38" i="11"/>
  <c r="BO26" i="8" s="1"/>
  <c r="BO37" i="11"/>
  <c r="BO11" i="8" s="1"/>
  <c r="BM39" i="13"/>
  <c r="BM38" i="13"/>
  <c r="BM31" i="13"/>
  <c r="BM32" i="13"/>
  <c r="BM37" i="13"/>
  <c r="BM50" i="13"/>
  <c r="BM51" i="13"/>
  <c r="BM49" i="13"/>
  <c r="BM33" i="13"/>
  <c r="BM44" i="13"/>
  <c r="BM45" i="13"/>
  <c r="BM43" i="13"/>
  <c r="BJ50" i="8"/>
  <c r="BJ53" i="8" s="1"/>
  <c r="BL37" i="8"/>
  <c r="BL38" i="8" s="1"/>
  <c r="BM7" i="9"/>
  <c r="BN4" i="9"/>
  <c r="BM3" i="9"/>
  <c r="BM13" i="9"/>
  <c r="BM23" i="8" s="1"/>
  <c r="BM51" i="8" s="1"/>
  <c r="BM8" i="9"/>
  <c r="BM8" i="11"/>
  <c r="BL59" i="13"/>
  <c r="BL62" i="13"/>
  <c r="BL70" i="13" s="1"/>
  <c r="BL65" i="13"/>
  <c r="BM7" i="8"/>
  <c r="BN4" i="8"/>
  <c r="BM3" i="8"/>
  <c r="BM59" i="13" l="1"/>
  <c r="BM9" i="9"/>
  <c r="BM8" i="8"/>
  <c r="BN19" i="10"/>
  <c r="BN10" i="8"/>
  <c r="BO3" i="10"/>
  <c r="BO18" i="10"/>
  <c r="BP4" i="10"/>
  <c r="BO9" i="10"/>
  <c r="BO10" i="10" s="1"/>
  <c r="BO7" i="10"/>
  <c r="BO2" i="10"/>
  <c r="BO8" i="10"/>
  <c r="BO25" i="8" s="1"/>
  <c r="BO6" i="10"/>
  <c r="BP42" i="11"/>
  <c r="BP27" i="8" s="1"/>
  <c r="BP41" i="11"/>
  <c r="BP12" i="8" s="1"/>
  <c r="BP22" i="12"/>
  <c r="BP16" i="12"/>
  <c r="BP30" i="8" s="1"/>
  <c r="BQ4" i="12"/>
  <c r="BP3" i="12"/>
  <c r="BO4" i="8"/>
  <c r="BN3" i="8"/>
  <c r="BN7" i="8"/>
  <c r="BJ64" i="13"/>
  <c r="BJ63" i="13"/>
  <c r="BJ73" i="13" s="1"/>
  <c r="G84" i="13" s="1"/>
  <c r="G85" i="13" s="1"/>
  <c r="BJ71" i="13"/>
  <c r="BP37" i="11"/>
  <c r="BP11" i="8" s="1"/>
  <c r="BP38" i="11"/>
  <c r="BP26" i="8" s="1"/>
  <c r="BO3" i="13"/>
  <c r="BQ18" i="11"/>
  <c r="BQ17" i="11"/>
  <c r="BQ19" i="11"/>
  <c r="BQ7" i="11"/>
  <c r="BQ11" i="11" s="1"/>
  <c r="BQ2" i="11"/>
  <c r="BQ15" i="11"/>
  <c r="BR4" i="11"/>
  <c r="BQ3" i="11"/>
  <c r="BP16" i="11"/>
  <c r="BP20" i="11" s="1"/>
  <c r="BN7" i="9"/>
  <c r="BO4" i="9"/>
  <c r="BN13" i="9"/>
  <c r="BN23" i="8" s="1"/>
  <c r="BN51" i="8" s="1"/>
  <c r="BN3" i="9"/>
  <c r="BN8" i="9"/>
  <c r="BM37" i="8"/>
  <c r="BM38" i="8" s="1"/>
  <c r="BN33" i="13"/>
  <c r="BN43" i="13"/>
  <c r="BN44" i="13"/>
  <c r="BN37" i="13"/>
  <c r="BN32" i="13"/>
  <c r="BN45" i="13"/>
  <c r="BN38" i="13"/>
  <c r="BN50" i="13"/>
  <c r="BN39" i="13"/>
  <c r="BN51" i="13"/>
  <c r="BN31" i="13"/>
  <c r="BN49" i="13"/>
  <c r="BJ6" i="13"/>
  <c r="BJ26" i="13" s="1"/>
  <c r="BL34" i="11"/>
  <c r="BL33" i="11"/>
  <c r="BL22" i="11"/>
  <c r="BL27" i="11"/>
  <c r="BM12" i="11"/>
  <c r="BM9" i="11"/>
  <c r="BN6" i="11" s="1"/>
  <c r="BI50" i="4"/>
  <c r="BI38" i="4"/>
  <c r="BI26" i="4"/>
  <c r="BM8" i="5" s="1"/>
  <c r="BI44" i="4"/>
  <c r="BI32" i="4"/>
  <c r="BN11" i="10"/>
  <c r="BN12" i="10" s="1"/>
  <c r="BN16" i="10"/>
  <c r="BN24" i="8"/>
  <c r="BN52" i="8" s="1"/>
  <c r="BM65" i="13"/>
  <c r="BK50" i="8"/>
  <c r="BK53" i="8" s="1"/>
  <c r="BM62" i="13"/>
  <c r="BM70" i="13" s="1"/>
  <c r="BO4" i="5"/>
  <c r="BN14" i="5"/>
  <c r="BN10" i="5"/>
  <c r="BN3" i="5"/>
  <c r="BN13" i="5"/>
  <c r="BN16" i="5"/>
  <c r="BN12" i="5"/>
  <c r="BN15" i="5"/>
  <c r="BN11" i="5"/>
  <c r="BM12" i="9"/>
  <c r="BM9" i="8"/>
  <c r="BL14" i="9"/>
  <c r="BL22" i="8"/>
  <c r="BN65" i="13" l="1"/>
  <c r="BN59" i="13"/>
  <c r="BJ5" i="13"/>
  <c r="BJ25" i="13" s="1"/>
  <c r="BL28" i="11"/>
  <c r="BL43" i="8"/>
  <c r="BL44" i="8" s="1"/>
  <c r="BQ16" i="11"/>
  <c r="BQ20" i="11" s="1"/>
  <c r="BJ61" i="13"/>
  <c r="BJ69" i="13"/>
  <c r="BJ60" i="13"/>
  <c r="BJ74" i="13" s="1"/>
  <c r="B58" i="14" s="1"/>
  <c r="BO11" i="10"/>
  <c r="BO14" i="5"/>
  <c r="BO10" i="5"/>
  <c r="BO3" i="5"/>
  <c r="BO13" i="5"/>
  <c r="BO16" i="5"/>
  <c r="BO12" i="5"/>
  <c r="BP4" i="5"/>
  <c r="BO11" i="5"/>
  <c r="BO15" i="5"/>
  <c r="BN62" i="13"/>
  <c r="BN70" i="13" s="1"/>
  <c r="BN12" i="9"/>
  <c r="BN9" i="8"/>
  <c r="BO3" i="8"/>
  <c r="BO7" i="8"/>
  <c r="BP4" i="8"/>
  <c r="BL45" i="11"/>
  <c r="BL13" i="8"/>
  <c r="BQ42" i="11"/>
  <c r="BQ27" i="8" s="1"/>
  <c r="BQ41" i="11"/>
  <c r="BQ12" i="8" s="1"/>
  <c r="BL23" i="11"/>
  <c r="BO16" i="10"/>
  <c r="BO24" i="8"/>
  <c r="BO52" i="8" s="1"/>
  <c r="BN8" i="11"/>
  <c r="BN9" i="11" s="1"/>
  <c r="BO6" i="11" s="1"/>
  <c r="BP4" i="9"/>
  <c r="BO3" i="9"/>
  <c r="BO8" i="9"/>
  <c r="BO13" i="9"/>
  <c r="BO23" i="8" s="1"/>
  <c r="BO51" i="8" s="1"/>
  <c r="BO7" i="9"/>
  <c r="BQ37" i="11"/>
  <c r="BQ11" i="8" s="1"/>
  <c r="BQ38" i="11"/>
  <c r="BQ26" i="8" s="1"/>
  <c r="BL46" i="11"/>
  <c r="BL28" i="8"/>
  <c r="BN9" i="9"/>
  <c r="BN8" i="8"/>
  <c r="BO31" i="13"/>
  <c r="BO50" i="13"/>
  <c r="BO38" i="13"/>
  <c r="BO51" i="13"/>
  <c r="BO39" i="13"/>
  <c r="BO49" i="13"/>
  <c r="BO37" i="13"/>
  <c r="BO33" i="13"/>
  <c r="BO44" i="13"/>
  <c r="BO43" i="13"/>
  <c r="BO45" i="13"/>
  <c r="BO32" i="13"/>
  <c r="BP2" i="10"/>
  <c r="BP18" i="10"/>
  <c r="BQ4" i="10"/>
  <c r="BP9" i="10"/>
  <c r="BP10" i="10" s="1"/>
  <c r="BP3" i="10"/>
  <c r="BP7" i="10"/>
  <c r="BP8" i="10"/>
  <c r="BP25" i="8" s="1"/>
  <c r="BP6" i="10"/>
  <c r="BM14" i="9"/>
  <c r="BM22" i="8"/>
  <c r="BN37" i="8"/>
  <c r="BN38" i="8" s="1"/>
  <c r="BJ50" i="4"/>
  <c r="BJ38" i="4"/>
  <c r="BJ26" i="4"/>
  <c r="BN8" i="5" s="1"/>
  <c r="BJ44" i="4"/>
  <c r="BJ32" i="4"/>
  <c r="BQ16" i="12"/>
  <c r="BQ30" i="8" s="1"/>
  <c r="BQ3" i="12"/>
  <c r="BQ22" i="12"/>
  <c r="BR4" i="12"/>
  <c r="BO19" i="10"/>
  <c r="BO10" i="8"/>
  <c r="B73" i="14"/>
  <c r="G105" i="13"/>
  <c r="B105" i="13"/>
  <c r="G86" i="13"/>
  <c r="D73" i="14" s="1"/>
  <c r="BP3" i="13"/>
  <c r="BR19" i="11"/>
  <c r="BR17" i="11"/>
  <c r="BR7" i="11"/>
  <c r="BR11" i="11" s="1"/>
  <c r="BR2" i="11"/>
  <c r="BR15" i="11"/>
  <c r="BS4" i="11"/>
  <c r="BR18" i="11"/>
  <c r="BR3" i="11"/>
  <c r="BL50" i="8"/>
  <c r="BL53" i="8" s="1"/>
  <c r="BK7" i="13"/>
  <c r="BK27" i="13" s="1"/>
  <c r="BM13" i="11"/>
  <c r="BO9" i="9" l="1"/>
  <c r="BO8" i="8"/>
  <c r="BN14" i="9"/>
  <c r="BN22" i="8"/>
  <c r="BP11" i="10"/>
  <c r="BO12" i="9"/>
  <c r="BO9" i="8"/>
  <c r="BO37" i="8"/>
  <c r="BO38" i="8" s="1"/>
  <c r="BP16" i="10"/>
  <c r="BP24" i="8"/>
  <c r="BP52" i="8" s="1"/>
  <c r="BO65" i="13"/>
  <c r="BP3" i="9"/>
  <c r="BP13" i="9"/>
  <c r="BP23" i="8" s="1"/>
  <c r="BP51" i="8" s="1"/>
  <c r="BP8" i="9"/>
  <c r="BQ4" i="9"/>
  <c r="BP7" i="9"/>
  <c r="BK6" i="13"/>
  <c r="BK26" i="13" s="1"/>
  <c r="BM34" i="11"/>
  <c r="BM33" i="11"/>
  <c r="BM22" i="11"/>
  <c r="BM27" i="11"/>
  <c r="BR16" i="12"/>
  <c r="BR30" i="8" s="1"/>
  <c r="BR3" i="12"/>
  <c r="BR22" i="12"/>
  <c r="BS4" i="12"/>
  <c r="BO59" i="13"/>
  <c r="BN12" i="11"/>
  <c r="C58" i="14"/>
  <c r="G107" i="13"/>
  <c r="G133" i="13" s="1"/>
  <c r="BO8" i="11"/>
  <c r="BP14" i="5"/>
  <c r="BP10" i="5"/>
  <c r="BP3" i="5"/>
  <c r="BP13" i="5"/>
  <c r="BP16" i="5"/>
  <c r="BP12" i="5"/>
  <c r="BP15" i="5"/>
  <c r="BQ4" i="5"/>
  <c r="BJ58" i="13"/>
  <c r="BJ57" i="13"/>
  <c r="BJ56" i="13"/>
  <c r="O58" i="14" s="1"/>
  <c r="BJ55" i="13"/>
  <c r="N58" i="14" s="1"/>
  <c r="BR42" i="11"/>
  <c r="BR27" i="8" s="1"/>
  <c r="BR41" i="11"/>
  <c r="BR12" i="8" s="1"/>
  <c r="BQ18" i="10"/>
  <c r="BQ9" i="10"/>
  <c r="BQ10" i="10" s="1"/>
  <c r="BQ3" i="10"/>
  <c r="BQ7" i="10"/>
  <c r="BQ2" i="10"/>
  <c r="BQ8" i="10"/>
  <c r="BQ25" i="8" s="1"/>
  <c r="BQ6" i="10"/>
  <c r="BR4" i="10"/>
  <c r="G106" i="13"/>
  <c r="G132" i="13" s="1"/>
  <c r="G108" i="13"/>
  <c r="G131" i="13"/>
  <c r="BK64" i="13"/>
  <c r="BK63" i="13"/>
  <c r="BK73" i="13" s="1"/>
  <c r="BK71" i="13"/>
  <c r="BK50" i="4"/>
  <c r="BK38" i="4"/>
  <c r="BK26" i="4"/>
  <c r="BO8" i="5" s="1"/>
  <c r="BK32" i="4"/>
  <c r="BK44" i="4"/>
  <c r="BR38" i="11"/>
  <c r="BR26" i="8" s="1"/>
  <c r="BR37" i="11"/>
  <c r="BR11" i="8" s="1"/>
  <c r="BP19" i="10"/>
  <c r="BP10" i="8"/>
  <c r="BP3" i="8"/>
  <c r="BP7" i="8"/>
  <c r="BQ4" i="8"/>
  <c r="BO12" i="10"/>
  <c r="BP12" i="10" s="1"/>
  <c r="BM50" i="8"/>
  <c r="BM53" i="8" s="1"/>
  <c r="BP31" i="13"/>
  <c r="BP44" i="13"/>
  <c r="BP32" i="13"/>
  <c r="BP50" i="13"/>
  <c r="BP45" i="13"/>
  <c r="BP43" i="13"/>
  <c r="BP37" i="13"/>
  <c r="BP51" i="13"/>
  <c r="BP38" i="13"/>
  <c r="BP39" i="13"/>
  <c r="BP33" i="13"/>
  <c r="BP49" i="13"/>
  <c r="BQ3" i="13"/>
  <c r="BS19" i="11"/>
  <c r="BS17" i="11"/>
  <c r="BS7" i="11"/>
  <c r="BS11" i="11" s="1"/>
  <c r="BS2" i="11"/>
  <c r="BS15" i="11"/>
  <c r="BT4" i="11"/>
  <c r="BS18" i="11"/>
  <c r="BS3" i="11"/>
  <c r="BR16" i="11"/>
  <c r="BR20" i="11" s="1"/>
  <c r="BO62" i="13"/>
  <c r="BO70" i="13" s="1"/>
  <c r="BL7" i="13" l="1"/>
  <c r="BL27" i="13" s="1"/>
  <c r="BN13" i="11"/>
  <c r="BR3" i="13"/>
  <c r="BT19" i="11"/>
  <c r="BT18" i="11"/>
  <c r="BT7" i="11"/>
  <c r="BT11" i="11" s="1"/>
  <c r="BT15" i="11"/>
  <c r="BU4" i="11"/>
  <c r="BT3" i="11"/>
  <c r="BT17" i="11"/>
  <c r="BT2" i="11"/>
  <c r="BP62" i="13"/>
  <c r="BP70" i="13" s="1"/>
  <c r="G134" i="13"/>
  <c r="F73" i="14" s="1"/>
  <c r="H105" i="13"/>
  <c r="BM46" i="11"/>
  <c r="BM28" i="8"/>
  <c r="BK60" i="13"/>
  <c r="BK74" i="13" s="1"/>
  <c r="BK61" i="13"/>
  <c r="BK69" i="13"/>
  <c r="BM23" i="11"/>
  <c r="BS38" i="11"/>
  <c r="BS26" i="8" s="1"/>
  <c r="BS37" i="11"/>
  <c r="BS11" i="8" s="1"/>
  <c r="BJ72" i="13"/>
  <c r="P58" i="14"/>
  <c r="BS16" i="11"/>
  <c r="BS20" i="11" s="1"/>
  <c r="BP59" i="13"/>
  <c r="BQ11" i="10"/>
  <c r="F58" i="14"/>
  <c r="G58" i="14"/>
  <c r="C17" i="15" s="1"/>
  <c r="H58" i="14"/>
  <c r="BP9" i="9"/>
  <c r="BP8" i="8"/>
  <c r="BO14" i="9"/>
  <c r="BO22" i="8"/>
  <c r="BQ13" i="5"/>
  <c r="BQ16" i="5"/>
  <c r="BQ12" i="5"/>
  <c r="BQ15" i="5"/>
  <c r="BQ10" i="5"/>
  <c r="BQ14" i="5"/>
  <c r="BQ3" i="5"/>
  <c r="BR4" i="5"/>
  <c r="BQ3" i="9"/>
  <c r="BQ13" i="9"/>
  <c r="BQ23" i="8" s="1"/>
  <c r="BQ51" i="8" s="1"/>
  <c r="BQ8" i="9"/>
  <c r="BQ7" i="9"/>
  <c r="BR4" i="9"/>
  <c r="BP37" i="8"/>
  <c r="BP38" i="8" s="1"/>
  <c r="BO12" i="11"/>
  <c r="BP12" i="9"/>
  <c r="BP9" i="8"/>
  <c r="BN50" i="8"/>
  <c r="BN53" i="8" s="1"/>
  <c r="BL50" i="4"/>
  <c r="BL38" i="4"/>
  <c r="BL26" i="4"/>
  <c r="BP8" i="5" s="1"/>
  <c r="BL32" i="4"/>
  <c r="BL44" i="4"/>
  <c r="BS42" i="11"/>
  <c r="BS27" i="8" s="1"/>
  <c r="BS41" i="11"/>
  <c r="BS12" i="8" s="1"/>
  <c r="BQ16" i="10"/>
  <c r="BQ24" i="8"/>
  <c r="BQ52" i="8" s="1"/>
  <c r="BO9" i="11"/>
  <c r="BP6" i="11" s="1"/>
  <c r="D58" i="14"/>
  <c r="BM45" i="11"/>
  <c r="BM13" i="8"/>
  <c r="C73" i="14"/>
  <c r="G135" i="13"/>
  <c r="BS16" i="12"/>
  <c r="BS30" i="8" s="1"/>
  <c r="BS22" i="12"/>
  <c r="BT4" i="12"/>
  <c r="BS3" i="12"/>
  <c r="BR18" i="10"/>
  <c r="BR9" i="10"/>
  <c r="BR10" i="10" s="1"/>
  <c r="BR3" i="10"/>
  <c r="BR7" i="10"/>
  <c r="BR2" i="10"/>
  <c r="BR8" i="10"/>
  <c r="BR25" i="8" s="1"/>
  <c r="BR6" i="10"/>
  <c r="BS4" i="10"/>
  <c r="BQ45" i="13"/>
  <c r="BQ37" i="13"/>
  <c r="BQ43" i="13"/>
  <c r="BQ49" i="13"/>
  <c r="BQ44" i="13"/>
  <c r="BQ38" i="13"/>
  <c r="BQ51" i="13"/>
  <c r="BQ39" i="13"/>
  <c r="BQ32" i="13"/>
  <c r="BQ50" i="13"/>
  <c r="BQ33" i="13"/>
  <c r="BQ3" i="8"/>
  <c r="BQ7" i="8"/>
  <c r="BR4" i="8"/>
  <c r="BP65" i="13"/>
  <c r="BQ19" i="10"/>
  <c r="BQ10" i="8"/>
  <c r="BK5" i="13"/>
  <c r="BK25" i="13" s="1"/>
  <c r="BM28" i="11"/>
  <c r="BM43" i="8"/>
  <c r="BM44" i="8" s="1"/>
  <c r="BR11" i="10" l="1"/>
  <c r="O17" i="15"/>
  <c r="BQ37" i="8"/>
  <c r="BQ38" i="8" s="1"/>
  <c r="BQ9" i="9"/>
  <c r="BQ8" i="8"/>
  <c r="BR13" i="9"/>
  <c r="BR23" i="8" s="1"/>
  <c r="BR51" i="8" s="1"/>
  <c r="BR8" i="9"/>
  <c r="BR3" i="9"/>
  <c r="BR7" i="9"/>
  <c r="BS4" i="9"/>
  <c r="BR37" i="8"/>
  <c r="BR38" i="8" s="1"/>
  <c r="BQ12" i="10"/>
  <c r="BR12" i="10" s="1"/>
  <c r="BQ12" i="9"/>
  <c r="BQ9" i="8"/>
  <c r="BS3" i="13"/>
  <c r="BU18" i="11"/>
  <c r="BU7" i="11"/>
  <c r="BU11" i="11" s="1"/>
  <c r="BU15" i="11"/>
  <c r="BV4" i="11"/>
  <c r="BU19" i="11"/>
  <c r="BU3" i="11"/>
  <c r="BU17" i="11"/>
  <c r="BU2" i="11"/>
  <c r="BK57" i="13"/>
  <c r="BK56" i="13"/>
  <c r="BK55" i="13"/>
  <c r="BK58" i="13"/>
  <c r="BT16" i="11"/>
  <c r="BT20" i="11" s="1"/>
  <c r="BS18" i="10"/>
  <c r="BS9" i="10"/>
  <c r="BS10" i="10" s="1"/>
  <c r="BS3" i="10"/>
  <c r="BS7" i="10"/>
  <c r="BS2" i="10"/>
  <c r="BS8" i="10"/>
  <c r="BS25" i="8" s="1"/>
  <c r="BS6" i="10"/>
  <c r="BT4" i="10"/>
  <c r="Q58" i="14"/>
  <c r="BP14" i="9"/>
  <c r="BP22" i="8"/>
  <c r="BR13" i="5"/>
  <c r="BR16" i="5"/>
  <c r="BR12" i="5"/>
  <c r="BR15" i="5"/>
  <c r="BS4" i="5"/>
  <c r="BR14" i="5"/>
  <c r="BR3" i="5"/>
  <c r="BR10" i="5"/>
  <c r="BO50" i="8"/>
  <c r="BO53" i="8" s="1"/>
  <c r="BT38" i="11"/>
  <c r="BT26" i="8" s="1"/>
  <c r="BT37" i="11"/>
  <c r="BT11" i="8" s="1"/>
  <c r="N17" i="15"/>
  <c r="B17" i="15"/>
  <c r="BQ65" i="13"/>
  <c r="BR16" i="10"/>
  <c r="BR24" i="8"/>
  <c r="BR52" i="8" s="1"/>
  <c r="BQ62" i="13"/>
  <c r="BQ70" i="13" s="1"/>
  <c r="BM7" i="13"/>
  <c r="BM27" i="13" s="1"/>
  <c r="BO13" i="11"/>
  <c r="BT41" i="11"/>
  <c r="BT12" i="8" s="1"/>
  <c r="BT42" i="11"/>
  <c r="BT27" i="8" s="1"/>
  <c r="BR3" i="8"/>
  <c r="BR7" i="8"/>
  <c r="BS4" i="8"/>
  <c r="BR19" i="10"/>
  <c r="BR10" i="8"/>
  <c r="H106" i="13"/>
  <c r="H108" i="13"/>
  <c r="H107" i="13"/>
  <c r="BR49" i="13"/>
  <c r="BR50" i="13"/>
  <c r="BR39" i="13"/>
  <c r="BR43" i="13"/>
  <c r="BR33" i="13"/>
  <c r="BR44" i="13"/>
  <c r="BR51" i="13"/>
  <c r="BR45" i="13"/>
  <c r="BR37" i="13"/>
  <c r="BR38" i="13"/>
  <c r="E73" i="14"/>
  <c r="V58" i="14"/>
  <c r="P17" i="15"/>
  <c r="D17" i="15"/>
  <c r="E58" i="14"/>
  <c r="BL6" i="13"/>
  <c r="BL26" i="13" s="1"/>
  <c r="BN34" i="11"/>
  <c r="BN33" i="11"/>
  <c r="BN22" i="11"/>
  <c r="BN27" i="11"/>
  <c r="BT16" i="12"/>
  <c r="BT30" i="8" s="1"/>
  <c r="BT22" i="12"/>
  <c r="BU4" i="12"/>
  <c r="BT3" i="12"/>
  <c r="BP8" i="11"/>
  <c r="BP9" i="11" s="1"/>
  <c r="BQ6" i="11" s="1"/>
  <c r="BM50" i="4"/>
  <c r="BM38" i="4"/>
  <c r="BM26" i="4"/>
  <c r="BQ8" i="5" s="1"/>
  <c r="BM44" i="4"/>
  <c r="BM32" i="4"/>
  <c r="I58" i="14"/>
  <c r="BL64" i="13"/>
  <c r="BL63" i="13"/>
  <c r="BL73" i="13" s="1"/>
  <c r="BL71" i="13"/>
  <c r="BQ31" i="13"/>
  <c r="BQ59" i="13" s="1"/>
  <c r="C32" i="15"/>
  <c r="G136" i="13"/>
  <c r="BL60" i="13" l="1"/>
  <c r="BL74" i="13" s="1"/>
  <c r="BL61" i="13"/>
  <c r="BL69" i="13"/>
  <c r="BS7" i="8"/>
  <c r="BT4" i="8"/>
  <c r="BS3" i="8"/>
  <c r="BU16" i="11"/>
  <c r="BU20" i="11" s="1"/>
  <c r="BR32" i="13"/>
  <c r="BR62" i="13" s="1"/>
  <c r="BR70" i="13" s="1"/>
  <c r="BS13" i="5"/>
  <c r="BS16" i="5"/>
  <c r="BS12" i="5"/>
  <c r="BS15" i="5"/>
  <c r="BT4" i="5"/>
  <c r="BS14" i="5"/>
  <c r="BS3" i="5"/>
  <c r="BS10" i="5"/>
  <c r="BR12" i="9"/>
  <c r="BR9" i="8"/>
  <c r="BS8" i="9"/>
  <c r="BS7" i="9"/>
  <c r="BS3" i="9"/>
  <c r="BS13" i="9"/>
  <c r="BS23" i="8" s="1"/>
  <c r="BS51" i="8" s="1"/>
  <c r="BT4" i="9"/>
  <c r="BU38" i="11"/>
  <c r="BU26" i="8" s="1"/>
  <c r="BU37" i="11"/>
  <c r="BU11" i="8" s="1"/>
  <c r="BU42" i="11"/>
  <c r="BU27" i="8" s="1"/>
  <c r="BU41" i="11"/>
  <c r="BU12" i="8" s="1"/>
  <c r="BU16" i="12"/>
  <c r="BU30" i="8" s="1"/>
  <c r="BU22" i="12"/>
  <c r="BV4" i="12"/>
  <c r="BU3" i="12"/>
  <c r="BT3" i="13"/>
  <c r="BV18" i="11"/>
  <c r="BV17" i="11"/>
  <c r="BV15" i="11"/>
  <c r="BW4" i="11"/>
  <c r="BV3" i="11"/>
  <c r="BV2" i="11"/>
  <c r="BV19" i="11"/>
  <c r="BV7" i="11"/>
  <c r="BV11" i="11" s="1"/>
  <c r="BS43" i="13"/>
  <c r="BS44" i="13"/>
  <c r="BS38" i="13"/>
  <c r="BS45" i="13"/>
  <c r="BS33" i="13"/>
  <c r="BS37" i="13"/>
  <c r="BS49" i="13"/>
  <c r="BS50" i="13"/>
  <c r="BS51" i="13"/>
  <c r="BS39" i="13"/>
  <c r="E17" i="15"/>
  <c r="G73" i="14"/>
  <c r="W58" i="14"/>
  <c r="BT18" i="10"/>
  <c r="BT8" i="10"/>
  <c r="BT25" i="8" s="1"/>
  <c r="BT9" i="10"/>
  <c r="BT10" i="10" s="1"/>
  <c r="BT3" i="10"/>
  <c r="BT7" i="10"/>
  <c r="BT2" i="10"/>
  <c r="BT6" i="10"/>
  <c r="BU4" i="10"/>
  <c r="Q17" i="15"/>
  <c r="BM6" i="13"/>
  <c r="BM26" i="13" s="1"/>
  <c r="BO33" i="11"/>
  <c r="BO34" i="11"/>
  <c r="BO22" i="11"/>
  <c r="BO27" i="11"/>
  <c r="BS11" i="10"/>
  <c r="BK72" i="13"/>
  <c r="BR65" i="13"/>
  <c r="BM64" i="13"/>
  <c r="BM63" i="13"/>
  <c r="BM73" i="13" s="1"/>
  <c r="BM71" i="13"/>
  <c r="BQ22" i="8"/>
  <c r="BQ14" i="9"/>
  <c r="BL5" i="13"/>
  <c r="BN28" i="11"/>
  <c r="BN43" i="8"/>
  <c r="BN44" i="8" s="1"/>
  <c r="G137" i="13"/>
  <c r="I105" i="13"/>
  <c r="BS19" i="10"/>
  <c r="BS10" i="8"/>
  <c r="BN23" i="11"/>
  <c r="BP12" i="11"/>
  <c r="BN45" i="11"/>
  <c r="BN13" i="8"/>
  <c r="BN50" i="4"/>
  <c r="BN38" i="4"/>
  <c r="BN26" i="4"/>
  <c r="BR8" i="5" s="1"/>
  <c r="BN44" i="4"/>
  <c r="BN32" i="4"/>
  <c r="BS16" i="10"/>
  <c r="BS24" i="8"/>
  <c r="BS52" i="8" s="1"/>
  <c r="BP50" i="8"/>
  <c r="BP53" i="8" s="1"/>
  <c r="BR9" i="9"/>
  <c r="BR8" i="8"/>
  <c r="BQ8" i="11"/>
  <c r="BQ9" i="11" s="1"/>
  <c r="BR6" i="11" s="1"/>
  <c r="BN46" i="11"/>
  <c r="BN28" i="8"/>
  <c r="BS32" i="13" l="1"/>
  <c r="BS65" i="13"/>
  <c r="BT11" i="10"/>
  <c r="BT37" i="8" s="1"/>
  <c r="BT8" i="9"/>
  <c r="BT7" i="9"/>
  <c r="BU4" i="9"/>
  <c r="BT3" i="9"/>
  <c r="BT13" i="9"/>
  <c r="BT23" i="8" s="1"/>
  <c r="BT51" i="8" s="1"/>
  <c r="BV41" i="11"/>
  <c r="BV12" i="8" s="1"/>
  <c r="BV42" i="11"/>
  <c r="BV27" i="8" s="1"/>
  <c r="BU18" i="10"/>
  <c r="BU7" i="10"/>
  <c r="BU2" i="10"/>
  <c r="BU6" i="10"/>
  <c r="BU8" i="10"/>
  <c r="BU25" i="8" s="1"/>
  <c r="BV4" i="10"/>
  <c r="BU9" i="10"/>
  <c r="BU10" i="10" s="1"/>
  <c r="BU3" i="10"/>
  <c r="BT16" i="5"/>
  <c r="BT12" i="5"/>
  <c r="BT15" i="5"/>
  <c r="BU4" i="5"/>
  <c r="BT14" i="5"/>
  <c r="BT10" i="5"/>
  <c r="BT3" i="5"/>
  <c r="BT13" i="5"/>
  <c r="BS37" i="8"/>
  <c r="BS38" i="8" s="1"/>
  <c r="BU4" i="8"/>
  <c r="BT7" i="8"/>
  <c r="BT3" i="8"/>
  <c r="BM5" i="13"/>
  <c r="BO28" i="11"/>
  <c r="BO43" i="8"/>
  <c r="BO44" i="8" s="1"/>
  <c r="BT16" i="10"/>
  <c r="BT24" i="8"/>
  <c r="BT52" i="8" s="1"/>
  <c r="BU3" i="13"/>
  <c r="BW17" i="11"/>
  <c r="BW15" i="11"/>
  <c r="BW19" i="11"/>
  <c r="BX4" i="11"/>
  <c r="BW3" i="11"/>
  <c r="BW18" i="11"/>
  <c r="BW2" i="11"/>
  <c r="BW7" i="11"/>
  <c r="BW11" i="11" s="1"/>
  <c r="BO23" i="11"/>
  <c r="BV16" i="11"/>
  <c r="BV20" i="11" s="1"/>
  <c r="BS9" i="9"/>
  <c r="BS8" i="8"/>
  <c r="BR8" i="11"/>
  <c r="BR9" i="11" s="1"/>
  <c r="BS6" i="11" s="1"/>
  <c r="BO50" i="4"/>
  <c r="BO44" i="4"/>
  <c r="BO32" i="4"/>
  <c r="BO38" i="4"/>
  <c r="BO26" i="4"/>
  <c r="BS8" i="5" s="1"/>
  <c r="BS12" i="10"/>
  <c r="BL25" i="13"/>
  <c r="BR31" i="13"/>
  <c r="BR59" i="13" s="1"/>
  <c r="BO46" i="11"/>
  <c r="BO28" i="8"/>
  <c r="BS12" i="9"/>
  <c r="BS9" i="8"/>
  <c r="I108" i="13"/>
  <c r="I106" i="13"/>
  <c r="I107" i="13"/>
  <c r="BO45" i="11"/>
  <c r="BO13" i="8"/>
  <c r="BS62" i="13"/>
  <c r="BS70" i="13" s="1"/>
  <c r="BV38" i="11"/>
  <c r="BV26" i="8" s="1"/>
  <c r="BV37" i="11"/>
  <c r="BV11" i="8" s="1"/>
  <c r="BQ50" i="8"/>
  <c r="BQ53" i="8" s="1"/>
  <c r="BM61" i="13"/>
  <c r="BM60" i="13"/>
  <c r="BM74" i="13" s="1"/>
  <c r="BM69" i="13"/>
  <c r="BT19" i="10"/>
  <c r="BT10" i="8"/>
  <c r="BT39" i="13"/>
  <c r="BT49" i="13"/>
  <c r="BT50" i="13"/>
  <c r="BT37" i="13"/>
  <c r="BT43" i="13"/>
  <c r="BT38" i="13"/>
  <c r="BT44" i="13"/>
  <c r="BT45" i="13"/>
  <c r="BT51" i="13"/>
  <c r="BR22" i="8"/>
  <c r="BR14" i="9"/>
  <c r="BN7" i="13"/>
  <c r="BN27" i="13" s="1"/>
  <c r="BP13" i="11"/>
  <c r="H73" i="14"/>
  <c r="X58" i="14"/>
  <c r="BQ12" i="11"/>
  <c r="BV16" i="12"/>
  <c r="BV30" i="8" s="1"/>
  <c r="BV22" i="12"/>
  <c r="BW4" i="12"/>
  <c r="BV3" i="12"/>
  <c r="BT33" i="13" l="1"/>
  <c r="BT65" i="13" s="1"/>
  <c r="BT12" i="10"/>
  <c r="BN6" i="13"/>
  <c r="BP34" i="11"/>
  <c r="BP33" i="11"/>
  <c r="BP22" i="11"/>
  <c r="BP27" i="11"/>
  <c r="BW42" i="11"/>
  <c r="BW27" i="8" s="1"/>
  <c r="BW41" i="11"/>
  <c r="BW12" i="8" s="1"/>
  <c r="BW16" i="11"/>
  <c r="BW20" i="11" s="1"/>
  <c r="BV4" i="8"/>
  <c r="BU7" i="8"/>
  <c r="BU3" i="8"/>
  <c r="BU7" i="9"/>
  <c r="BV4" i="9"/>
  <c r="BU13" i="9"/>
  <c r="BU23" i="8" s="1"/>
  <c r="BU51" i="8" s="1"/>
  <c r="BU8" i="9"/>
  <c r="BU3" i="9"/>
  <c r="BW38" i="11"/>
  <c r="BW26" i="8" s="1"/>
  <c r="BW37" i="11"/>
  <c r="BW11" i="8" s="1"/>
  <c r="BV3" i="13"/>
  <c r="BX17" i="11"/>
  <c r="BX3" i="11"/>
  <c r="BX19" i="11"/>
  <c r="BX15" i="11"/>
  <c r="BY4" i="11"/>
  <c r="BX18" i="11"/>
  <c r="BX2" i="11"/>
  <c r="BX7" i="11"/>
  <c r="BX11" i="11" s="1"/>
  <c r="BV18" i="10"/>
  <c r="BV7" i="10"/>
  <c r="BV2" i="10"/>
  <c r="BV6" i="10"/>
  <c r="BV8" i="10"/>
  <c r="BV25" i="8" s="1"/>
  <c r="BW4" i="10"/>
  <c r="BV9" i="10"/>
  <c r="BV10" i="10" s="1"/>
  <c r="BV3" i="10"/>
  <c r="BT9" i="9"/>
  <c r="BT8" i="8"/>
  <c r="BT12" i="9"/>
  <c r="BT9" i="8"/>
  <c r="BW16" i="12"/>
  <c r="BW30" i="8" s="1"/>
  <c r="BW22" i="12"/>
  <c r="BX4" i="12"/>
  <c r="BW3" i="12"/>
  <c r="J105" i="13"/>
  <c r="BU38" i="13"/>
  <c r="BU50" i="13"/>
  <c r="BU51" i="13"/>
  <c r="BU43" i="13"/>
  <c r="BU39" i="13"/>
  <c r="BU37" i="13"/>
  <c r="BU45" i="13"/>
  <c r="BU49" i="13"/>
  <c r="BU44" i="13"/>
  <c r="BU11" i="10"/>
  <c r="BU12" i="10" s="1"/>
  <c r="BT38" i="8"/>
  <c r="Y58" i="14"/>
  <c r="BR50" i="8"/>
  <c r="BR53" i="8" s="1"/>
  <c r="BU16" i="5"/>
  <c r="BU12" i="5"/>
  <c r="BU15" i="5"/>
  <c r="BV4" i="5"/>
  <c r="BU14" i="5"/>
  <c r="BU10" i="5"/>
  <c r="BU3" i="5"/>
  <c r="BU13" i="5"/>
  <c r="BS14" i="9"/>
  <c r="BS22" i="8"/>
  <c r="BR12" i="11"/>
  <c r="BU16" i="10"/>
  <c r="BU24" i="8"/>
  <c r="BU52" i="8" s="1"/>
  <c r="BL57" i="13"/>
  <c r="BL56" i="13"/>
  <c r="BL55" i="13"/>
  <c r="BL58" i="13"/>
  <c r="BM25" i="13"/>
  <c r="BS31" i="13"/>
  <c r="BS59" i="13" s="1"/>
  <c r="BN64" i="13"/>
  <c r="BN63" i="13"/>
  <c r="BN73" i="13" s="1"/>
  <c r="BN71" i="13"/>
  <c r="BO7" i="13"/>
  <c r="BO27" i="13" s="1"/>
  <c r="BQ13" i="11"/>
  <c r="BP50" i="4"/>
  <c r="BP44" i="4"/>
  <c r="BP32" i="4"/>
  <c r="BP38" i="4"/>
  <c r="BP26" i="4"/>
  <c r="BT8" i="5" s="1"/>
  <c r="BS8" i="11"/>
  <c r="BU19" i="10"/>
  <c r="BU10" i="8"/>
  <c r="BV50" i="13" l="1"/>
  <c r="BV39" i="13"/>
  <c r="BV45" i="13"/>
  <c r="BV37" i="13"/>
  <c r="BV49" i="13"/>
  <c r="BV51" i="13"/>
  <c r="BV38" i="13"/>
  <c r="BV43" i="13"/>
  <c r="BV44" i="13"/>
  <c r="BU33" i="13"/>
  <c r="BU65" i="13" s="1"/>
  <c r="BU12" i="9"/>
  <c r="BU9" i="8"/>
  <c r="BV19" i="10"/>
  <c r="BV10" i="8"/>
  <c r="BX16" i="12"/>
  <c r="BX30" i="8" s="1"/>
  <c r="BX22" i="12"/>
  <c r="BY4" i="12"/>
  <c r="BX3" i="12"/>
  <c r="BX37" i="11"/>
  <c r="BX11" i="8" s="1"/>
  <c r="BX38" i="11"/>
  <c r="BX26" i="8" s="1"/>
  <c r="BN5" i="13"/>
  <c r="BP28" i="11"/>
  <c r="BP43" i="8"/>
  <c r="BP44" i="8" s="1"/>
  <c r="BV16" i="5"/>
  <c r="BV12" i="5"/>
  <c r="BV15" i="5"/>
  <c r="BW4" i="5"/>
  <c r="BV14" i="5"/>
  <c r="BV10" i="5"/>
  <c r="BV3" i="5"/>
  <c r="BW3" i="13"/>
  <c r="BY19" i="11"/>
  <c r="BY18" i="11"/>
  <c r="BZ4" i="11"/>
  <c r="BY3" i="11"/>
  <c r="BY2" i="11"/>
  <c r="BY17" i="11"/>
  <c r="BY7" i="11"/>
  <c r="BY11" i="11" s="1"/>
  <c r="BY15" i="11"/>
  <c r="BV8" i="9"/>
  <c r="BV7" i="9"/>
  <c r="BW4" i="9"/>
  <c r="BV3" i="9"/>
  <c r="BV13" i="9"/>
  <c r="BV23" i="8" s="1"/>
  <c r="BV51" i="8" s="1"/>
  <c r="BP23" i="11"/>
  <c r="BT14" i="9"/>
  <c r="BT22" i="8"/>
  <c r="BU37" i="8"/>
  <c r="BU38" i="8" s="1"/>
  <c r="BP7" i="13"/>
  <c r="BP27" i="13" s="1"/>
  <c r="BR13" i="11"/>
  <c r="BW9" i="10"/>
  <c r="BW10" i="10" s="1"/>
  <c r="BW2" i="10"/>
  <c r="BW6" i="10"/>
  <c r="BW18" i="10"/>
  <c r="BW8" i="10"/>
  <c r="BW25" i="8" s="1"/>
  <c r="BX4" i="10"/>
  <c r="BW3" i="10"/>
  <c r="BW7" i="10"/>
  <c r="BX16" i="11"/>
  <c r="BX20" i="11" s="1"/>
  <c r="BU9" i="9"/>
  <c r="BU8" i="8"/>
  <c r="BP45" i="11"/>
  <c r="BP13" i="8"/>
  <c r="BX41" i="11"/>
  <c r="BX12" i="8" s="1"/>
  <c r="BX42" i="11"/>
  <c r="BX27" i="8" s="1"/>
  <c r="BP46" i="11"/>
  <c r="BP28" i="8"/>
  <c r="J108" i="13"/>
  <c r="J106" i="13"/>
  <c r="J107" i="13"/>
  <c r="BL72" i="13"/>
  <c r="BO6" i="13"/>
  <c r="BQ34" i="11"/>
  <c r="BQ33" i="11"/>
  <c r="BQ22" i="11"/>
  <c r="BQ27" i="11"/>
  <c r="BS50" i="8"/>
  <c r="BS53" i="8" s="1"/>
  <c r="BV11" i="10"/>
  <c r="BV12" i="10" s="1"/>
  <c r="BN26" i="13"/>
  <c r="BT32" i="13"/>
  <c r="BT62" i="13" s="1"/>
  <c r="BT70" i="13" s="1"/>
  <c r="BW4" i="8"/>
  <c r="BV3" i="8"/>
  <c r="BV7" i="8"/>
  <c r="BO64" i="13"/>
  <c r="BO63" i="13"/>
  <c r="BO73" i="13" s="1"/>
  <c r="BO71" i="13"/>
  <c r="BS12" i="11"/>
  <c r="BS9" i="11"/>
  <c r="BT6" i="11" s="1"/>
  <c r="BM58" i="13"/>
  <c r="BM57" i="13"/>
  <c r="BM72" i="13" s="1"/>
  <c r="BM56" i="13"/>
  <c r="BM55" i="13"/>
  <c r="BQ50" i="4"/>
  <c r="BQ38" i="4"/>
  <c r="BQ44" i="4"/>
  <c r="BQ32" i="4"/>
  <c r="BQ26" i="4"/>
  <c r="BU8" i="5" s="1"/>
  <c r="BV16" i="10"/>
  <c r="BV24" i="8"/>
  <c r="BV52" i="8" s="1"/>
  <c r="BO5" i="13" l="1"/>
  <c r="BQ28" i="11"/>
  <c r="BQ43" i="8"/>
  <c r="BQ44" i="8" s="1"/>
  <c r="BQ45" i="11"/>
  <c r="BQ13" i="8"/>
  <c r="BW19" i="10"/>
  <c r="BW10" i="8"/>
  <c r="BY41" i="11"/>
  <c r="BY12" i="8" s="1"/>
  <c r="BY42" i="11"/>
  <c r="BY27" i="8" s="1"/>
  <c r="BV33" i="13"/>
  <c r="BV65" i="13" s="1"/>
  <c r="BR44" i="4"/>
  <c r="BR32" i="4"/>
  <c r="BR26" i="4"/>
  <c r="BV8" i="5" s="1"/>
  <c r="BR38" i="4"/>
  <c r="BR50" i="4"/>
  <c r="BQ23" i="11"/>
  <c r="BX4" i="8"/>
  <c r="BW3" i="8"/>
  <c r="BW7" i="8"/>
  <c r="BQ46" i="11"/>
  <c r="BQ28" i="8"/>
  <c r="BW11" i="10"/>
  <c r="BN25" i="13"/>
  <c r="BT31" i="13"/>
  <c r="BT59" i="13" s="1"/>
  <c r="BO26" i="13"/>
  <c r="BU32" i="13"/>
  <c r="BU62" i="13" s="1"/>
  <c r="BU70" i="13" s="1"/>
  <c r="BW8" i="9"/>
  <c r="BX4" i="9"/>
  <c r="BW3" i="9"/>
  <c r="BW13" i="9"/>
  <c r="BW23" i="8" s="1"/>
  <c r="BW51" i="8" s="1"/>
  <c r="BW7" i="9"/>
  <c r="BW37" i="13"/>
  <c r="BW43" i="13"/>
  <c r="BW50" i="13"/>
  <c r="BW49" i="13"/>
  <c r="BW44" i="13"/>
  <c r="BW38" i="13"/>
  <c r="BW39" i="13"/>
  <c r="BW51" i="13"/>
  <c r="BW45" i="13"/>
  <c r="BW15" i="5"/>
  <c r="BX4" i="5"/>
  <c r="BW14" i="5"/>
  <c r="BW10" i="5"/>
  <c r="BW3" i="5"/>
  <c r="BW16" i="5"/>
  <c r="BW12" i="5"/>
  <c r="BT8" i="11"/>
  <c r="BT50" i="8"/>
  <c r="BT53" i="8" s="1"/>
  <c r="BV9" i="9"/>
  <c r="BV8" i="8"/>
  <c r="BP6" i="13"/>
  <c r="BR34" i="11"/>
  <c r="BR33" i="11"/>
  <c r="BR22" i="11"/>
  <c r="BR27" i="11"/>
  <c r="BV12" i="9"/>
  <c r="BV9" i="8"/>
  <c r="BW16" i="10"/>
  <c r="BW24" i="8"/>
  <c r="BW52" i="8" s="1"/>
  <c r="K105" i="13"/>
  <c r="BY38" i="11"/>
  <c r="BY26" i="8" s="1"/>
  <c r="BY37" i="11"/>
  <c r="BY11" i="8" s="1"/>
  <c r="BN61" i="13"/>
  <c r="BN60" i="13"/>
  <c r="BN74" i="13" s="1"/>
  <c r="BN69" i="13"/>
  <c r="BP64" i="13"/>
  <c r="BP63" i="13"/>
  <c r="BP73" i="13" s="1"/>
  <c r="BP71" i="13"/>
  <c r="BY16" i="11"/>
  <c r="BY20" i="11" s="1"/>
  <c r="BX6" i="10"/>
  <c r="BX18" i="10"/>
  <c r="BX8" i="10"/>
  <c r="BX25" i="8" s="1"/>
  <c r="BY4" i="10"/>
  <c r="BX3" i="10"/>
  <c r="BX9" i="10"/>
  <c r="BX10" i="10" s="1"/>
  <c r="BX2" i="10"/>
  <c r="BX7" i="10"/>
  <c r="BY22" i="12"/>
  <c r="BY3" i="12"/>
  <c r="BY16" i="12"/>
  <c r="BY30" i="8" s="1"/>
  <c r="BZ4" i="12"/>
  <c r="BU14" i="9"/>
  <c r="BU22" i="8"/>
  <c r="BX3" i="13"/>
  <c r="BZ7" i="11"/>
  <c r="BZ11" i="11" s="1"/>
  <c r="BZ15" i="11"/>
  <c r="BZ19" i="11"/>
  <c r="BZ18" i="11"/>
  <c r="BZ3" i="11"/>
  <c r="BZ2" i="11"/>
  <c r="BZ17" i="11"/>
  <c r="CA4" i="11"/>
  <c r="BQ7" i="13"/>
  <c r="BQ27" i="13" s="1"/>
  <c r="BS13" i="11"/>
  <c r="BV37" i="8"/>
  <c r="BV38" i="8" s="1"/>
  <c r="BS44" i="4" l="1"/>
  <c r="BS32" i="4"/>
  <c r="BS38" i="4"/>
  <c r="BS26" i="4"/>
  <c r="BW8" i="5" s="1"/>
  <c r="BS50" i="4"/>
  <c r="BW33" i="13"/>
  <c r="BW65" i="13" s="1"/>
  <c r="BN58" i="13"/>
  <c r="BN57" i="13"/>
  <c r="BN56" i="13"/>
  <c r="BN55" i="13"/>
  <c r="BV14" i="9"/>
  <c r="BV22" i="8"/>
  <c r="BW37" i="8"/>
  <c r="BW38" i="8" s="1"/>
  <c r="BY3" i="13"/>
  <c r="CA7" i="11"/>
  <c r="CA11" i="11" s="1"/>
  <c r="CA15" i="11"/>
  <c r="CA19" i="11"/>
  <c r="CA18" i="11"/>
  <c r="CA17" i="11"/>
  <c r="CA3" i="11"/>
  <c r="CA2" i="11"/>
  <c r="CB4" i="11"/>
  <c r="BT12" i="11"/>
  <c r="BX15" i="5"/>
  <c r="BY4" i="5"/>
  <c r="BX14" i="5"/>
  <c r="BX10" i="5"/>
  <c r="BX3" i="5"/>
  <c r="BX16" i="5"/>
  <c r="BX12" i="5"/>
  <c r="BY8" i="10"/>
  <c r="BY25" i="8" s="1"/>
  <c r="BZ4" i="10"/>
  <c r="BY18" i="10"/>
  <c r="BY6" i="10"/>
  <c r="BY3" i="10"/>
  <c r="BY9" i="10"/>
  <c r="BY10" i="10" s="1"/>
  <c r="BY7" i="10"/>
  <c r="BY2" i="10"/>
  <c r="BP5" i="13"/>
  <c r="BR28" i="11"/>
  <c r="BR43" i="8"/>
  <c r="BR44" i="8" s="1"/>
  <c r="BT9" i="11"/>
  <c r="BU6" i="11" s="1"/>
  <c r="BW9" i="9"/>
  <c r="BW8" i="8"/>
  <c r="BO25" i="13"/>
  <c r="BU31" i="13"/>
  <c r="BU59" i="13" s="1"/>
  <c r="BX16" i="10"/>
  <c r="BX24" i="8"/>
  <c r="BX52" i="8" s="1"/>
  <c r="BZ37" i="11"/>
  <c r="BZ11" i="8" s="1"/>
  <c r="BZ38" i="11"/>
  <c r="BZ26" i="8" s="1"/>
  <c r="BR23" i="11"/>
  <c r="BW12" i="10"/>
  <c r="BZ42" i="11"/>
  <c r="BZ27" i="8" s="1"/>
  <c r="BZ41" i="11"/>
  <c r="BZ12" i="8" s="1"/>
  <c r="BX19" i="10"/>
  <c r="BX10" i="8"/>
  <c r="BR45" i="11"/>
  <c r="BR13" i="8"/>
  <c r="BO60" i="13"/>
  <c r="BO74" i="13" s="1"/>
  <c r="BO61" i="13"/>
  <c r="BO69" i="13"/>
  <c r="BZ16" i="11"/>
  <c r="BZ20" i="11" s="1"/>
  <c r="BX11" i="10"/>
  <c r="BR46" i="11"/>
  <c r="BR28" i="8"/>
  <c r="BX8" i="9"/>
  <c r="BX7" i="9"/>
  <c r="BX3" i="9"/>
  <c r="BX13" i="9"/>
  <c r="BX23" i="8" s="1"/>
  <c r="BX51" i="8" s="1"/>
  <c r="BY4" i="9"/>
  <c r="BP26" i="13"/>
  <c r="BV32" i="13"/>
  <c r="BV62" i="13" s="1"/>
  <c r="BV70" i="13" s="1"/>
  <c r="J59" i="14" s="1"/>
  <c r="BW12" i="9"/>
  <c r="BW9" i="8"/>
  <c r="BX7" i="8"/>
  <c r="BY4" i="8"/>
  <c r="BX3" i="8"/>
  <c r="BZ22" i="12"/>
  <c r="CA4" i="12"/>
  <c r="BZ3" i="12"/>
  <c r="BZ16" i="12"/>
  <c r="BZ30" i="8" s="1"/>
  <c r="BQ64" i="13"/>
  <c r="BQ63" i="13"/>
  <c r="BQ73" i="13" s="1"/>
  <c r="BQ71" i="13"/>
  <c r="K108" i="13"/>
  <c r="K106" i="13"/>
  <c r="K107" i="13"/>
  <c r="BQ6" i="13"/>
  <c r="BS34" i="11"/>
  <c r="BS33" i="11"/>
  <c r="BS22" i="11"/>
  <c r="BS27" i="11"/>
  <c r="BX37" i="13"/>
  <c r="BX43" i="13"/>
  <c r="BX50" i="13"/>
  <c r="BX51" i="13"/>
  <c r="BX45" i="13"/>
  <c r="BX39" i="13"/>
  <c r="BX49" i="13"/>
  <c r="BX44" i="13"/>
  <c r="BX38" i="13"/>
  <c r="BU50" i="8"/>
  <c r="BU53" i="8" s="1"/>
  <c r="BX37" i="8" l="1"/>
  <c r="BX38" i="8" s="1"/>
  <c r="BY16" i="10"/>
  <c r="BY24" i="8"/>
  <c r="BY52" i="8" s="1"/>
  <c r="BS23" i="11"/>
  <c r="CA16" i="11"/>
  <c r="CA20" i="11" s="1"/>
  <c r="BT50" i="4"/>
  <c r="BT44" i="4"/>
  <c r="BT32" i="4"/>
  <c r="BT38" i="4"/>
  <c r="BT26" i="4"/>
  <c r="BX8" i="5" s="1"/>
  <c r="BN72" i="13"/>
  <c r="BW14" i="9"/>
  <c r="BW22" i="8"/>
  <c r="BR7" i="13"/>
  <c r="BT13" i="11"/>
  <c r="BY38" i="13"/>
  <c r="BY44" i="13"/>
  <c r="BY49" i="13"/>
  <c r="BY43" i="13"/>
  <c r="BY50" i="13"/>
  <c r="BY39" i="13"/>
  <c r="BY51" i="13"/>
  <c r="BY45" i="13"/>
  <c r="BY37" i="13"/>
  <c r="K59" i="14"/>
  <c r="L59" i="14" s="1"/>
  <c r="M59" i="14" s="1"/>
  <c r="BX12" i="10"/>
  <c r="BZ3" i="13"/>
  <c r="CB15" i="11"/>
  <c r="CB18" i="11"/>
  <c r="CB17" i="11"/>
  <c r="CB2" i="11"/>
  <c r="CB7" i="11"/>
  <c r="CB11" i="11" s="1"/>
  <c r="CB3" i="11"/>
  <c r="CC4" i="11"/>
  <c r="CB19" i="11"/>
  <c r="BS45" i="11"/>
  <c r="BS13" i="8"/>
  <c r="BO58" i="13"/>
  <c r="BO57" i="13"/>
  <c r="BO72" i="13" s="1"/>
  <c r="BO56" i="13"/>
  <c r="BO55" i="13"/>
  <c r="BQ26" i="13"/>
  <c r="BW32" i="13"/>
  <c r="BW62" i="13" s="1"/>
  <c r="BW70" i="13" s="1"/>
  <c r="BP61" i="13"/>
  <c r="BP60" i="13"/>
  <c r="BP74" i="13" s="1"/>
  <c r="BP69" i="13"/>
  <c r="BU8" i="11"/>
  <c r="BY11" i="10"/>
  <c r="BY7" i="8"/>
  <c r="BZ4" i="8"/>
  <c r="BY3" i="8"/>
  <c r="BS46" i="11"/>
  <c r="BS28" i="8"/>
  <c r="CA22" i="12"/>
  <c r="CB4" i="12"/>
  <c r="CA16" i="12"/>
  <c r="CA30" i="8" s="1"/>
  <c r="CA3" i="12"/>
  <c r="BY19" i="10"/>
  <c r="BY10" i="8"/>
  <c r="BY15" i="5"/>
  <c r="BZ4" i="5"/>
  <c r="BY14" i="5"/>
  <c r="BY10" i="5"/>
  <c r="BY3" i="5"/>
  <c r="BY16" i="5"/>
  <c r="BY12" i="5"/>
  <c r="BX12" i="9"/>
  <c r="BX9" i="8"/>
  <c r="BY7" i="9"/>
  <c r="BZ4" i="9"/>
  <c r="BY3" i="9"/>
  <c r="BY13" i="9"/>
  <c r="BY23" i="8" s="1"/>
  <c r="BY51" i="8" s="1"/>
  <c r="BY8" i="9"/>
  <c r="BZ18" i="10"/>
  <c r="BZ6" i="10"/>
  <c r="BZ8" i="10"/>
  <c r="BZ25" i="8" s="1"/>
  <c r="CA4" i="10"/>
  <c r="BZ3" i="10"/>
  <c r="BZ9" i="10"/>
  <c r="BZ10" i="10" s="1"/>
  <c r="BZ7" i="10"/>
  <c r="BZ2" i="10"/>
  <c r="L105" i="13"/>
  <c r="BV50" i="8"/>
  <c r="BV53" i="8" s="1"/>
  <c r="BP25" i="13"/>
  <c r="BV31" i="13"/>
  <c r="BV59" i="13" s="1"/>
  <c r="CA38" i="11"/>
  <c r="CA26" i="8" s="1"/>
  <c r="CA37" i="11"/>
  <c r="CA11" i="8" s="1"/>
  <c r="BQ5" i="13"/>
  <c r="BS28" i="11"/>
  <c r="BS43" i="8"/>
  <c r="BS44" i="8" s="1"/>
  <c r="BX9" i="9"/>
  <c r="BX8" i="8"/>
  <c r="CA42" i="11"/>
  <c r="CA27" i="8" s="1"/>
  <c r="CA41" i="11"/>
  <c r="CA12" i="8" s="1"/>
  <c r="BW50" i="8" l="1"/>
  <c r="BW53" i="8" s="1"/>
  <c r="BU12" i="11"/>
  <c r="CB16" i="11"/>
  <c r="CB20" i="11" s="1"/>
  <c r="BU9" i="11"/>
  <c r="BV6" i="11" s="1"/>
  <c r="BZ39" i="13"/>
  <c r="BZ37" i="13"/>
  <c r="BZ49" i="13"/>
  <c r="BZ38" i="13"/>
  <c r="BZ45" i="13"/>
  <c r="BZ50" i="13"/>
  <c r="BZ51" i="13"/>
  <c r="BZ43" i="13"/>
  <c r="BZ44" i="13"/>
  <c r="BY37" i="8"/>
  <c r="BY38" i="8" s="1"/>
  <c r="BZ7" i="9"/>
  <c r="CA4" i="9"/>
  <c r="BZ13" i="9"/>
  <c r="BZ23" i="8" s="1"/>
  <c r="BZ51" i="8" s="1"/>
  <c r="BZ8" i="9"/>
  <c r="BZ3" i="9"/>
  <c r="CB22" i="12"/>
  <c r="CB16" i="12"/>
  <c r="CB30" i="8" s="1"/>
  <c r="CC4" i="12"/>
  <c r="CB3" i="12"/>
  <c r="BY12" i="10"/>
  <c r="BZ16" i="10"/>
  <c r="BZ24" i="8"/>
  <c r="BZ52" i="8" s="1"/>
  <c r="BY9" i="9"/>
  <c r="BY8" i="8"/>
  <c r="CA4" i="5"/>
  <c r="BZ14" i="5"/>
  <c r="BZ10" i="5"/>
  <c r="BZ3" i="5"/>
  <c r="BZ16" i="5"/>
  <c r="BZ12" i="5"/>
  <c r="BZ15" i="5"/>
  <c r="L108" i="13"/>
  <c r="L106" i="13"/>
  <c r="L107" i="13"/>
  <c r="CB38" i="11"/>
  <c r="CB26" i="8" s="1"/>
  <c r="CB37" i="11"/>
  <c r="CB11" i="8" s="1"/>
  <c r="CB42" i="11"/>
  <c r="CB27" i="8" s="1"/>
  <c r="CB41" i="11"/>
  <c r="CB12" i="8" s="1"/>
  <c r="CA3" i="10"/>
  <c r="CA18" i="10"/>
  <c r="CA8" i="10"/>
  <c r="CA25" i="8" s="1"/>
  <c r="CB4" i="10"/>
  <c r="CA9" i="10"/>
  <c r="CA10" i="10" s="1"/>
  <c r="CA7" i="10"/>
  <c r="CA2" i="10"/>
  <c r="CA6" i="10"/>
  <c r="CA3" i="13"/>
  <c r="CC18" i="11"/>
  <c r="CC17" i="11"/>
  <c r="CC2" i="11"/>
  <c r="CC7" i="11"/>
  <c r="CC11" i="11" s="1"/>
  <c r="CD4" i="11"/>
  <c r="CC15" i="11"/>
  <c r="CC19" i="11"/>
  <c r="CC3" i="11"/>
  <c r="BP56" i="13"/>
  <c r="BP55" i="13"/>
  <c r="BP58" i="13"/>
  <c r="BP57" i="13"/>
  <c r="BP72" i="13" s="1"/>
  <c r="BX14" i="9"/>
  <c r="BX22" i="8"/>
  <c r="BR6" i="13"/>
  <c r="BT34" i="11"/>
  <c r="BT33" i="11"/>
  <c r="BT22" i="11"/>
  <c r="BT27" i="11"/>
  <c r="BZ11" i="10"/>
  <c r="BR27" i="13"/>
  <c r="BX33" i="13"/>
  <c r="BX65" i="13" s="1"/>
  <c r="BQ25" i="13"/>
  <c r="BW31" i="13"/>
  <c r="BW59" i="13" s="1"/>
  <c r="BY12" i="9"/>
  <c r="BY9" i="8"/>
  <c r="BU50" i="4"/>
  <c r="BU38" i="4"/>
  <c r="BU26" i="4"/>
  <c r="BY8" i="5" s="1"/>
  <c r="BU44" i="4"/>
  <c r="BU32" i="4"/>
  <c r="BZ19" i="10"/>
  <c r="BZ10" i="8"/>
  <c r="CA4" i="8"/>
  <c r="BZ3" i="8"/>
  <c r="BZ7" i="8"/>
  <c r="BQ61" i="13"/>
  <c r="BQ60" i="13"/>
  <c r="BQ74" i="13" s="1"/>
  <c r="BQ69" i="13"/>
  <c r="CA14" i="5" l="1"/>
  <c r="CA10" i="5"/>
  <c r="CA3" i="5"/>
  <c r="CA16" i="5"/>
  <c r="CA12" i="5"/>
  <c r="CB4" i="5"/>
  <c r="CA15" i="5"/>
  <c r="BZ12" i="9"/>
  <c r="BZ9" i="8"/>
  <c r="BZ37" i="8"/>
  <c r="BZ38" i="8" s="1"/>
  <c r="CA43" i="13"/>
  <c r="CA51" i="13"/>
  <c r="CA44" i="13"/>
  <c r="CA38" i="13"/>
  <c r="CA39" i="13"/>
  <c r="CA45" i="13"/>
  <c r="CA37" i="13"/>
  <c r="CA49" i="13"/>
  <c r="CA50" i="13"/>
  <c r="BS7" i="13"/>
  <c r="BU13" i="11"/>
  <c r="BR5" i="13"/>
  <c r="BT28" i="11"/>
  <c r="BT43" i="8"/>
  <c r="BT44" i="8" s="1"/>
  <c r="BZ12" i="10"/>
  <c r="CB4" i="9"/>
  <c r="CA3" i="9"/>
  <c r="CA8" i="9"/>
  <c r="CA7" i="9"/>
  <c r="CA13" i="9"/>
  <c r="CA23" i="8" s="1"/>
  <c r="CA51" i="8" s="1"/>
  <c r="CA19" i="10"/>
  <c r="CA10" i="8"/>
  <c r="BT23" i="11"/>
  <c r="CA11" i="10"/>
  <c r="BZ9" i="9"/>
  <c r="BZ8" i="8"/>
  <c r="BV50" i="4"/>
  <c r="BV38" i="4"/>
  <c r="BV26" i="4"/>
  <c r="BZ8" i="5" s="1"/>
  <c r="BV44" i="4"/>
  <c r="BV32" i="4"/>
  <c r="CC37" i="11"/>
  <c r="CC11" i="8" s="1"/>
  <c r="CC38" i="11"/>
  <c r="CC26" i="8" s="1"/>
  <c r="BT45" i="11"/>
  <c r="BT13" i="8"/>
  <c r="BV8" i="11"/>
  <c r="BV9" i="11" s="1"/>
  <c r="BW6" i="11" s="1"/>
  <c r="BY14" i="9"/>
  <c r="BY22" i="8"/>
  <c r="BT46" i="11"/>
  <c r="BT28" i="8"/>
  <c r="CC42" i="11"/>
  <c r="CC27" i="8" s="1"/>
  <c r="CC41" i="11"/>
  <c r="CC12" i="8" s="1"/>
  <c r="CA16" i="10"/>
  <c r="CA24" i="8"/>
  <c r="CA52" i="8" s="1"/>
  <c r="BR26" i="13"/>
  <c r="BX32" i="13"/>
  <c r="BX62" i="13" s="1"/>
  <c r="BX70" i="13" s="1"/>
  <c r="CC16" i="11"/>
  <c r="CC20" i="11" s="1"/>
  <c r="BR64" i="13"/>
  <c r="BR63" i="13"/>
  <c r="BR73" i="13" s="1"/>
  <c r="BR71" i="13"/>
  <c r="CA3" i="8"/>
  <c r="CA7" i="8"/>
  <c r="CB4" i="8"/>
  <c r="BQ56" i="13"/>
  <c r="BQ55" i="13"/>
  <c r="BQ58" i="13"/>
  <c r="BQ57" i="13"/>
  <c r="BQ72" i="13" s="1"/>
  <c r="BX50" i="8"/>
  <c r="BX53" i="8" s="1"/>
  <c r="CB3" i="13"/>
  <c r="CD19" i="11"/>
  <c r="CD17" i="11"/>
  <c r="CD2" i="11"/>
  <c r="CD18" i="11"/>
  <c r="CD7" i="11"/>
  <c r="CD11" i="11" s="1"/>
  <c r="CE4" i="11"/>
  <c r="CD15" i="11"/>
  <c r="CD3" i="11"/>
  <c r="CB2" i="10"/>
  <c r="CB18" i="10"/>
  <c r="CC4" i="10"/>
  <c r="CB9" i="10"/>
  <c r="CB10" i="10" s="1"/>
  <c r="CB3" i="10"/>
  <c r="CB7" i="10"/>
  <c r="CB6" i="10"/>
  <c r="CB8" i="10"/>
  <c r="CB25" i="8" s="1"/>
  <c r="CC16" i="12"/>
  <c r="CC30" i="8" s="1"/>
  <c r="CC3" i="12"/>
  <c r="CC22" i="12"/>
  <c r="CD4" i="12"/>
  <c r="BW8" i="11" l="1"/>
  <c r="BW12" i="11" s="1"/>
  <c r="CC3" i="13"/>
  <c r="CE19" i="11"/>
  <c r="CE17" i="11"/>
  <c r="CE2" i="11"/>
  <c r="CE18" i="11"/>
  <c r="CE7" i="11"/>
  <c r="CE11" i="11" s="1"/>
  <c r="CF4" i="11"/>
  <c r="CE15" i="11"/>
  <c r="CE3" i="11"/>
  <c r="CD38" i="11"/>
  <c r="CD26" i="8" s="1"/>
  <c r="CD37" i="11"/>
  <c r="CD11" i="8" s="1"/>
  <c r="CB3" i="8"/>
  <c r="CB7" i="8"/>
  <c r="CC4" i="8"/>
  <c r="CB11" i="10"/>
  <c r="CA37" i="8"/>
  <c r="CA38" i="8" s="1"/>
  <c r="CA9" i="9"/>
  <c r="CA8" i="8"/>
  <c r="BR25" i="13"/>
  <c r="BX31" i="13"/>
  <c r="BX59" i="13" s="1"/>
  <c r="CA12" i="9"/>
  <c r="CA9" i="8"/>
  <c r="BS6" i="13"/>
  <c r="BU34" i="11"/>
  <c r="BU33" i="11"/>
  <c r="BU22" i="11"/>
  <c r="BU27" i="11"/>
  <c r="CD16" i="12"/>
  <c r="CD30" i="8" s="1"/>
  <c r="CD3" i="12"/>
  <c r="CD22" i="12"/>
  <c r="CE4" i="12"/>
  <c r="CD42" i="11"/>
  <c r="CD27" i="8" s="1"/>
  <c r="CD41" i="11"/>
  <c r="CD12" i="8" s="1"/>
  <c r="CB3" i="9"/>
  <c r="CB13" i="9"/>
  <c r="CB23" i="8" s="1"/>
  <c r="CB51" i="8" s="1"/>
  <c r="CB8" i="9"/>
  <c r="CB7" i="9"/>
  <c r="CC4" i="9"/>
  <c r="BS27" i="13"/>
  <c r="BY33" i="13"/>
  <c r="BY65" i="13" s="1"/>
  <c r="CB14" i="5"/>
  <c r="CB10" i="5"/>
  <c r="CB3" i="5"/>
  <c r="CB16" i="5"/>
  <c r="CB12" i="5"/>
  <c r="CC4" i="5"/>
  <c r="CC18" i="10"/>
  <c r="CD4" i="10"/>
  <c r="CC9" i="10"/>
  <c r="CC10" i="10" s="1"/>
  <c r="CC3" i="10"/>
  <c r="CC7" i="10"/>
  <c r="CC2" i="10"/>
  <c r="CC6" i="10"/>
  <c r="CC8" i="10"/>
  <c r="CC25" i="8" s="1"/>
  <c r="CB39" i="13"/>
  <c r="CB50" i="13"/>
  <c r="CB51" i="13"/>
  <c r="CB43" i="13"/>
  <c r="CB37" i="13"/>
  <c r="CB44" i="13"/>
  <c r="CB49" i="13"/>
  <c r="CB38" i="13"/>
  <c r="CB45" i="13"/>
  <c r="CA12" i="10"/>
  <c r="BZ14" i="9"/>
  <c r="BZ22" i="8"/>
  <c r="CB16" i="10"/>
  <c r="CB24" i="8"/>
  <c r="CB52" i="8" s="1"/>
  <c r="CB19" i="10"/>
  <c r="CB10" i="8"/>
  <c r="BY50" i="8"/>
  <c r="BY53" i="8" s="1"/>
  <c r="BR61" i="13"/>
  <c r="BR60" i="13"/>
  <c r="BR74" i="13" s="1"/>
  <c r="BR69" i="13"/>
  <c r="BW50" i="4"/>
  <c r="BW32" i="4"/>
  <c r="BW44" i="4"/>
  <c r="BW38" i="4"/>
  <c r="BW26" i="4"/>
  <c r="CA8" i="5" s="1"/>
  <c r="CD16" i="11"/>
  <c r="CD20" i="11" s="1"/>
  <c r="BV12" i="11"/>
  <c r="CB12" i="10" l="1"/>
  <c r="BW9" i="11"/>
  <c r="BX6" i="11" s="1"/>
  <c r="BX8" i="11" s="1"/>
  <c r="CC19" i="10"/>
  <c r="CC10" i="8"/>
  <c r="BT7" i="13"/>
  <c r="BV13" i="11"/>
  <c r="BX50" i="4"/>
  <c r="BX38" i="4"/>
  <c r="BX26" i="4"/>
  <c r="CB8" i="5" s="1"/>
  <c r="BX32" i="4"/>
  <c r="BX44" i="4"/>
  <c r="BS26" i="13"/>
  <c r="BY32" i="13"/>
  <c r="BY62" i="13" s="1"/>
  <c r="BY70" i="13" s="1"/>
  <c r="CE38" i="11"/>
  <c r="CE26" i="8" s="1"/>
  <c r="CE37" i="11"/>
  <c r="CE11" i="8" s="1"/>
  <c r="BU45" i="11"/>
  <c r="BU13" i="8"/>
  <c r="CD3" i="13"/>
  <c r="CF19" i="11"/>
  <c r="CF18" i="11"/>
  <c r="CF7" i="11"/>
  <c r="CF11" i="11" s="1"/>
  <c r="CF15" i="11"/>
  <c r="CG4" i="11"/>
  <c r="CF17" i="11"/>
  <c r="CF3" i="11"/>
  <c r="CF2" i="11"/>
  <c r="CE16" i="12"/>
  <c r="CE30" i="8" s="1"/>
  <c r="CE22" i="12"/>
  <c r="CF4" i="12"/>
  <c r="CE3" i="12"/>
  <c r="BU46" i="11"/>
  <c r="BU28" i="8"/>
  <c r="CC16" i="5"/>
  <c r="CC12" i="5"/>
  <c r="CC14" i="5"/>
  <c r="CC3" i="5"/>
  <c r="CC10" i="5"/>
  <c r="CD4" i="5"/>
  <c r="BS64" i="13"/>
  <c r="BS63" i="13"/>
  <c r="BS73" i="13" s="1"/>
  <c r="BS71" i="13"/>
  <c r="CC3" i="9"/>
  <c r="CC13" i="9"/>
  <c r="CC23" i="8" s="1"/>
  <c r="CC51" i="8" s="1"/>
  <c r="CC8" i="9"/>
  <c r="CC7" i="9"/>
  <c r="CD4" i="9"/>
  <c r="CB37" i="8"/>
  <c r="CB38" i="8" s="1"/>
  <c r="CB9" i="9"/>
  <c r="CB8" i="8"/>
  <c r="CC3" i="8"/>
  <c r="CC7" i="8"/>
  <c r="CD4" i="8"/>
  <c r="CB12" i="9"/>
  <c r="CB9" i="8"/>
  <c r="CA14" i="9"/>
  <c r="CA22" i="8"/>
  <c r="CE42" i="11"/>
  <c r="CE27" i="8" s="1"/>
  <c r="CE41" i="11"/>
  <c r="CE12" i="8" s="1"/>
  <c r="CD18" i="10"/>
  <c r="CD9" i="10"/>
  <c r="CD10" i="10" s="1"/>
  <c r="CD3" i="10"/>
  <c r="CD7" i="10"/>
  <c r="CD2" i="10"/>
  <c r="CD6" i="10"/>
  <c r="CD8" i="10"/>
  <c r="CD25" i="8" s="1"/>
  <c r="CE4" i="10"/>
  <c r="BZ50" i="8"/>
  <c r="BZ53" i="8" s="1"/>
  <c r="CC11" i="10"/>
  <c r="CC38" i="13"/>
  <c r="CC37" i="13"/>
  <c r="CC50" i="13"/>
  <c r="CC51" i="13"/>
  <c r="CC45" i="13"/>
  <c r="CC49" i="13"/>
  <c r="CC43" i="13"/>
  <c r="CC39" i="13"/>
  <c r="CC44" i="13"/>
  <c r="CC16" i="10"/>
  <c r="CC24" i="8"/>
  <c r="CC52" i="8" s="1"/>
  <c r="BR56" i="13"/>
  <c r="BR55" i="13"/>
  <c r="BR58" i="13"/>
  <c r="BR57" i="13"/>
  <c r="BR72" i="13" s="1"/>
  <c r="BS5" i="13"/>
  <c r="BU28" i="11"/>
  <c r="BU43" i="8"/>
  <c r="BU44" i="8" s="1"/>
  <c r="BU7" i="13"/>
  <c r="BW13" i="11"/>
  <c r="BU23" i="11"/>
  <c r="CE16" i="11"/>
  <c r="CE20" i="11" s="1"/>
  <c r="CE3" i="13" l="1"/>
  <c r="CG18" i="11"/>
  <c r="CG7" i="11"/>
  <c r="CG11" i="11" s="1"/>
  <c r="CG15" i="11"/>
  <c r="CH4" i="11"/>
  <c r="CG17" i="11"/>
  <c r="CG3" i="11"/>
  <c r="CG19" i="11"/>
  <c r="CG2" i="11"/>
  <c r="BU27" i="13"/>
  <c r="CA33" i="13"/>
  <c r="CA65" i="13" s="1"/>
  <c r="BY50" i="4"/>
  <c r="BY38" i="4"/>
  <c r="BY26" i="4"/>
  <c r="CC8" i="5" s="1"/>
  <c r="BY44" i="4"/>
  <c r="BY32" i="4"/>
  <c r="CF16" i="12"/>
  <c r="CF30" i="8" s="1"/>
  <c r="CF22" i="12"/>
  <c r="CG4" i="12"/>
  <c r="CF3" i="12"/>
  <c r="CF16" i="11"/>
  <c r="CF20" i="11" s="1"/>
  <c r="BS60" i="13"/>
  <c r="BS74" i="13" s="1"/>
  <c r="BS61" i="13"/>
  <c r="BS69" i="13"/>
  <c r="BU6" i="13"/>
  <c r="BW33" i="11"/>
  <c r="BW34" i="11"/>
  <c r="BW22" i="11"/>
  <c r="BW27" i="11"/>
  <c r="BX12" i="11"/>
  <c r="CD13" i="9"/>
  <c r="CD23" i="8" s="1"/>
  <c r="CD51" i="8" s="1"/>
  <c r="CD8" i="9"/>
  <c r="CD7" i="9"/>
  <c r="CE4" i="9"/>
  <c r="CD3" i="9"/>
  <c r="CE18" i="10"/>
  <c r="CE3" i="10"/>
  <c r="CE9" i="10"/>
  <c r="CE10" i="10" s="1"/>
  <c r="CE7" i="10"/>
  <c r="CE2" i="10"/>
  <c r="CE6" i="10"/>
  <c r="CE8" i="10"/>
  <c r="CE25" i="8" s="1"/>
  <c r="CF4" i="10"/>
  <c r="CA50" i="8"/>
  <c r="CA53" i="8" s="1"/>
  <c r="BX9" i="11"/>
  <c r="BY6" i="11" s="1"/>
  <c r="CC9" i="9"/>
  <c r="CC8" i="8"/>
  <c r="CF38" i="11"/>
  <c r="CF26" i="8" s="1"/>
  <c r="CF37" i="11"/>
  <c r="CF11" i="8" s="1"/>
  <c r="CD11" i="10"/>
  <c r="CC12" i="9"/>
  <c r="CC9" i="8"/>
  <c r="CF41" i="11"/>
  <c r="CF12" i="8" s="1"/>
  <c r="CF42" i="11"/>
  <c r="CF27" i="8" s="1"/>
  <c r="CB14" i="9"/>
  <c r="CB22" i="8"/>
  <c r="CD43" i="13"/>
  <c r="CD45" i="13"/>
  <c r="CD39" i="13"/>
  <c r="CD51" i="13"/>
  <c r="CD44" i="13"/>
  <c r="CD37" i="13"/>
  <c r="CD49" i="13"/>
  <c r="CD38" i="13"/>
  <c r="CD50" i="13"/>
  <c r="BT6" i="13"/>
  <c r="BV33" i="11"/>
  <c r="BV34" i="11"/>
  <c r="BV22" i="11"/>
  <c r="BV27" i="11"/>
  <c r="CD16" i="10"/>
  <c r="CD24" i="8"/>
  <c r="CD52" i="8" s="1"/>
  <c r="CD3" i="8"/>
  <c r="CD7" i="8"/>
  <c r="CE4" i="8"/>
  <c r="BT27" i="13"/>
  <c r="BZ33" i="13"/>
  <c r="BZ65" i="13" s="1"/>
  <c r="BS25" i="13"/>
  <c r="BY31" i="13"/>
  <c r="BY59" i="13" s="1"/>
  <c r="CD19" i="10"/>
  <c r="CD10" i="8"/>
  <c r="CC37" i="8"/>
  <c r="CC38" i="8" s="1"/>
  <c r="CC12" i="10"/>
  <c r="CD16" i="5"/>
  <c r="CD12" i="5"/>
  <c r="CE4" i="5"/>
  <c r="CD14" i="5"/>
  <c r="CD3" i="5"/>
  <c r="CD10" i="5"/>
  <c r="CD12" i="10" l="1"/>
  <c r="BT64" i="13"/>
  <c r="BT63" i="13"/>
  <c r="BT73" i="13" s="1"/>
  <c r="BT71" i="13"/>
  <c r="CD12" i="9"/>
  <c r="CD9" i="8"/>
  <c r="BW46" i="11"/>
  <c r="BW28" i="8"/>
  <c r="CG42" i="11"/>
  <c r="CG27" i="8" s="1"/>
  <c r="CG41" i="11"/>
  <c r="CG12" i="8" s="1"/>
  <c r="CE11" i="10"/>
  <c r="BW45" i="11"/>
  <c r="BW13" i="8"/>
  <c r="CF18" i="10"/>
  <c r="CF8" i="10"/>
  <c r="CF25" i="8" s="1"/>
  <c r="CF3" i="10"/>
  <c r="CF9" i="10"/>
  <c r="CF10" i="10" s="1"/>
  <c r="CF7" i="10"/>
  <c r="CF2" i="10"/>
  <c r="CF6" i="10"/>
  <c r="CG4" i="10"/>
  <c r="CC22" i="8"/>
  <c r="CC14" i="9"/>
  <c r="BU26" i="13"/>
  <c r="CA32" i="13"/>
  <c r="CA62" i="13" s="1"/>
  <c r="CA70" i="13" s="1"/>
  <c r="CE3" i="8"/>
  <c r="CE7" i="8"/>
  <c r="CF4" i="8"/>
  <c r="CE16" i="5"/>
  <c r="CE12" i="5"/>
  <c r="CF4" i="5"/>
  <c r="CE14" i="5"/>
  <c r="CE3" i="5"/>
  <c r="CE10" i="5"/>
  <c r="CD37" i="8"/>
  <c r="CD38" i="8" s="1"/>
  <c r="CE16" i="10"/>
  <c r="CE24" i="8"/>
  <c r="CE52" i="8" s="1"/>
  <c r="CF3" i="13"/>
  <c r="CH18" i="11"/>
  <c r="CH17" i="11"/>
  <c r="CH15" i="11"/>
  <c r="CI4" i="11"/>
  <c r="CH7" i="11"/>
  <c r="CH11" i="11" s="1"/>
  <c r="CH3" i="11"/>
  <c r="CH19" i="11"/>
  <c r="CH2" i="11"/>
  <c r="BT26" i="13"/>
  <c r="BZ32" i="13"/>
  <c r="BZ62" i="13" s="1"/>
  <c r="BZ70" i="13" s="1"/>
  <c r="CG16" i="11"/>
  <c r="CG20" i="11" s="1"/>
  <c r="CD9" i="9"/>
  <c r="CD8" i="8"/>
  <c r="CE19" i="10"/>
  <c r="CE10" i="8"/>
  <c r="BT5" i="13"/>
  <c r="BV28" i="11"/>
  <c r="BW28" i="11" s="1"/>
  <c r="BV43" i="8"/>
  <c r="BV44" i="8" s="1"/>
  <c r="CG38" i="11"/>
  <c r="CG26" i="8" s="1"/>
  <c r="CG37" i="11"/>
  <c r="CG11" i="8" s="1"/>
  <c r="BV23" i="11"/>
  <c r="BW23" i="11" s="1"/>
  <c r="CB50" i="8"/>
  <c r="CB53" i="8" s="1"/>
  <c r="BY8" i="11"/>
  <c r="CE38" i="13"/>
  <c r="CE44" i="13"/>
  <c r="CE37" i="13"/>
  <c r="CE51" i="13"/>
  <c r="CE45" i="13"/>
  <c r="CE43" i="13"/>
  <c r="CE50" i="13"/>
  <c r="CE49" i="13"/>
  <c r="CE39" i="13"/>
  <c r="BS58" i="13"/>
  <c r="BS57" i="13"/>
  <c r="BS72" i="13" s="1"/>
  <c r="BS56" i="13"/>
  <c r="BS55" i="13"/>
  <c r="BV46" i="11"/>
  <c r="BV28" i="8"/>
  <c r="BV7" i="13"/>
  <c r="BX13" i="11"/>
  <c r="CG16" i="12"/>
  <c r="CG30" i="8" s="1"/>
  <c r="CG22" i="12"/>
  <c r="CH4" i="12"/>
  <c r="CG3" i="12"/>
  <c r="BV45" i="11"/>
  <c r="BV13" i="8"/>
  <c r="BZ50" i="4"/>
  <c r="BZ38" i="4"/>
  <c r="BZ26" i="4"/>
  <c r="CD8" i="5" s="1"/>
  <c r="BZ44" i="4"/>
  <c r="BZ32" i="4"/>
  <c r="CE8" i="9"/>
  <c r="CE7" i="9"/>
  <c r="CF4" i="9"/>
  <c r="CE13" i="9"/>
  <c r="CE23" i="8" s="1"/>
  <c r="CE51" i="8" s="1"/>
  <c r="CE3" i="9"/>
  <c r="BU5" i="13"/>
  <c r="BW43" i="8"/>
  <c r="BU64" i="13"/>
  <c r="BU63" i="13"/>
  <c r="BU73" i="13" s="1"/>
  <c r="BU71" i="13"/>
  <c r="CF11" i="10" l="1"/>
  <c r="CF37" i="8" s="1"/>
  <c r="CE37" i="8"/>
  <c r="CE38" i="8" s="1"/>
  <c r="BT25" i="13"/>
  <c r="BZ31" i="13"/>
  <c r="BZ59" i="13" s="1"/>
  <c r="CH41" i="11"/>
  <c r="CH12" i="8" s="1"/>
  <c r="CH42" i="11"/>
  <c r="CH27" i="8" s="1"/>
  <c r="CC50" i="8"/>
  <c r="CC53" i="8" s="1"/>
  <c r="BW44" i="8"/>
  <c r="CG18" i="10"/>
  <c r="CG3" i="10"/>
  <c r="CG9" i="10"/>
  <c r="CG10" i="10" s="1"/>
  <c r="CG7" i="10"/>
  <c r="CG2" i="10"/>
  <c r="CG6" i="10"/>
  <c r="CG8" i="10"/>
  <c r="CG25" i="8" s="1"/>
  <c r="CH4" i="10"/>
  <c r="BU61" i="13"/>
  <c r="BU69" i="13"/>
  <c r="BU60" i="13"/>
  <c r="BU74" i="13" s="1"/>
  <c r="BV6" i="13"/>
  <c r="BX34" i="11"/>
  <c r="BX33" i="11"/>
  <c r="BX22" i="11"/>
  <c r="BX27" i="11"/>
  <c r="BV27" i="13"/>
  <c r="CB33" i="13"/>
  <c r="CB65" i="13" s="1"/>
  <c r="CF3" i="8"/>
  <c r="CF7" i="8"/>
  <c r="CG4" i="8"/>
  <c r="BT61" i="13"/>
  <c r="BT60" i="13"/>
  <c r="BT74" i="13" s="1"/>
  <c r="BT69" i="13"/>
  <c r="BU25" i="13"/>
  <c r="CA31" i="13"/>
  <c r="CA59" i="13" s="1"/>
  <c r="BY12" i="11"/>
  <c r="CG3" i="13"/>
  <c r="CI17" i="11"/>
  <c r="CI15" i="11"/>
  <c r="CI19" i="11"/>
  <c r="CI18" i="11"/>
  <c r="CI7" i="11"/>
  <c r="CI11" i="11" s="1"/>
  <c r="CJ4" i="11"/>
  <c r="CI3" i="11"/>
  <c r="CI2" i="11"/>
  <c r="CF16" i="10"/>
  <c r="CF24" i="8"/>
  <c r="CF52" i="8" s="1"/>
  <c r="CH16" i="12"/>
  <c r="CH30" i="8" s="1"/>
  <c r="CH22" i="12"/>
  <c r="CI4" i="12"/>
  <c r="CH3" i="12"/>
  <c r="BY9" i="11"/>
  <c r="BZ6" i="11" s="1"/>
  <c r="CH16" i="11"/>
  <c r="CH20" i="11" s="1"/>
  <c r="CD22" i="8"/>
  <c r="CD14" i="9"/>
  <c r="CF16" i="5"/>
  <c r="CF12" i="5"/>
  <c r="CG4" i="5"/>
  <c r="CF14" i="5"/>
  <c r="CF10" i="5"/>
  <c r="CF3" i="5"/>
  <c r="CE12" i="10"/>
  <c r="CA50" i="4"/>
  <c r="CA44" i="4"/>
  <c r="CA32" i="4"/>
  <c r="CA26" i="4"/>
  <c r="CE8" i="5" s="1"/>
  <c r="CA38" i="4"/>
  <c r="CH38" i="11"/>
  <c r="CH26" i="8" s="1"/>
  <c r="CH37" i="11"/>
  <c r="CH11" i="8" s="1"/>
  <c r="CF8" i="9"/>
  <c r="CF7" i="9"/>
  <c r="CG4" i="9"/>
  <c r="CF13" i="9"/>
  <c r="CF23" i="8" s="1"/>
  <c r="CF51" i="8" s="1"/>
  <c r="CF3" i="9"/>
  <c r="CE9" i="9"/>
  <c r="CE8" i="8"/>
  <c r="CE12" i="9"/>
  <c r="CE9" i="8"/>
  <c r="CF43" i="13"/>
  <c r="CF44" i="13"/>
  <c r="CF37" i="13"/>
  <c r="CF38" i="13"/>
  <c r="CF39" i="13"/>
  <c r="CF45" i="13"/>
  <c r="CF49" i="13"/>
  <c r="CF51" i="13"/>
  <c r="CF50" i="13"/>
  <c r="CF19" i="10"/>
  <c r="CF10" i="8"/>
  <c r="CF12" i="10" l="1"/>
  <c r="CF38" i="8"/>
  <c r="CI38" i="11"/>
  <c r="CI26" i="8" s="1"/>
  <c r="CI37" i="11"/>
  <c r="CI11" i="8" s="1"/>
  <c r="BV5" i="13"/>
  <c r="BX28" i="11"/>
  <c r="BX43" i="8"/>
  <c r="BX44" i="8" s="1"/>
  <c r="CB50" i="4"/>
  <c r="CB44" i="4"/>
  <c r="CB32" i="4"/>
  <c r="CB26" i="4"/>
  <c r="CF8" i="5" s="1"/>
  <c r="CB38" i="4"/>
  <c r="CI42" i="11"/>
  <c r="CI27" i="8" s="1"/>
  <c r="CI41" i="11"/>
  <c r="CI12" i="8" s="1"/>
  <c r="BW7" i="13"/>
  <c r="BY13" i="11"/>
  <c r="BX23" i="11"/>
  <c r="BV64" i="13"/>
  <c r="BV63" i="13"/>
  <c r="BV73" i="13" s="1"/>
  <c r="H84" i="13" s="1"/>
  <c r="H85" i="13" s="1"/>
  <c r="BV71" i="13"/>
  <c r="CI16" i="11"/>
  <c r="CI20" i="11" s="1"/>
  <c r="BX45" i="11"/>
  <c r="BX13" i="8"/>
  <c r="CH18" i="10"/>
  <c r="CH7" i="10"/>
  <c r="CH9" i="10"/>
  <c r="CH10" i="10" s="1"/>
  <c r="CH2" i="10"/>
  <c r="CH6" i="10"/>
  <c r="CH8" i="10"/>
  <c r="CH25" i="8" s="1"/>
  <c r="CI4" i="10"/>
  <c r="CH3" i="10"/>
  <c r="BU58" i="13"/>
  <c r="BU57" i="13"/>
  <c r="BU72" i="13" s="1"/>
  <c r="BU56" i="13"/>
  <c r="BU55" i="13"/>
  <c r="BX46" i="11"/>
  <c r="BX28" i="8"/>
  <c r="CG7" i="9"/>
  <c r="CH4" i="9"/>
  <c r="CG13" i="9"/>
  <c r="CG23" i="8" s="1"/>
  <c r="CG51" i="8" s="1"/>
  <c r="CG8" i="9"/>
  <c r="CG3" i="9"/>
  <c r="CF9" i="9"/>
  <c r="CF8" i="8"/>
  <c r="BV26" i="13"/>
  <c r="CB32" i="13"/>
  <c r="CB62" i="13" s="1"/>
  <c r="CB70" i="13" s="1"/>
  <c r="CG11" i="10"/>
  <c r="CG12" i="10" s="1"/>
  <c r="BT58" i="13"/>
  <c r="BT57" i="13"/>
  <c r="BT72" i="13" s="1"/>
  <c r="BT56" i="13"/>
  <c r="BT55" i="13"/>
  <c r="CF12" i="9"/>
  <c r="CF9" i="8"/>
  <c r="CD50" i="8"/>
  <c r="CD53" i="8" s="1"/>
  <c r="CG38" i="13"/>
  <c r="CG45" i="13"/>
  <c r="CG43" i="13"/>
  <c r="CG51" i="13"/>
  <c r="CG44" i="13"/>
  <c r="CG39" i="13"/>
  <c r="CG37" i="13"/>
  <c r="CG49" i="13"/>
  <c r="CG50" i="13"/>
  <c r="CG16" i="10"/>
  <c r="CG24" i="8"/>
  <c r="CG52" i="8" s="1"/>
  <c r="CG7" i="8"/>
  <c r="CH4" i="8"/>
  <c r="CG3" i="8"/>
  <c r="BZ8" i="11"/>
  <c r="BZ9" i="11" s="1"/>
  <c r="CA6" i="11" s="1"/>
  <c r="CE14" i="9"/>
  <c r="CE22" i="8"/>
  <c r="CG16" i="5"/>
  <c r="CG12" i="5"/>
  <c r="CH4" i="5"/>
  <c r="CG14" i="5"/>
  <c r="CG10" i="5"/>
  <c r="CG3" i="5"/>
  <c r="CG19" i="10"/>
  <c r="CG10" i="8"/>
  <c r="CI16" i="12"/>
  <c r="CI30" i="8" s="1"/>
  <c r="CI22" i="12"/>
  <c r="CJ4" i="12"/>
  <c r="CI3" i="12"/>
  <c r="CH3" i="13"/>
  <c r="CJ17" i="11"/>
  <c r="CJ3" i="11"/>
  <c r="CJ19" i="11"/>
  <c r="CJ7" i="11"/>
  <c r="CJ11" i="11" s="1"/>
  <c r="CK4" i="11"/>
  <c r="CJ15" i="11"/>
  <c r="CJ2" i="11"/>
  <c r="CJ18" i="11"/>
  <c r="CH11" i="10" l="1"/>
  <c r="CH12" i="10" s="1"/>
  <c r="CJ16" i="11"/>
  <c r="CJ20" i="11" s="1"/>
  <c r="CI4" i="8"/>
  <c r="CH7" i="8"/>
  <c r="CH3" i="8"/>
  <c r="CA8" i="11"/>
  <c r="CI3" i="13"/>
  <c r="CK19" i="11"/>
  <c r="CK18" i="11"/>
  <c r="CK7" i="11"/>
  <c r="CK11" i="11" s="1"/>
  <c r="CL4" i="11"/>
  <c r="CK3" i="11"/>
  <c r="CK17" i="11"/>
  <c r="CK15" i="11"/>
  <c r="CK2" i="11"/>
  <c r="BW6" i="13"/>
  <c r="BY34" i="11"/>
  <c r="BY33" i="11"/>
  <c r="BY22" i="11"/>
  <c r="BY27" i="11"/>
  <c r="CC44" i="4"/>
  <c r="CC32" i="4"/>
  <c r="CC50" i="4"/>
  <c r="CC26" i="4"/>
  <c r="CG8" i="5" s="1"/>
  <c r="CC38" i="4"/>
  <c r="BW27" i="13"/>
  <c r="CC33" i="13"/>
  <c r="CC65" i="13" s="1"/>
  <c r="BV61" i="13"/>
  <c r="BV69" i="13"/>
  <c r="BV60" i="13"/>
  <c r="BV74" i="13" s="1"/>
  <c r="B59" i="14" s="1"/>
  <c r="CJ42" i="11"/>
  <c r="CJ27" i="8" s="1"/>
  <c r="CJ41" i="11"/>
  <c r="CJ12" i="8" s="1"/>
  <c r="CG12" i="9"/>
  <c r="CG9" i="8"/>
  <c r="CF14" i="9"/>
  <c r="CF22" i="8"/>
  <c r="CI9" i="10"/>
  <c r="CI10" i="10" s="1"/>
  <c r="CI7" i="10"/>
  <c r="CI2" i="10"/>
  <c r="CI6" i="10"/>
  <c r="CI8" i="10"/>
  <c r="CI25" i="8" s="1"/>
  <c r="CJ4" i="10"/>
  <c r="CI18" i="10"/>
  <c r="CI3" i="10"/>
  <c r="B74" i="14"/>
  <c r="H109" i="13"/>
  <c r="B109" i="13"/>
  <c r="H86" i="13"/>
  <c r="D74" i="14" s="1"/>
  <c r="CH8" i="9"/>
  <c r="CH7" i="9"/>
  <c r="CI4" i="9"/>
  <c r="CH3" i="9"/>
  <c r="CH13" i="9"/>
  <c r="CH23" i="8" s="1"/>
  <c r="CH51" i="8" s="1"/>
  <c r="CG9" i="9"/>
  <c r="CG8" i="8"/>
  <c r="BV25" i="13"/>
  <c r="CB31" i="13"/>
  <c r="CB59" i="13" s="1"/>
  <c r="CH49" i="13"/>
  <c r="CH37" i="13"/>
  <c r="CH44" i="13"/>
  <c r="CH38" i="13"/>
  <c r="CH39" i="13"/>
  <c r="CH45" i="13"/>
  <c r="CH51" i="13"/>
  <c r="CH43" i="13"/>
  <c r="CH50" i="13"/>
  <c r="CJ37" i="11"/>
  <c r="CJ11" i="8" s="1"/>
  <c r="CJ38" i="11"/>
  <c r="CJ26" i="8" s="1"/>
  <c r="CH19" i="10"/>
  <c r="CH10" i="8"/>
  <c r="CH16" i="5"/>
  <c r="CH12" i="5"/>
  <c r="CI4" i="5"/>
  <c r="CH14" i="5"/>
  <c r="CH10" i="5"/>
  <c r="CH3" i="5"/>
  <c r="CE50" i="8"/>
  <c r="CE53" i="8" s="1"/>
  <c r="CJ16" i="12"/>
  <c r="CJ30" i="8" s="1"/>
  <c r="CJ22" i="12"/>
  <c r="CK4" i="12"/>
  <c r="CJ3" i="12"/>
  <c r="BZ12" i="11"/>
  <c r="CG37" i="8"/>
  <c r="CG38" i="8" s="1"/>
  <c r="CH16" i="10"/>
  <c r="CH24" i="8"/>
  <c r="CH52" i="8" s="1"/>
  <c r="CH37" i="8" l="1"/>
  <c r="C59" i="14"/>
  <c r="CK41" i="11"/>
  <c r="CK12" i="8" s="1"/>
  <c r="CK42" i="11"/>
  <c r="CK27" i="8" s="1"/>
  <c r="H111" i="13"/>
  <c r="H133" i="13" s="1"/>
  <c r="CI11" i="10"/>
  <c r="CI12" i="10" s="1"/>
  <c r="BY46" i="11"/>
  <c r="BY28" i="8"/>
  <c r="BV58" i="13"/>
  <c r="BV57" i="13"/>
  <c r="BV56" i="13"/>
  <c r="O59" i="14" s="1"/>
  <c r="BV55" i="13"/>
  <c r="N59" i="14" s="1"/>
  <c r="H110" i="13"/>
  <c r="H132" i="13" s="1"/>
  <c r="H112" i="13"/>
  <c r="H131" i="13"/>
  <c r="BW26" i="13"/>
  <c r="CC32" i="13"/>
  <c r="CC62" i="13" s="1"/>
  <c r="CC70" i="13" s="1"/>
  <c r="CI38" i="13"/>
  <c r="CI50" i="13"/>
  <c r="CI45" i="13"/>
  <c r="CI44" i="13"/>
  <c r="CI39" i="13"/>
  <c r="CI49" i="13"/>
  <c r="CI43" i="13"/>
  <c r="CI51" i="13"/>
  <c r="CH38" i="8"/>
  <c r="CI16" i="10"/>
  <c r="CI24" i="8"/>
  <c r="CI52" i="8" s="1"/>
  <c r="CA12" i="11"/>
  <c r="BY45" i="11"/>
  <c r="BY13" i="8"/>
  <c r="BX7" i="13"/>
  <c r="BZ13" i="11"/>
  <c r="CK22" i="12"/>
  <c r="CK3" i="12"/>
  <c r="CK16" i="12"/>
  <c r="CK30" i="8" s="1"/>
  <c r="CL4" i="12"/>
  <c r="BW64" i="13"/>
  <c r="BW63" i="13"/>
  <c r="BW73" i="13" s="1"/>
  <c r="BW71" i="13"/>
  <c r="CA9" i="11"/>
  <c r="CB6" i="11" s="1"/>
  <c r="CJ4" i="5"/>
  <c r="CI14" i="5"/>
  <c r="CI10" i="5"/>
  <c r="CI3" i="5"/>
  <c r="CI16" i="5"/>
  <c r="CI12" i="5"/>
  <c r="CF50" i="8"/>
  <c r="CF53" i="8" s="1"/>
  <c r="CK16" i="11"/>
  <c r="CK20" i="11" s="1"/>
  <c r="CJ4" i="8"/>
  <c r="CI3" i="8"/>
  <c r="CI7" i="8"/>
  <c r="CG14" i="9"/>
  <c r="CG22" i="8"/>
  <c r="CI8" i="9"/>
  <c r="CJ4" i="9"/>
  <c r="CI3" i="9"/>
  <c r="CI13" i="9"/>
  <c r="CI23" i="8" s="1"/>
  <c r="CI51" i="8" s="1"/>
  <c r="CI7" i="9"/>
  <c r="CJ3" i="13"/>
  <c r="CL7" i="11"/>
  <c r="CL11" i="11" s="1"/>
  <c r="CL15" i="11"/>
  <c r="CL19" i="11"/>
  <c r="CL18" i="11"/>
  <c r="CM4" i="11"/>
  <c r="CL3" i="11"/>
  <c r="CL17" i="11"/>
  <c r="CL2" i="11"/>
  <c r="CH9" i="9"/>
  <c r="CH8" i="8"/>
  <c r="CI19" i="10"/>
  <c r="CI10" i="8"/>
  <c r="BW5" i="13"/>
  <c r="BY28" i="11"/>
  <c r="BY43" i="8"/>
  <c r="BY44" i="8" s="1"/>
  <c r="CD44" i="4"/>
  <c r="CD32" i="4"/>
  <c r="CD26" i="4"/>
  <c r="CH8" i="5" s="1"/>
  <c r="CD38" i="4"/>
  <c r="CD50" i="4"/>
  <c r="CH9" i="8"/>
  <c r="CH12" i="9"/>
  <c r="CJ6" i="10"/>
  <c r="CJ2" i="10"/>
  <c r="CJ8" i="10"/>
  <c r="CJ25" i="8" s="1"/>
  <c r="CK4" i="10"/>
  <c r="CJ3" i="10"/>
  <c r="CJ18" i="10"/>
  <c r="CJ9" i="10"/>
  <c r="CJ10" i="10" s="1"/>
  <c r="CJ7" i="10"/>
  <c r="BY23" i="11"/>
  <c r="CK38" i="11"/>
  <c r="CK26" i="8" s="1"/>
  <c r="CK37" i="11"/>
  <c r="CK11" i="8" s="1"/>
  <c r="CJ11" i="10" l="1"/>
  <c r="C74" i="14"/>
  <c r="H135" i="13"/>
  <c r="CJ8" i="9"/>
  <c r="CJ7" i="9"/>
  <c r="CJ3" i="9"/>
  <c r="CJ13" i="9"/>
  <c r="CJ23" i="8" s="1"/>
  <c r="CJ51" i="8" s="1"/>
  <c r="CK4" i="9"/>
  <c r="CE44" i="4"/>
  <c r="CE32" i="4"/>
  <c r="CE50" i="4"/>
  <c r="CE38" i="4"/>
  <c r="CE26" i="4"/>
  <c r="CI8" i="5" s="1"/>
  <c r="BX6" i="13"/>
  <c r="CJ38" i="13" s="1"/>
  <c r="BZ34" i="11"/>
  <c r="BZ33" i="11"/>
  <c r="BZ22" i="11"/>
  <c r="BZ27" i="11"/>
  <c r="CJ37" i="8"/>
  <c r="CI12" i="9"/>
  <c r="CI9" i="8"/>
  <c r="CB8" i="11"/>
  <c r="CB9" i="11" s="1"/>
  <c r="CC6" i="11" s="1"/>
  <c r="CH14" i="9"/>
  <c r="CH22" i="8"/>
  <c r="BX27" i="13"/>
  <c r="CD33" i="13"/>
  <c r="CD65" i="13" s="1"/>
  <c r="BV72" i="13"/>
  <c r="P59" i="14"/>
  <c r="Q59" i="14" s="1"/>
  <c r="CK3" i="13"/>
  <c r="CM7" i="11"/>
  <c r="CM11" i="11" s="1"/>
  <c r="CM15" i="11"/>
  <c r="CM19" i="11"/>
  <c r="CM18" i="11"/>
  <c r="CM17" i="11"/>
  <c r="CN4" i="11"/>
  <c r="CM3" i="11"/>
  <c r="CM2" i="11"/>
  <c r="CG50" i="8"/>
  <c r="CG53" i="8" s="1"/>
  <c r="G59" i="14"/>
  <c r="C33" i="15" s="1"/>
  <c r="F59" i="14"/>
  <c r="H59" i="14"/>
  <c r="CL38" i="11"/>
  <c r="CL26" i="8" s="1"/>
  <c r="CL37" i="11"/>
  <c r="CL11" i="8" s="1"/>
  <c r="CL42" i="11"/>
  <c r="CL27" i="8" s="1"/>
  <c r="CL41" i="11"/>
  <c r="CL12" i="8" s="1"/>
  <c r="CL22" i="12"/>
  <c r="CM4" i="12"/>
  <c r="CL3" i="12"/>
  <c r="CL16" i="12"/>
  <c r="CL30" i="8" s="1"/>
  <c r="H134" i="13"/>
  <c r="F74" i="14" s="1"/>
  <c r="I109" i="13"/>
  <c r="CJ16" i="10"/>
  <c r="CJ24" i="8"/>
  <c r="CJ52" i="8" s="1"/>
  <c r="BW25" i="13"/>
  <c r="CC31" i="13"/>
  <c r="CC59" i="13" s="1"/>
  <c r="CL16" i="11"/>
  <c r="CL20" i="11" s="1"/>
  <c r="BY7" i="13"/>
  <c r="CA13" i="11"/>
  <c r="CI37" i="13"/>
  <c r="CI37" i="8"/>
  <c r="CI38" i="8" s="1"/>
  <c r="D59" i="14"/>
  <c r="CK4" i="5"/>
  <c r="CJ14" i="5"/>
  <c r="CJ10" i="5"/>
  <c r="CJ3" i="5"/>
  <c r="CJ12" i="5"/>
  <c r="CJ16" i="5"/>
  <c r="CJ12" i="10"/>
  <c r="CI8" i="8"/>
  <c r="CI9" i="9"/>
  <c r="CK8" i="10"/>
  <c r="CK25" i="8" s="1"/>
  <c r="CL4" i="10"/>
  <c r="CK6" i="10"/>
  <c r="CK3" i="10"/>
  <c r="CK18" i="10"/>
  <c r="CK2" i="10"/>
  <c r="CK7" i="10"/>
  <c r="CK9" i="10"/>
  <c r="CK10" i="10" s="1"/>
  <c r="CJ7" i="8"/>
  <c r="CK4" i="8"/>
  <c r="CJ3" i="8"/>
  <c r="CJ19" i="10"/>
  <c r="CJ10" i="8"/>
  <c r="CJ50" i="13"/>
  <c r="CJ49" i="13"/>
  <c r="CJ51" i="13"/>
  <c r="CJ43" i="13"/>
  <c r="CJ45" i="13"/>
  <c r="CJ39" i="13"/>
  <c r="CJ44" i="13"/>
  <c r="BW61" i="13"/>
  <c r="BW60" i="13"/>
  <c r="BW74" i="13" s="1"/>
  <c r="BW69" i="13"/>
  <c r="CK11" i="10" l="1"/>
  <c r="CK37" i="8" s="1"/>
  <c r="CM22" i="12"/>
  <c r="CN4" i="12"/>
  <c r="CM16" i="12"/>
  <c r="CM30" i="8" s="1"/>
  <c r="CM3" i="12"/>
  <c r="CM16" i="11"/>
  <c r="CM20" i="11" s="1"/>
  <c r="CI14" i="9"/>
  <c r="CI22" i="8"/>
  <c r="I59" i="14"/>
  <c r="CM42" i="11"/>
  <c r="CM27" i="8" s="1"/>
  <c r="CM41" i="11"/>
  <c r="CM12" i="8" s="1"/>
  <c r="CL6" i="10"/>
  <c r="CL8" i="10"/>
  <c r="CL25" i="8" s="1"/>
  <c r="CM4" i="10"/>
  <c r="CL3" i="10"/>
  <c r="CL18" i="10"/>
  <c r="CL9" i="10"/>
  <c r="CL10" i="10" s="1"/>
  <c r="CL7" i="10"/>
  <c r="CL2" i="10"/>
  <c r="CJ38" i="8"/>
  <c r="CK7" i="9"/>
  <c r="CL4" i="9"/>
  <c r="CK3" i="9"/>
  <c r="CK13" i="9"/>
  <c r="CK23" i="8" s="1"/>
  <c r="CK51" i="8" s="1"/>
  <c r="CK8" i="9"/>
  <c r="BW56" i="13"/>
  <c r="BW55" i="13"/>
  <c r="BW58" i="13"/>
  <c r="BW57" i="13"/>
  <c r="CL4" i="5"/>
  <c r="CK14" i="5"/>
  <c r="CK10" i="5"/>
  <c r="CK3" i="5"/>
  <c r="CK12" i="5"/>
  <c r="CK16" i="5"/>
  <c r="I110" i="13"/>
  <c r="I112" i="13"/>
  <c r="I111" i="13"/>
  <c r="CK44" i="13"/>
  <c r="CK49" i="13"/>
  <c r="CK45" i="13"/>
  <c r="CK39" i="13"/>
  <c r="CK50" i="13"/>
  <c r="CK51" i="13"/>
  <c r="CK43" i="13"/>
  <c r="CM38" i="11"/>
  <c r="CM26" i="8" s="1"/>
  <c r="CM37" i="11"/>
  <c r="CM11" i="8" s="1"/>
  <c r="BX5" i="13"/>
  <c r="BZ28" i="11"/>
  <c r="BZ43" i="8"/>
  <c r="BZ44" i="8" s="1"/>
  <c r="CK7" i="8"/>
  <c r="CL4" i="8"/>
  <c r="CK3" i="8"/>
  <c r="CF50" i="4"/>
  <c r="CF44" i="4"/>
  <c r="CF32" i="4"/>
  <c r="CF38" i="4"/>
  <c r="CF26" i="4"/>
  <c r="CJ8" i="5" s="1"/>
  <c r="BZ23" i="11"/>
  <c r="CJ9" i="9"/>
  <c r="CJ8" i="8"/>
  <c r="CK12" i="10"/>
  <c r="BY6" i="13"/>
  <c r="CK38" i="13" s="1"/>
  <c r="CA33" i="11"/>
  <c r="CA34" i="11"/>
  <c r="CA22" i="11"/>
  <c r="CA27" i="11"/>
  <c r="O18" i="15"/>
  <c r="BZ45" i="11"/>
  <c r="BZ13" i="8"/>
  <c r="CJ12" i="9"/>
  <c r="CJ9" i="8"/>
  <c r="CK19" i="10"/>
  <c r="CK10" i="8"/>
  <c r="N18" i="15"/>
  <c r="B18" i="15"/>
  <c r="P18" i="15"/>
  <c r="Q18" i="15" s="1"/>
  <c r="D18" i="15"/>
  <c r="E18" i="15" s="1"/>
  <c r="E59" i="14"/>
  <c r="BY27" i="13"/>
  <c r="CE33" i="13"/>
  <c r="CE65" i="13" s="1"/>
  <c r="BX64" i="13"/>
  <c r="BX63" i="13"/>
  <c r="BX73" i="13" s="1"/>
  <c r="BX71" i="13"/>
  <c r="BZ46" i="11"/>
  <c r="BZ28" i="8"/>
  <c r="CC8" i="11"/>
  <c r="C18" i="15"/>
  <c r="CH50" i="8"/>
  <c r="CH53" i="8" s="1"/>
  <c r="BX26" i="13"/>
  <c r="CD32" i="13"/>
  <c r="CD62" i="13" s="1"/>
  <c r="CD70" i="13" s="1"/>
  <c r="E74" i="14"/>
  <c r="V59" i="14"/>
  <c r="CK16" i="10"/>
  <c r="CK24" i="8"/>
  <c r="CK52" i="8" s="1"/>
  <c r="CL3" i="13"/>
  <c r="CN15" i="11"/>
  <c r="CN18" i="11"/>
  <c r="CN17" i="11"/>
  <c r="CN3" i="11"/>
  <c r="CN2" i="11"/>
  <c r="CN19" i="11"/>
  <c r="CO4" i="11"/>
  <c r="CN7" i="11"/>
  <c r="CN11" i="11" s="1"/>
  <c r="H136" i="13"/>
  <c r="H137" i="13" s="1"/>
  <c r="CB12" i="11"/>
  <c r="CG50" i="4" l="1"/>
  <c r="CG38" i="4"/>
  <c r="CG26" i="4"/>
  <c r="CK8" i="5" s="1"/>
  <c r="CG44" i="4"/>
  <c r="CG32" i="4"/>
  <c r="CJ14" i="9"/>
  <c r="CJ22" i="8"/>
  <c r="BX25" i="13"/>
  <c r="CD31" i="13"/>
  <c r="CD59" i="13" s="1"/>
  <c r="CJ37" i="13"/>
  <c r="CL11" i="10"/>
  <c r="CL12" i="10" s="1"/>
  <c r="BX60" i="13"/>
  <c r="BX74" i="13" s="1"/>
  <c r="BX61" i="13"/>
  <c r="BX69" i="13"/>
  <c r="CN38" i="11"/>
  <c r="CN26" i="8" s="1"/>
  <c r="CN37" i="11"/>
  <c r="CN11" i="8" s="1"/>
  <c r="CL7" i="9"/>
  <c r="CM4" i="9"/>
  <c r="CL13" i="9"/>
  <c r="CL23" i="8" s="1"/>
  <c r="CL51" i="8" s="1"/>
  <c r="CL8" i="9"/>
  <c r="CL3" i="9"/>
  <c r="CM4" i="5"/>
  <c r="CL14" i="5"/>
  <c r="CL10" i="5"/>
  <c r="CL3" i="5"/>
  <c r="CL16" i="5"/>
  <c r="CL12" i="5"/>
  <c r="CK9" i="9"/>
  <c r="CK8" i="8"/>
  <c r="CN22" i="12"/>
  <c r="CN16" i="12"/>
  <c r="CN30" i="8" s="1"/>
  <c r="CO4" i="12"/>
  <c r="CN3" i="12"/>
  <c r="CC12" i="11"/>
  <c r="BY64" i="13"/>
  <c r="BY63" i="13"/>
  <c r="BY73" i="13" s="1"/>
  <c r="BY71" i="13"/>
  <c r="CN16" i="11"/>
  <c r="CN20" i="11" s="1"/>
  <c r="BZ7" i="13"/>
  <c r="CL39" i="13" s="1"/>
  <c r="CB13" i="11"/>
  <c r="CL45" i="13"/>
  <c r="CL49" i="13"/>
  <c r="CL43" i="13"/>
  <c r="CL50" i="13"/>
  <c r="CL44" i="13"/>
  <c r="CL51" i="13"/>
  <c r="CM4" i="8"/>
  <c r="CL3" i="8"/>
  <c r="CL7" i="8"/>
  <c r="G74" i="14"/>
  <c r="W59" i="14"/>
  <c r="CC9" i="11"/>
  <c r="CD6" i="11" s="1"/>
  <c r="BY5" i="13"/>
  <c r="CA28" i="11"/>
  <c r="CA43" i="8"/>
  <c r="CA44" i="8" s="1"/>
  <c r="J109" i="13"/>
  <c r="CA23" i="11"/>
  <c r="CI50" i="8"/>
  <c r="CI53" i="8" s="1"/>
  <c r="H74" i="14"/>
  <c r="X59" i="14"/>
  <c r="Y59" i="14" s="1"/>
  <c r="CA46" i="11"/>
  <c r="CA28" i="8"/>
  <c r="BW72" i="13"/>
  <c r="CL16" i="10"/>
  <c r="CL24" i="8"/>
  <c r="CL52" i="8" s="1"/>
  <c r="CK38" i="8"/>
  <c r="CM3" i="13"/>
  <c r="CO18" i="11"/>
  <c r="CO17" i="11"/>
  <c r="CO2" i="11"/>
  <c r="CO19" i="11"/>
  <c r="CO15" i="11"/>
  <c r="CP4" i="11"/>
  <c r="CO7" i="11"/>
  <c r="CO11" i="11" s="1"/>
  <c r="CO3" i="11"/>
  <c r="CA45" i="11"/>
  <c r="CA13" i="8"/>
  <c r="CM3" i="10"/>
  <c r="CM18" i="10"/>
  <c r="CM6" i="10"/>
  <c r="CM8" i="10"/>
  <c r="CM25" i="8" s="1"/>
  <c r="CN4" i="10"/>
  <c r="CM9" i="10"/>
  <c r="CM10" i="10" s="1"/>
  <c r="CM7" i="10"/>
  <c r="CM2" i="10"/>
  <c r="CN42" i="11"/>
  <c r="CN27" i="8" s="1"/>
  <c r="CN41" i="11"/>
  <c r="CN12" i="8" s="1"/>
  <c r="BY26" i="13"/>
  <c r="CE32" i="13"/>
  <c r="CE62" i="13" s="1"/>
  <c r="CE70" i="13" s="1"/>
  <c r="CL19" i="10"/>
  <c r="CL10" i="8"/>
  <c r="CK12" i="9"/>
  <c r="CK9" i="8"/>
  <c r="CM3" i="8" l="1"/>
  <c r="CN4" i="8"/>
  <c r="CM7" i="8"/>
  <c r="CM19" i="10"/>
  <c r="CM10" i="8"/>
  <c r="CO42" i="11"/>
  <c r="CO27" i="8" s="1"/>
  <c r="CO41" i="11"/>
  <c r="CO12" i="8" s="1"/>
  <c r="CN4" i="9"/>
  <c r="CM3" i="9"/>
  <c r="CM7" i="9"/>
  <c r="CM13" i="9"/>
  <c r="CM23" i="8" s="1"/>
  <c r="CM51" i="8" s="1"/>
  <c r="CM8" i="9"/>
  <c r="CJ50" i="8"/>
  <c r="CJ53" i="8" s="1"/>
  <c r="CO16" i="12"/>
  <c r="CO30" i="8" s="1"/>
  <c r="CO3" i="12"/>
  <c r="CO22" i="12"/>
  <c r="CP4" i="12"/>
  <c r="CL9" i="9"/>
  <c r="CL8" i="8"/>
  <c r="BY61" i="13"/>
  <c r="BY60" i="13"/>
  <c r="BY74" i="13" s="1"/>
  <c r="BY69" i="13"/>
  <c r="CO37" i="11"/>
  <c r="CO11" i="8" s="1"/>
  <c r="CO38" i="11"/>
  <c r="CO26" i="8" s="1"/>
  <c r="BX58" i="13"/>
  <c r="BX57" i="13"/>
  <c r="BX55" i="13"/>
  <c r="BX56" i="13"/>
  <c r="CM51" i="13"/>
  <c r="CM50" i="13"/>
  <c r="CM45" i="13"/>
  <c r="CM43" i="13"/>
  <c r="CM44" i="13"/>
  <c r="CM49" i="13"/>
  <c r="BY25" i="13"/>
  <c r="CE31" i="13"/>
  <c r="CE59" i="13" s="1"/>
  <c r="CK37" i="13"/>
  <c r="CM11" i="10"/>
  <c r="CM12" i="10" s="1"/>
  <c r="CH50" i="4"/>
  <c r="CH38" i="4"/>
  <c r="CH26" i="4"/>
  <c r="CL8" i="5" s="1"/>
  <c r="CH32" i="4"/>
  <c r="CH44" i="4"/>
  <c r="CD8" i="11"/>
  <c r="CD9" i="11" s="1"/>
  <c r="CE6" i="11" s="1"/>
  <c r="CM14" i="5"/>
  <c r="CM10" i="5"/>
  <c r="CM3" i="5"/>
  <c r="CM16" i="5"/>
  <c r="CM12" i="5"/>
  <c r="CN4" i="5"/>
  <c r="J110" i="13"/>
  <c r="J112" i="13"/>
  <c r="J111" i="13"/>
  <c r="BZ6" i="13"/>
  <c r="CB34" i="11"/>
  <c r="CB22" i="11"/>
  <c r="CB33" i="11"/>
  <c r="CB27" i="11"/>
  <c r="CA7" i="13"/>
  <c r="CC13" i="11"/>
  <c r="CL12" i="9"/>
  <c r="CL9" i="8"/>
  <c r="CM16" i="10"/>
  <c r="CM24" i="8"/>
  <c r="CM52" i="8" s="1"/>
  <c r="CK14" i="9"/>
  <c r="CK22" i="8"/>
  <c r="BZ27" i="13"/>
  <c r="CF33" i="13"/>
  <c r="CF65" i="13" s="1"/>
  <c r="CL37" i="8"/>
  <c r="CL38" i="8" s="1"/>
  <c r="CO16" i="11"/>
  <c r="CO20" i="11" s="1"/>
  <c r="CN2" i="10"/>
  <c r="CN18" i="10"/>
  <c r="CN8" i="10"/>
  <c r="CN25" i="8" s="1"/>
  <c r="CO4" i="10"/>
  <c r="CN3" i="10"/>
  <c r="CN9" i="10"/>
  <c r="CN10" i="10" s="1"/>
  <c r="CN7" i="10"/>
  <c r="CN6" i="10"/>
  <c r="CN3" i="13"/>
  <c r="CP19" i="11"/>
  <c r="CP17" i="11"/>
  <c r="CP2" i="11"/>
  <c r="CP15" i="11"/>
  <c r="CQ4" i="11"/>
  <c r="CP7" i="11"/>
  <c r="CP11" i="11" s="1"/>
  <c r="CP18" i="11"/>
  <c r="CP3" i="11"/>
  <c r="CE8" i="11" l="1"/>
  <c r="CE12" i="11" s="1"/>
  <c r="BY58" i="13"/>
  <c r="BY57" i="13"/>
  <c r="BY72" i="13" s="1"/>
  <c r="BY56" i="13"/>
  <c r="BY55" i="13"/>
  <c r="CN3" i="9"/>
  <c r="CN13" i="9"/>
  <c r="CN23" i="8" s="1"/>
  <c r="CN51" i="8" s="1"/>
  <c r="CN8" i="9"/>
  <c r="CO4" i="9"/>
  <c r="CN7" i="9"/>
  <c r="CA27" i="13"/>
  <c r="CG33" i="13"/>
  <c r="CG65" i="13" s="1"/>
  <c r="CN14" i="5"/>
  <c r="CN10" i="5"/>
  <c r="CN3" i="5"/>
  <c r="CN16" i="5"/>
  <c r="CN12" i="5"/>
  <c r="CO4" i="5"/>
  <c r="CA6" i="13"/>
  <c r="CC34" i="11"/>
  <c r="CC33" i="11"/>
  <c r="CC22" i="11"/>
  <c r="CC27" i="11"/>
  <c r="CD12" i="11"/>
  <c r="CP42" i="11"/>
  <c r="CP27" i="8" s="1"/>
  <c r="CP41" i="11"/>
  <c r="CP12" i="8" s="1"/>
  <c r="BZ64" i="13"/>
  <c r="BZ63" i="13"/>
  <c r="BZ73" i="13" s="1"/>
  <c r="BZ71" i="13"/>
  <c r="BZ5" i="13"/>
  <c r="CB28" i="11"/>
  <c r="CB43" i="8"/>
  <c r="CB44" i="8" s="1"/>
  <c r="K109" i="13"/>
  <c r="BX72" i="13"/>
  <c r="CB45" i="11"/>
  <c r="CB13" i="8"/>
  <c r="CO3" i="13"/>
  <c r="CQ19" i="11"/>
  <c r="CQ17" i="11"/>
  <c r="CQ2" i="11"/>
  <c r="CQ15" i="11"/>
  <c r="CQ7" i="11"/>
  <c r="CQ11" i="11" s="1"/>
  <c r="CR4" i="11"/>
  <c r="CQ18" i="11"/>
  <c r="CQ3" i="11"/>
  <c r="CB23" i="11"/>
  <c r="CM9" i="9"/>
  <c r="CM8" i="8"/>
  <c r="CP16" i="11"/>
  <c r="CP20" i="11" s="1"/>
  <c r="CL14" i="9"/>
  <c r="CL22" i="8"/>
  <c r="CN50" i="13"/>
  <c r="CN43" i="13"/>
  <c r="CN44" i="13"/>
  <c r="CN45" i="13"/>
  <c r="CN49" i="13"/>
  <c r="CN51" i="13"/>
  <c r="CN11" i="10"/>
  <c r="CN12" i="10" s="1"/>
  <c r="CN16" i="10"/>
  <c r="CN24" i="8"/>
  <c r="CN52" i="8" s="1"/>
  <c r="CK50" i="8"/>
  <c r="CK53" i="8" s="1"/>
  <c r="CB46" i="11"/>
  <c r="CB28" i="8"/>
  <c r="BZ26" i="13"/>
  <c r="CF32" i="13"/>
  <c r="CF62" i="13" s="1"/>
  <c r="CF70" i="13" s="1"/>
  <c r="CL38" i="13"/>
  <c r="CI50" i="4"/>
  <c r="CI38" i="4"/>
  <c r="CI26" i="4"/>
  <c r="CM8" i="5" s="1"/>
  <c r="CI32" i="4"/>
  <c r="CI44" i="4"/>
  <c r="CN3" i="8"/>
  <c r="CO4" i="8"/>
  <c r="CN7" i="8"/>
  <c r="CN19" i="10"/>
  <c r="CN10" i="8"/>
  <c r="CM39" i="13"/>
  <c r="CM12" i="9"/>
  <c r="CM9" i="8"/>
  <c r="CP38" i="11"/>
  <c r="CP26" i="8" s="1"/>
  <c r="CP37" i="11"/>
  <c r="CP11" i="8" s="1"/>
  <c r="CO18" i="10"/>
  <c r="CO8" i="10"/>
  <c r="CO25" i="8" s="1"/>
  <c r="CP4" i="10"/>
  <c r="CO3" i="10"/>
  <c r="CO9" i="10"/>
  <c r="CO10" i="10" s="1"/>
  <c r="CO7" i="10"/>
  <c r="CO2" i="10"/>
  <c r="CO6" i="10"/>
  <c r="CM37" i="8"/>
  <c r="CM38" i="8" s="1"/>
  <c r="CP16" i="12"/>
  <c r="CP30" i="8" s="1"/>
  <c r="CP3" i="12"/>
  <c r="CP22" i="12"/>
  <c r="CQ4" i="12"/>
  <c r="CC45" i="11" l="1"/>
  <c r="CC13" i="8"/>
  <c r="CQ42" i="11"/>
  <c r="CQ27" i="8" s="1"/>
  <c r="CQ41" i="11"/>
  <c r="CQ12" i="8" s="1"/>
  <c r="CC46" i="11"/>
  <c r="CC28" i="8"/>
  <c r="CP18" i="10"/>
  <c r="CP9" i="10"/>
  <c r="CP10" i="10" s="1"/>
  <c r="CQ4" i="10"/>
  <c r="CP3" i="10"/>
  <c r="CP7" i="10"/>
  <c r="CP2" i="10"/>
  <c r="CP6" i="10"/>
  <c r="CP8" i="10"/>
  <c r="CP25" i="8" s="1"/>
  <c r="CO19" i="10"/>
  <c r="CO10" i="8"/>
  <c r="CO44" i="13"/>
  <c r="CO50" i="13"/>
  <c r="CO43" i="13"/>
  <c r="CO49" i="13"/>
  <c r="CO45" i="13"/>
  <c r="CO51" i="13"/>
  <c r="CA26" i="13"/>
  <c r="CG32" i="13"/>
  <c r="CG62" i="13" s="1"/>
  <c r="CG70" i="13" s="1"/>
  <c r="CM38" i="13"/>
  <c r="CA5" i="13"/>
  <c r="CC28" i="11"/>
  <c r="CC43" i="8"/>
  <c r="CC44" i="8" s="1"/>
  <c r="CO3" i="8"/>
  <c r="CO7" i="8"/>
  <c r="CP4" i="8"/>
  <c r="CC23" i="11"/>
  <c r="CJ50" i="4"/>
  <c r="CJ38" i="4"/>
  <c r="CJ26" i="4"/>
  <c r="CN8" i="5" s="1"/>
  <c r="CJ32" i="4"/>
  <c r="CJ44" i="4"/>
  <c r="CA63" i="13"/>
  <c r="CA73" i="13" s="1"/>
  <c r="CA64" i="13"/>
  <c r="CA71" i="13"/>
  <c r="CL50" i="8"/>
  <c r="CL53" i="8" s="1"/>
  <c r="CO16" i="5"/>
  <c r="CO12" i="5"/>
  <c r="CO14" i="5"/>
  <c r="CO3" i="5"/>
  <c r="CO10" i="5"/>
  <c r="CP4" i="5"/>
  <c r="CO11" i="10"/>
  <c r="CQ38" i="11"/>
  <c r="CQ26" i="8" s="1"/>
  <c r="CQ37" i="11"/>
  <c r="CQ11" i="8" s="1"/>
  <c r="BZ25" i="13"/>
  <c r="CF31" i="13"/>
  <c r="CF59" i="13" s="1"/>
  <c r="CL37" i="13"/>
  <c r="CN9" i="9"/>
  <c r="CN8" i="8"/>
  <c r="CP3" i="13"/>
  <c r="CR19" i="11"/>
  <c r="CR18" i="11"/>
  <c r="CR7" i="11"/>
  <c r="CR11" i="11" s="1"/>
  <c r="CR15" i="11"/>
  <c r="CR17" i="11"/>
  <c r="CS4" i="11"/>
  <c r="CR3" i="11"/>
  <c r="CR2" i="11"/>
  <c r="K110" i="13"/>
  <c r="K112" i="13"/>
  <c r="K111" i="13"/>
  <c r="CO3" i="9"/>
  <c r="CO13" i="9"/>
  <c r="CO23" i="8" s="1"/>
  <c r="CO51" i="8" s="1"/>
  <c r="CO8" i="9"/>
  <c r="CP4" i="9"/>
  <c r="CO7" i="9"/>
  <c r="CQ16" i="12"/>
  <c r="CQ30" i="8" s="1"/>
  <c r="CQ22" i="12"/>
  <c r="CR4" i="12"/>
  <c r="CQ3" i="12"/>
  <c r="CO16" i="10"/>
  <c r="CO24" i="8"/>
  <c r="CO52" i="8" s="1"/>
  <c r="CM14" i="9"/>
  <c r="CM22" i="8"/>
  <c r="CN37" i="8"/>
  <c r="CN38" i="8" s="1"/>
  <c r="CN12" i="9"/>
  <c r="CN9" i="8"/>
  <c r="CC7" i="13"/>
  <c r="CO39" i="13" s="1"/>
  <c r="CE13" i="11"/>
  <c r="BZ61" i="13"/>
  <c r="BZ60" i="13"/>
  <c r="BZ74" i="13" s="1"/>
  <c r="BZ69" i="13"/>
  <c r="CQ16" i="11"/>
  <c r="CQ20" i="11" s="1"/>
  <c r="CB7" i="13"/>
  <c r="CD13" i="11"/>
  <c r="CE9" i="11"/>
  <c r="CF6" i="11" s="1"/>
  <c r="CO37" i="8" l="1"/>
  <c r="CO38" i="8" s="1"/>
  <c r="CR38" i="11"/>
  <c r="CR26" i="8" s="1"/>
  <c r="CR37" i="11"/>
  <c r="CR11" i="8" s="1"/>
  <c r="CK50" i="4"/>
  <c r="CK38" i="4"/>
  <c r="CK26" i="4"/>
  <c r="CO8" i="5" s="1"/>
  <c r="CK44" i="4"/>
  <c r="CK32" i="4"/>
  <c r="CP16" i="5"/>
  <c r="CP12" i="5"/>
  <c r="CQ4" i="5"/>
  <c r="CP10" i="5"/>
  <c r="CP3" i="5"/>
  <c r="CP14" i="5"/>
  <c r="CR16" i="12"/>
  <c r="CR30" i="8" s="1"/>
  <c r="CR22" i="12"/>
  <c r="CS4" i="12"/>
  <c r="CR3" i="12"/>
  <c r="CR41" i="11"/>
  <c r="CR12" i="8" s="1"/>
  <c r="CR42" i="11"/>
  <c r="CR27" i="8" s="1"/>
  <c r="CP11" i="10"/>
  <c r="CR16" i="11"/>
  <c r="CR20" i="11" s="1"/>
  <c r="CP50" i="13"/>
  <c r="CP51" i="13"/>
  <c r="CP43" i="13"/>
  <c r="CP45" i="13"/>
  <c r="CP49" i="13"/>
  <c r="CP44" i="13"/>
  <c r="CP3" i="8"/>
  <c r="CP7" i="8"/>
  <c r="CQ4" i="8"/>
  <c r="CF8" i="11"/>
  <c r="CF9" i="11" s="1"/>
  <c r="CG6" i="11" s="1"/>
  <c r="L109" i="13"/>
  <c r="CP16" i="10"/>
  <c r="CP24" i="8"/>
  <c r="CP52" i="8" s="1"/>
  <c r="CQ18" i="10"/>
  <c r="CQ3" i="10"/>
  <c r="CQ7" i="10"/>
  <c r="CQ9" i="10"/>
  <c r="CQ10" i="10" s="1"/>
  <c r="CQ2" i="10"/>
  <c r="CQ6" i="10"/>
  <c r="CQ8" i="10"/>
  <c r="CQ25" i="8" s="1"/>
  <c r="CR4" i="10"/>
  <c r="CN14" i="9"/>
  <c r="CN22" i="8"/>
  <c r="CB27" i="13"/>
  <c r="CH33" i="13"/>
  <c r="CH65" i="13" s="1"/>
  <c r="CN39" i="13"/>
  <c r="CO12" i="10"/>
  <c r="CA61" i="13"/>
  <c r="CA60" i="13"/>
  <c r="CA74" i="13" s="1"/>
  <c r="CA69" i="13"/>
  <c r="CQ3" i="13"/>
  <c r="CS18" i="11"/>
  <c r="CS7" i="11"/>
  <c r="CS11" i="11" s="1"/>
  <c r="CS15" i="11"/>
  <c r="CT4" i="11"/>
  <c r="CS17" i="11"/>
  <c r="CS19" i="11"/>
  <c r="CS3" i="11"/>
  <c r="CS2" i="11"/>
  <c r="CP19" i="10"/>
  <c r="CP10" i="8"/>
  <c r="CO9" i="8"/>
  <c r="CO12" i="9"/>
  <c r="CB6" i="13"/>
  <c r="CD34" i="11"/>
  <c r="CD33" i="11"/>
  <c r="CD22" i="11"/>
  <c r="CD27" i="11"/>
  <c r="CC6" i="13"/>
  <c r="CE34" i="11"/>
  <c r="CE33" i="11"/>
  <c r="CE22" i="11"/>
  <c r="CE27" i="11"/>
  <c r="BZ58" i="13"/>
  <c r="BZ57" i="13"/>
  <c r="BZ56" i="13"/>
  <c r="BZ55" i="13"/>
  <c r="CC27" i="13"/>
  <c r="CI33" i="13"/>
  <c r="CI65" i="13" s="1"/>
  <c r="CM50" i="8"/>
  <c r="CM53" i="8" s="1"/>
  <c r="CO9" i="9"/>
  <c r="CO8" i="8"/>
  <c r="CA25" i="13"/>
  <c r="CG31" i="13"/>
  <c r="CG59" i="13" s="1"/>
  <c r="CM37" i="13"/>
  <c r="CP13" i="9"/>
  <c r="CP23" i="8" s="1"/>
  <c r="CP51" i="8" s="1"/>
  <c r="CP8" i="9"/>
  <c r="CQ4" i="9"/>
  <c r="CP3" i="9"/>
  <c r="CP7" i="9"/>
  <c r="CC5" i="13" l="1"/>
  <c r="CE43" i="8"/>
  <c r="CS38" i="11"/>
  <c r="CS26" i="8" s="1"/>
  <c r="CS37" i="11"/>
  <c r="CS11" i="8" s="1"/>
  <c r="CP37" i="8"/>
  <c r="CP38" i="8" s="1"/>
  <c r="CQ16" i="5"/>
  <c r="CQ12" i="5"/>
  <c r="CR4" i="5"/>
  <c r="CQ10" i="5"/>
  <c r="CQ14" i="5"/>
  <c r="CQ3" i="5"/>
  <c r="BZ72" i="13"/>
  <c r="CA57" i="13"/>
  <c r="CA72" i="13" s="1"/>
  <c r="CA56" i="13"/>
  <c r="CA55" i="13"/>
  <c r="CA58" i="13"/>
  <c r="CQ11" i="10"/>
  <c r="CE45" i="11"/>
  <c r="CE13" i="8"/>
  <c r="L110" i="13"/>
  <c r="L112" i="13"/>
  <c r="L111" i="13"/>
  <c r="CQ45" i="13"/>
  <c r="CQ51" i="13"/>
  <c r="CQ44" i="13"/>
  <c r="CQ50" i="13"/>
  <c r="CQ49" i="13"/>
  <c r="CQ43" i="13"/>
  <c r="CE46" i="11"/>
  <c r="CE28" i="8"/>
  <c r="CS16" i="12"/>
  <c r="CS30" i="8" s="1"/>
  <c r="CS22" i="12"/>
  <c r="CT4" i="12"/>
  <c r="CS3" i="12"/>
  <c r="CB26" i="13"/>
  <c r="CH32" i="13"/>
  <c r="CH62" i="13" s="1"/>
  <c r="CH70" i="13" s="1"/>
  <c r="J60" i="14" s="1"/>
  <c r="CN38" i="13"/>
  <c r="CO22" i="8"/>
  <c r="CO14" i="9"/>
  <c r="CP12" i="10"/>
  <c r="CQ16" i="10"/>
  <c r="CQ24" i="8"/>
  <c r="CQ52" i="8" s="1"/>
  <c r="CF12" i="11"/>
  <c r="CL50" i="4"/>
  <c r="CL38" i="4"/>
  <c r="CL26" i="4"/>
  <c r="CP8" i="5" s="1"/>
  <c r="CL44" i="4"/>
  <c r="CL32" i="4"/>
  <c r="CB5" i="13"/>
  <c r="CD28" i="11"/>
  <c r="CE28" i="11" s="1"/>
  <c r="CD43" i="8"/>
  <c r="CD44" i="8" s="1"/>
  <c r="CS42" i="11"/>
  <c r="CS27" i="8" s="1"/>
  <c r="CS41" i="11"/>
  <c r="CS12" i="8" s="1"/>
  <c r="CQ19" i="10"/>
  <c r="CQ10" i="8"/>
  <c r="CQ3" i="8"/>
  <c r="CQ7" i="8"/>
  <c r="CR4" i="8"/>
  <c r="CC26" i="13"/>
  <c r="CI32" i="13"/>
  <c r="CI62" i="13" s="1"/>
  <c r="CI70" i="13" s="1"/>
  <c r="CO38" i="13"/>
  <c r="CQ8" i="9"/>
  <c r="CQ7" i="9"/>
  <c r="CQ13" i="9"/>
  <c r="CQ23" i="8" s="1"/>
  <c r="CQ51" i="8" s="1"/>
  <c r="CQ3" i="9"/>
  <c r="CR4" i="9"/>
  <c r="CP12" i="9"/>
  <c r="CP9" i="8"/>
  <c r="CR18" i="10"/>
  <c r="CR8" i="10"/>
  <c r="CR25" i="8" s="1"/>
  <c r="CR3" i="10"/>
  <c r="CR7" i="10"/>
  <c r="CR9" i="10"/>
  <c r="CR10" i="10" s="1"/>
  <c r="CR2" i="10"/>
  <c r="CR6" i="10"/>
  <c r="CS4" i="10"/>
  <c r="CG8" i="11"/>
  <c r="CG12" i="11" s="1"/>
  <c r="CC64" i="13"/>
  <c r="CC63" i="13"/>
  <c r="CC73" i="13" s="1"/>
  <c r="CC71" i="13"/>
  <c r="CD23" i="11"/>
  <c r="CE23" i="11" s="1"/>
  <c r="CD45" i="11"/>
  <c r="CD13" i="8"/>
  <c r="CR3" i="13"/>
  <c r="CT18" i="11"/>
  <c r="CT17" i="11"/>
  <c r="CT15" i="11"/>
  <c r="CU4" i="11"/>
  <c r="CT19" i="11"/>
  <c r="CT3" i="11"/>
  <c r="CT7" i="11"/>
  <c r="CT11" i="11" s="1"/>
  <c r="CT2" i="11"/>
  <c r="CB64" i="13"/>
  <c r="CB63" i="13"/>
  <c r="CB73" i="13" s="1"/>
  <c r="CB71" i="13"/>
  <c r="CP9" i="9"/>
  <c r="CP8" i="8"/>
  <c r="CD46" i="11"/>
  <c r="CD28" i="8"/>
  <c r="CS16" i="11"/>
  <c r="CS20" i="11" s="1"/>
  <c r="CN50" i="8"/>
  <c r="CN53" i="8" s="1"/>
  <c r="CG9" i="11" l="1"/>
  <c r="CH6" i="11" s="1"/>
  <c r="CB25" i="13"/>
  <c r="CH31" i="13"/>
  <c r="CH59" i="13" s="1"/>
  <c r="CN37" i="13"/>
  <c r="CO50" i="8"/>
  <c r="CO53" i="8" s="1"/>
  <c r="CT42" i="11"/>
  <c r="CT27" i="8" s="1"/>
  <c r="CT41" i="11"/>
  <c r="CT12" i="8" s="1"/>
  <c r="CR16" i="10"/>
  <c r="CR24" i="8"/>
  <c r="CR52" i="8" s="1"/>
  <c r="CP22" i="8"/>
  <c r="CP14" i="9"/>
  <c r="CR8" i="9"/>
  <c r="CR7" i="9"/>
  <c r="CS4" i="9"/>
  <c r="CR13" i="9"/>
  <c r="CR23" i="8" s="1"/>
  <c r="CR51" i="8" s="1"/>
  <c r="CR3" i="9"/>
  <c r="K60" i="14"/>
  <c r="L60" i="14" s="1"/>
  <c r="M60" i="14" s="1"/>
  <c r="CT16" i="11"/>
  <c r="CT20" i="11" s="1"/>
  <c r="CB61" i="13"/>
  <c r="CB60" i="13"/>
  <c r="CB74" i="13" s="1"/>
  <c r="CB69" i="13"/>
  <c r="CQ37" i="8"/>
  <c r="CQ38" i="8" s="1"/>
  <c r="CR16" i="5"/>
  <c r="CR12" i="5"/>
  <c r="CS4" i="5"/>
  <c r="CR14" i="5"/>
  <c r="CR10" i="5"/>
  <c r="CR3" i="5"/>
  <c r="CT38" i="11"/>
  <c r="CT26" i="8" s="1"/>
  <c r="CT37" i="11"/>
  <c r="CT11" i="8" s="1"/>
  <c r="CQ9" i="9"/>
  <c r="CQ8" i="8"/>
  <c r="CT16" i="12"/>
  <c r="CT30" i="8" s="1"/>
  <c r="CT22" i="12"/>
  <c r="CU4" i="12"/>
  <c r="CT3" i="12"/>
  <c r="CE44" i="8"/>
  <c r="CQ12" i="9"/>
  <c r="CQ9" i="8"/>
  <c r="CR45" i="13"/>
  <c r="CR50" i="13"/>
  <c r="CR51" i="13"/>
  <c r="CR49" i="13"/>
  <c r="CR43" i="13"/>
  <c r="CR44" i="13"/>
  <c r="CE7" i="13"/>
  <c r="CG13" i="11"/>
  <c r="CD7" i="13"/>
  <c r="CF13" i="11"/>
  <c r="CS3" i="13"/>
  <c r="CU17" i="11"/>
  <c r="CU15" i="11"/>
  <c r="CU19" i="11"/>
  <c r="CU3" i="11"/>
  <c r="CU7" i="11"/>
  <c r="CU11" i="11" s="1"/>
  <c r="CV4" i="11"/>
  <c r="CU18" i="11"/>
  <c r="CU2" i="11"/>
  <c r="CC25" i="13"/>
  <c r="CI31" i="13"/>
  <c r="CI59" i="13" s="1"/>
  <c r="CO37" i="13"/>
  <c r="CR19" i="10"/>
  <c r="CR10" i="8"/>
  <c r="CS18" i="10"/>
  <c r="CS3" i="10"/>
  <c r="CS7" i="10"/>
  <c r="CS9" i="10"/>
  <c r="CS10" i="10" s="1"/>
  <c r="CS2" i="10"/>
  <c r="CS6" i="10"/>
  <c r="CS8" i="10"/>
  <c r="CS25" i="8" s="1"/>
  <c r="CT4" i="10"/>
  <c r="CC61" i="13"/>
  <c r="CC60" i="13"/>
  <c r="CC74" i="13" s="1"/>
  <c r="CC69" i="13"/>
  <c r="CM50" i="4"/>
  <c r="CM44" i="4"/>
  <c r="CM32" i="4"/>
  <c r="CM26" i="4"/>
  <c r="CQ8" i="5" s="1"/>
  <c r="CM38" i="4"/>
  <c r="CH8" i="11"/>
  <c r="CH9" i="11" s="1"/>
  <c r="CI6" i="11" s="1"/>
  <c r="CR11" i="10"/>
  <c r="CR3" i="8"/>
  <c r="CR7" i="8"/>
  <c r="CS4" i="8"/>
  <c r="CQ12" i="10"/>
  <c r="CS11" i="10" l="1"/>
  <c r="CR12" i="10"/>
  <c r="CU16" i="11"/>
  <c r="CU20" i="11" s="1"/>
  <c r="CR37" i="8"/>
  <c r="CR38" i="8" s="1"/>
  <c r="CU16" i="12"/>
  <c r="CU30" i="8" s="1"/>
  <c r="CU22" i="12"/>
  <c r="CV4" i="12"/>
  <c r="CU3" i="12"/>
  <c r="CS7" i="9"/>
  <c r="CT4" i="9"/>
  <c r="CS13" i="9"/>
  <c r="CS23" i="8" s="1"/>
  <c r="CS51" i="8" s="1"/>
  <c r="CS3" i="9"/>
  <c r="CS8" i="9"/>
  <c r="CT18" i="10"/>
  <c r="CT7" i="10"/>
  <c r="CT3" i="10"/>
  <c r="CT9" i="10"/>
  <c r="CT10" i="10" s="1"/>
  <c r="CT2" i="10"/>
  <c r="CT6" i="10"/>
  <c r="CT8" i="10"/>
  <c r="CT25" i="8" s="1"/>
  <c r="CU4" i="10"/>
  <c r="CR9" i="9"/>
  <c r="CR8" i="8"/>
  <c r="CU42" i="11"/>
  <c r="CU27" i="8" s="1"/>
  <c r="CU41" i="11"/>
  <c r="CU12" i="8" s="1"/>
  <c r="CH12" i="11"/>
  <c r="CC58" i="13"/>
  <c r="CC57" i="13"/>
  <c r="CC72" i="13" s="1"/>
  <c r="CC55" i="13"/>
  <c r="CC56" i="13"/>
  <c r="CS51" i="13"/>
  <c r="CS50" i="13"/>
  <c r="CS43" i="13"/>
  <c r="CS44" i="13"/>
  <c r="CS45" i="13"/>
  <c r="CS49" i="13"/>
  <c r="CR12" i="9"/>
  <c r="CR9" i="8"/>
  <c r="CQ14" i="9"/>
  <c r="CQ22" i="8"/>
  <c r="CS37" i="8"/>
  <c r="CS38" i="8" s="1"/>
  <c r="CN50" i="4"/>
  <c r="CN44" i="4"/>
  <c r="CN32" i="4"/>
  <c r="CN26" i="4"/>
  <c r="CR8" i="5" s="1"/>
  <c r="CN38" i="4"/>
  <c r="CI8" i="11"/>
  <c r="CI9" i="11" s="1"/>
  <c r="CJ6" i="11" s="1"/>
  <c r="CD6" i="13"/>
  <c r="CF34" i="11"/>
  <c r="CF33" i="11"/>
  <c r="CF22" i="11"/>
  <c r="CF27" i="11"/>
  <c r="CD27" i="13"/>
  <c r="CJ33" i="13"/>
  <c r="CJ65" i="13" s="1"/>
  <c r="CP39" i="13"/>
  <c r="CS16" i="5"/>
  <c r="CS12" i="5"/>
  <c r="CT4" i="5"/>
  <c r="CS14" i="5"/>
  <c r="CS10" i="5"/>
  <c r="CS3" i="5"/>
  <c r="CB58" i="13"/>
  <c r="CB57" i="13"/>
  <c r="CB55" i="13"/>
  <c r="CB56" i="13"/>
  <c r="CS3" i="8"/>
  <c r="CS7" i="8"/>
  <c r="CT4" i="8"/>
  <c r="CS16" i="10"/>
  <c r="CS24" i="8"/>
  <c r="CS52" i="8" s="1"/>
  <c r="CU38" i="11"/>
  <c r="CU26" i="8" s="1"/>
  <c r="CU37" i="11"/>
  <c r="CU11" i="8" s="1"/>
  <c r="CT3" i="13"/>
  <c r="CV17" i="11"/>
  <c r="CV3" i="11"/>
  <c r="CV19" i="11"/>
  <c r="CV15" i="11"/>
  <c r="CV7" i="11"/>
  <c r="CV11" i="11" s="1"/>
  <c r="CW4" i="11"/>
  <c r="CV18" i="11"/>
  <c r="CV2" i="11"/>
  <c r="CE6" i="13"/>
  <c r="CG34" i="11"/>
  <c r="CG33" i="11"/>
  <c r="CG22" i="11"/>
  <c r="CG27" i="11"/>
  <c r="CP50" i="8"/>
  <c r="CP53" i="8" s="1"/>
  <c r="CS19" i="10"/>
  <c r="CS10" i="8"/>
  <c r="CE27" i="13"/>
  <c r="CK33" i="13"/>
  <c r="CK65" i="13" s="1"/>
  <c r="CQ39" i="13"/>
  <c r="CS12" i="10" l="1"/>
  <c r="CT11" i="10"/>
  <c r="CV37" i="11"/>
  <c r="CV11" i="8" s="1"/>
  <c r="CV38" i="11"/>
  <c r="CV26" i="8" s="1"/>
  <c r="CD5" i="13"/>
  <c r="CF28" i="11"/>
  <c r="CG28" i="11" s="1"/>
  <c r="CF43" i="8"/>
  <c r="CF44" i="8" s="1"/>
  <c r="CT3" i="8"/>
  <c r="CT7" i="8"/>
  <c r="CU4" i="8"/>
  <c r="CT16" i="5"/>
  <c r="CT12" i="5"/>
  <c r="CU4" i="5"/>
  <c r="CT14" i="5"/>
  <c r="CT10" i="5"/>
  <c r="CT3" i="5"/>
  <c r="CF23" i="11"/>
  <c r="CT8" i="9"/>
  <c r="CT7" i="9"/>
  <c r="CU4" i="9"/>
  <c r="CT3" i="9"/>
  <c r="CT13" i="9"/>
  <c r="CT23" i="8" s="1"/>
  <c r="CT51" i="8" s="1"/>
  <c r="CS9" i="8"/>
  <c r="CS12" i="9"/>
  <c r="CV16" i="11"/>
  <c r="CV20" i="11" s="1"/>
  <c r="CF45" i="11"/>
  <c r="CF13" i="8"/>
  <c r="CQ50" i="8"/>
  <c r="CQ53" i="8" s="1"/>
  <c r="CU9" i="10"/>
  <c r="CU10" i="10" s="1"/>
  <c r="CU7" i="10"/>
  <c r="CU2" i="10"/>
  <c r="CU6" i="10"/>
  <c r="CU18" i="10"/>
  <c r="CU8" i="10"/>
  <c r="CU25" i="8" s="1"/>
  <c r="CV4" i="10"/>
  <c r="CU3" i="10"/>
  <c r="CS9" i="9"/>
  <c r="CS8" i="8"/>
  <c r="CE26" i="13"/>
  <c r="CK32" i="13"/>
  <c r="CK62" i="13" s="1"/>
  <c r="CK70" i="13" s="1"/>
  <c r="CQ38" i="13"/>
  <c r="CO26" i="4"/>
  <c r="CS8" i="5" s="1"/>
  <c r="CO44" i="4"/>
  <c r="CO32" i="4"/>
  <c r="CO50" i="4"/>
  <c r="CO38" i="4"/>
  <c r="CV42" i="11"/>
  <c r="CV27" i="8" s="1"/>
  <c r="CV41" i="11"/>
  <c r="CV12" i="8" s="1"/>
  <c r="CF46" i="11"/>
  <c r="CF28" i="8"/>
  <c r="CD64" i="13"/>
  <c r="CD63" i="13"/>
  <c r="CD73" i="13" s="1"/>
  <c r="CD71" i="13"/>
  <c r="CD26" i="13"/>
  <c r="CJ32" i="13"/>
  <c r="CJ62" i="13" s="1"/>
  <c r="CJ70" i="13" s="1"/>
  <c r="CP38" i="13"/>
  <c r="CT37" i="8"/>
  <c r="CT38" i="8" s="1"/>
  <c r="CV16" i="12"/>
  <c r="CV30" i="8" s="1"/>
  <c r="CV22" i="12"/>
  <c r="CW4" i="12"/>
  <c r="CV3" i="12"/>
  <c r="CU3" i="13"/>
  <c r="CW2" i="11"/>
  <c r="CW19" i="11"/>
  <c r="CW18" i="11"/>
  <c r="CW17" i="11"/>
  <c r="CW15" i="11"/>
  <c r="CW7" i="11"/>
  <c r="CW11" i="11" s="1"/>
  <c r="CX4" i="11"/>
  <c r="CW3" i="11"/>
  <c r="CE5" i="13"/>
  <c r="CG43" i="8"/>
  <c r="CI12" i="11"/>
  <c r="CR14" i="9"/>
  <c r="CR22" i="8"/>
  <c r="CB72" i="13"/>
  <c r="CJ8" i="11"/>
  <c r="CJ9" i="11" s="1"/>
  <c r="CK6" i="11" s="1"/>
  <c r="CE63" i="13"/>
  <c r="CE73" i="13" s="1"/>
  <c r="CE64" i="13"/>
  <c r="CE71" i="13"/>
  <c r="CG45" i="11"/>
  <c r="CG13" i="8"/>
  <c r="CT44" i="13"/>
  <c r="CT43" i="13"/>
  <c r="CT45" i="13"/>
  <c r="CT51" i="13"/>
  <c r="CT50" i="13"/>
  <c r="CT49" i="13"/>
  <c r="CT19" i="10"/>
  <c r="CT10" i="8"/>
  <c r="CG23" i="11"/>
  <c r="CG46" i="11"/>
  <c r="CG28" i="8"/>
  <c r="CF7" i="13"/>
  <c r="CH13" i="11"/>
  <c r="CT16" i="10"/>
  <c r="CT24" i="8"/>
  <c r="CT52" i="8" s="1"/>
  <c r="CT12" i="10" l="1"/>
  <c r="CG44" i="8"/>
  <c r="CU11" i="10"/>
  <c r="CU12" i="10" s="1"/>
  <c r="CE25" i="13"/>
  <c r="CK31" i="13"/>
  <c r="CK59" i="13" s="1"/>
  <c r="CQ37" i="13"/>
  <c r="CR50" i="8"/>
  <c r="CR53" i="8" s="1"/>
  <c r="CD61" i="13"/>
  <c r="CD60" i="13"/>
  <c r="CD74" i="13" s="1"/>
  <c r="CD69" i="13"/>
  <c r="CU16" i="10"/>
  <c r="CU24" i="8"/>
  <c r="CU52" i="8" s="1"/>
  <c r="CW22" i="12"/>
  <c r="CW16" i="12"/>
  <c r="CW30" i="8" s="1"/>
  <c r="CW3" i="12"/>
  <c r="CX4" i="12"/>
  <c r="CU8" i="9"/>
  <c r="CV4" i="9"/>
  <c r="CU3" i="9"/>
  <c r="CU13" i="9"/>
  <c r="CU23" i="8" s="1"/>
  <c r="CU51" i="8" s="1"/>
  <c r="CU7" i="9"/>
  <c r="CU7" i="8"/>
  <c r="CV4" i="8"/>
  <c r="CU3" i="8"/>
  <c r="CU44" i="13"/>
  <c r="CU45" i="13"/>
  <c r="CU43" i="13"/>
  <c r="CU50" i="13"/>
  <c r="CU49" i="13"/>
  <c r="CU51" i="13"/>
  <c r="CV3" i="13"/>
  <c r="CX7" i="11"/>
  <c r="CX11" i="11" s="1"/>
  <c r="CX15" i="11"/>
  <c r="CX19" i="11"/>
  <c r="CX18" i="11"/>
  <c r="CY4" i="11"/>
  <c r="CX3" i="11"/>
  <c r="CX2" i="11"/>
  <c r="CX17" i="11"/>
  <c r="CT9" i="9"/>
  <c r="CT8" i="8"/>
  <c r="CD25" i="13"/>
  <c r="CJ31" i="13"/>
  <c r="CJ59" i="13" s="1"/>
  <c r="CP37" i="13"/>
  <c r="CE61" i="13"/>
  <c r="CE60" i="13"/>
  <c r="CE74" i="13" s="1"/>
  <c r="CE69" i="13"/>
  <c r="CP44" i="4"/>
  <c r="CP32" i="4"/>
  <c r="CP50" i="4"/>
  <c r="CP38" i="4"/>
  <c r="CP26" i="4"/>
  <c r="CT8" i="5" s="1"/>
  <c r="CT12" i="9"/>
  <c r="CT9" i="8"/>
  <c r="CW16" i="11"/>
  <c r="CW20" i="11" s="1"/>
  <c r="CU37" i="8"/>
  <c r="CU38" i="8" s="1"/>
  <c r="CF6" i="13"/>
  <c r="CH34" i="11"/>
  <c r="CH33" i="11"/>
  <c r="CH22" i="11"/>
  <c r="CH27" i="11"/>
  <c r="CW38" i="11"/>
  <c r="CW26" i="8" s="1"/>
  <c r="CW37" i="11"/>
  <c r="CW11" i="8" s="1"/>
  <c r="CV4" i="5"/>
  <c r="CU14" i="5"/>
  <c r="CU10" i="5"/>
  <c r="CU3" i="5"/>
  <c r="CU12" i="5"/>
  <c r="CU16" i="5"/>
  <c r="CF27" i="13"/>
  <c r="CL33" i="13"/>
  <c r="CL65" i="13" s="1"/>
  <c r="CR39" i="13"/>
  <c r="CJ12" i="11"/>
  <c r="CG7" i="13"/>
  <c r="CI13" i="11"/>
  <c r="CW41" i="11"/>
  <c r="CW12" i="8" s="1"/>
  <c r="CW42" i="11"/>
  <c r="CW27" i="8" s="1"/>
  <c r="CV6" i="10"/>
  <c r="CV7" i="10"/>
  <c r="CV9" i="10"/>
  <c r="CV10" i="10" s="1"/>
  <c r="CV2" i="10"/>
  <c r="CV18" i="10"/>
  <c r="CV8" i="10"/>
  <c r="CV25" i="8" s="1"/>
  <c r="CW4" i="10"/>
  <c r="CV3" i="10"/>
  <c r="CK8" i="11"/>
  <c r="CK9" i="11" s="1"/>
  <c r="CL6" i="11" s="1"/>
  <c r="CS14" i="9"/>
  <c r="CS22" i="8"/>
  <c r="CU19" i="10"/>
  <c r="CU10" i="8"/>
  <c r="CV8" i="9" l="1"/>
  <c r="CV7" i="9"/>
  <c r="CV3" i="9"/>
  <c r="CV13" i="9"/>
  <c r="CV23" i="8" s="1"/>
  <c r="CV51" i="8" s="1"/>
  <c r="CW4" i="9"/>
  <c r="CV16" i="10"/>
  <c r="CV24" i="8"/>
  <c r="CV52" i="8" s="1"/>
  <c r="CW3" i="13"/>
  <c r="CY7" i="11"/>
  <c r="CY11" i="11" s="1"/>
  <c r="CY15" i="11"/>
  <c r="CY19" i="11"/>
  <c r="CY18" i="11"/>
  <c r="CY17" i="11"/>
  <c r="CZ4" i="11"/>
  <c r="CY3" i="11"/>
  <c r="CY2" i="11"/>
  <c r="CU12" i="9"/>
  <c r="CU9" i="8"/>
  <c r="CS50" i="8"/>
  <c r="CS53" i="8" s="1"/>
  <c r="CV11" i="10"/>
  <c r="CF5" i="13"/>
  <c r="CH28" i="11"/>
  <c r="CH43" i="8"/>
  <c r="CH44" i="8" s="1"/>
  <c r="CX37" i="11"/>
  <c r="CX11" i="8" s="1"/>
  <c r="CX38" i="11"/>
  <c r="CX26" i="8" s="1"/>
  <c r="CX22" i="12"/>
  <c r="CX16" i="12"/>
  <c r="CX30" i="8" s="1"/>
  <c r="CY4" i="12"/>
  <c r="CX3" i="12"/>
  <c r="CQ44" i="4"/>
  <c r="CQ32" i="4"/>
  <c r="CQ50" i="4"/>
  <c r="CQ38" i="4"/>
  <c r="CQ26" i="4"/>
  <c r="CU8" i="5" s="1"/>
  <c r="CH23" i="11"/>
  <c r="CX42" i="11"/>
  <c r="CX27" i="8" s="1"/>
  <c r="CX41" i="11"/>
  <c r="CX12" i="8" s="1"/>
  <c r="CK12" i="11"/>
  <c r="CH45" i="11"/>
  <c r="CH13" i="8"/>
  <c r="CT14" i="9"/>
  <c r="CT22" i="8"/>
  <c r="CD58" i="13"/>
  <c r="CD57" i="13"/>
  <c r="CD56" i="13"/>
  <c r="CD55" i="13"/>
  <c r="CX16" i="11"/>
  <c r="CX20" i="11" s="1"/>
  <c r="CG6" i="13"/>
  <c r="CI34" i="11"/>
  <c r="CI33" i="11"/>
  <c r="CI22" i="11"/>
  <c r="CI27" i="11"/>
  <c r="CL8" i="11"/>
  <c r="CL9" i="11" s="1"/>
  <c r="CM6" i="11" s="1"/>
  <c r="CH46" i="11"/>
  <c r="CH28" i="8"/>
  <c r="CG27" i="13"/>
  <c r="CM33" i="13"/>
  <c r="CM65" i="13" s="1"/>
  <c r="CS39" i="13"/>
  <c r="CF26" i="13"/>
  <c r="CL32" i="13"/>
  <c r="CL62" i="13" s="1"/>
  <c r="CL70" i="13" s="1"/>
  <c r="CR38" i="13"/>
  <c r="CV43" i="13"/>
  <c r="CV44" i="13"/>
  <c r="CV51" i="13"/>
  <c r="CV45" i="13"/>
  <c r="CV49" i="13"/>
  <c r="CV50" i="13"/>
  <c r="CV7" i="8"/>
  <c r="CW4" i="8"/>
  <c r="CV3" i="8"/>
  <c r="CW8" i="10"/>
  <c r="CW25" i="8" s="1"/>
  <c r="CX4" i="10"/>
  <c r="CW9" i="10"/>
  <c r="CW10" i="10" s="1"/>
  <c r="CW2" i="10"/>
  <c r="CW6" i="10"/>
  <c r="CW18" i="10"/>
  <c r="CW3" i="10"/>
  <c r="CW7" i="10"/>
  <c r="CH7" i="13"/>
  <c r="CJ13" i="11"/>
  <c r="CW4" i="5"/>
  <c r="CV14" i="5"/>
  <c r="CV10" i="5"/>
  <c r="CV3" i="5"/>
  <c r="CV16" i="5"/>
  <c r="CV12" i="5"/>
  <c r="CE58" i="13"/>
  <c r="CE57" i="13"/>
  <c r="CE72" i="13" s="1"/>
  <c r="CE56" i="13"/>
  <c r="CE55" i="13"/>
  <c r="CU9" i="9"/>
  <c r="CU8" i="8"/>
  <c r="CV19" i="10"/>
  <c r="CV10" i="8"/>
  <c r="CF63" i="13"/>
  <c r="CF73" i="13" s="1"/>
  <c r="CF71" i="13"/>
  <c r="CF64" i="13"/>
  <c r="CW11" i="10" l="1"/>
  <c r="CM8" i="11"/>
  <c r="CM12" i="11" s="1"/>
  <c r="CR50" i="4"/>
  <c r="CR44" i="4"/>
  <c r="CR32" i="4"/>
  <c r="CR38" i="4"/>
  <c r="CR26" i="4"/>
  <c r="CV8" i="5" s="1"/>
  <c r="CD72" i="13"/>
  <c r="CW49" i="13"/>
  <c r="CW50" i="13"/>
  <c r="CW51" i="13"/>
  <c r="CW45" i="13"/>
  <c r="CW43" i="13"/>
  <c r="CW44" i="13"/>
  <c r="CL12" i="11"/>
  <c r="CX4" i="5"/>
  <c r="CW14" i="5"/>
  <c r="CW10" i="5"/>
  <c r="CW3" i="5"/>
  <c r="CW16" i="5"/>
  <c r="CW12" i="5"/>
  <c r="CX6" i="10"/>
  <c r="CX18" i="10"/>
  <c r="CX8" i="10"/>
  <c r="CX25" i="8" s="1"/>
  <c r="CY4" i="10"/>
  <c r="CX3" i="10"/>
  <c r="CX7" i="10"/>
  <c r="CX9" i="10"/>
  <c r="CX10" i="10" s="1"/>
  <c r="CX2" i="10"/>
  <c r="CY16" i="11"/>
  <c r="CY20" i="11" s="1"/>
  <c r="CT50" i="8"/>
  <c r="CT53" i="8" s="1"/>
  <c r="CU14" i="9"/>
  <c r="CU22" i="8"/>
  <c r="CV37" i="8"/>
  <c r="CV38" i="8" s="1"/>
  <c r="CG5" i="13"/>
  <c r="CI28" i="11"/>
  <c r="CI43" i="8"/>
  <c r="CI44" i="8" s="1"/>
  <c r="CW37" i="8"/>
  <c r="CW7" i="8"/>
  <c r="CX4" i="8"/>
  <c r="CW3" i="8"/>
  <c r="CF61" i="13"/>
  <c r="CF60" i="13"/>
  <c r="CF74" i="13" s="1"/>
  <c r="CF69" i="13"/>
  <c r="CI23" i="11"/>
  <c r="CY22" i="12"/>
  <c r="CY16" i="12"/>
  <c r="CY30" i="8" s="1"/>
  <c r="CZ4" i="12"/>
  <c r="CY3" i="12"/>
  <c r="CW7" i="9"/>
  <c r="CX4" i="9"/>
  <c r="CW3" i="9"/>
  <c r="CW13" i="9"/>
  <c r="CW23" i="8" s="1"/>
  <c r="CW51" i="8" s="1"/>
  <c r="CW8" i="9"/>
  <c r="CF25" i="13"/>
  <c r="CL31" i="13"/>
  <c r="CL59" i="13" s="1"/>
  <c r="CR37" i="13"/>
  <c r="CH6" i="13"/>
  <c r="CJ34" i="11"/>
  <c r="CJ33" i="11"/>
  <c r="CJ22" i="11"/>
  <c r="CJ27" i="11"/>
  <c r="CI45" i="11"/>
  <c r="CI13" i="8"/>
  <c r="CW19" i="10"/>
  <c r="CW10" i="8"/>
  <c r="CI7" i="13"/>
  <c r="CK13" i="11"/>
  <c r="CY42" i="11"/>
  <c r="CY27" i="8" s="1"/>
  <c r="CY41" i="11"/>
  <c r="CY12" i="8" s="1"/>
  <c r="CH27" i="13"/>
  <c r="CN33" i="13"/>
  <c r="CN65" i="13" s="1"/>
  <c r="CT39" i="13"/>
  <c r="CI46" i="11"/>
  <c r="CI28" i="8"/>
  <c r="CX3" i="13"/>
  <c r="CZ15" i="11"/>
  <c r="CZ18" i="11"/>
  <c r="CZ17" i="11"/>
  <c r="DA4" i="11"/>
  <c r="CZ3" i="11"/>
  <c r="CZ19" i="11"/>
  <c r="CZ7" i="11"/>
  <c r="CZ11" i="11" s="1"/>
  <c r="CZ2" i="11"/>
  <c r="CW24" i="8"/>
  <c r="CW52" i="8" s="1"/>
  <c r="CW16" i="10"/>
  <c r="CG64" i="13"/>
  <c r="CG63" i="13"/>
  <c r="CG73" i="13" s="1"/>
  <c r="CG71" i="13"/>
  <c r="CG26" i="13"/>
  <c r="CM32" i="13"/>
  <c r="CM62" i="13" s="1"/>
  <c r="CM70" i="13" s="1"/>
  <c r="CS38" i="13"/>
  <c r="CV9" i="9"/>
  <c r="CV8" i="8"/>
  <c r="CV12" i="10"/>
  <c r="CW12" i="10" s="1"/>
  <c r="CY38" i="11"/>
  <c r="CY26" i="8" s="1"/>
  <c r="CY37" i="11"/>
  <c r="CY11" i="8" s="1"/>
  <c r="CV12" i="9"/>
  <c r="CV9" i="8"/>
  <c r="CW38" i="8" l="1"/>
  <c r="CH64" i="13"/>
  <c r="CH63" i="13"/>
  <c r="CH73" i="13" s="1"/>
  <c r="I84" i="13" s="1"/>
  <c r="I85" i="13" s="1"/>
  <c r="CH71" i="13"/>
  <c r="CX7" i="9"/>
  <c r="CY4" i="9"/>
  <c r="CX13" i="9"/>
  <c r="CX23" i="8" s="1"/>
  <c r="CX51" i="8" s="1"/>
  <c r="CX3" i="9"/>
  <c r="CX8" i="9"/>
  <c r="CU50" i="8"/>
  <c r="CU53" i="8" s="1"/>
  <c r="CZ42" i="11"/>
  <c r="CZ27" i="8" s="1"/>
  <c r="CZ41" i="11"/>
  <c r="CZ12" i="8" s="1"/>
  <c r="CH5" i="13"/>
  <c r="CJ28" i="11"/>
  <c r="CJ43" i="8"/>
  <c r="CJ44" i="8" s="1"/>
  <c r="CS50" i="4"/>
  <c r="CS38" i="4"/>
  <c r="CS26" i="4"/>
  <c r="CW8" i="5" s="1"/>
  <c r="CS32" i="4"/>
  <c r="CS44" i="4"/>
  <c r="CX16" i="10"/>
  <c r="CX24" i="8"/>
  <c r="CX52" i="8" s="1"/>
  <c r="CW9" i="9"/>
  <c r="CW8" i="8"/>
  <c r="CY3" i="13"/>
  <c r="DA18" i="11"/>
  <c r="DA17" i="11"/>
  <c r="DA15" i="11"/>
  <c r="DB4" i="11"/>
  <c r="DA3" i="11"/>
  <c r="DA19" i="11"/>
  <c r="DA7" i="11"/>
  <c r="DA11" i="11" s="1"/>
  <c r="DA2" i="11"/>
  <c r="CJ23" i="11"/>
  <c r="CW12" i="9"/>
  <c r="CW9" i="8"/>
  <c r="CJ7" i="13"/>
  <c r="CL13" i="11"/>
  <c r="CG25" i="13"/>
  <c r="CM31" i="13"/>
  <c r="CM59" i="13" s="1"/>
  <c r="CS37" i="13"/>
  <c r="CY7" i="10"/>
  <c r="CY3" i="10"/>
  <c r="CY18" i="10"/>
  <c r="CY6" i="10"/>
  <c r="CY8" i="10"/>
  <c r="CY25" i="8" s="1"/>
  <c r="CZ4" i="10"/>
  <c r="CY9" i="10"/>
  <c r="CY10" i="10" s="1"/>
  <c r="CY2" i="10"/>
  <c r="CY4" i="5"/>
  <c r="CX14" i="5"/>
  <c r="CX10" i="5"/>
  <c r="CX3" i="5"/>
  <c r="CX16" i="5"/>
  <c r="CX12" i="5"/>
  <c r="CI6" i="13"/>
  <c r="CK34" i="11"/>
  <c r="CK33" i="11"/>
  <c r="CK22" i="11"/>
  <c r="CK27" i="11"/>
  <c r="CZ37" i="11"/>
  <c r="CZ11" i="8" s="1"/>
  <c r="CZ38" i="11"/>
  <c r="CZ26" i="8" s="1"/>
  <c r="CI27" i="13"/>
  <c r="CO33" i="13"/>
  <c r="CO65" i="13" s="1"/>
  <c r="CU39" i="13"/>
  <c r="CJ46" i="11"/>
  <c r="CJ28" i="8"/>
  <c r="CG61" i="13"/>
  <c r="CG60" i="13"/>
  <c r="CG74" i="13" s="1"/>
  <c r="CG69" i="13"/>
  <c r="CJ45" i="11"/>
  <c r="CJ13" i="8"/>
  <c r="CV14" i="9"/>
  <c r="CV22" i="8"/>
  <c r="CZ16" i="11"/>
  <c r="CZ20" i="11" s="1"/>
  <c r="CH26" i="13"/>
  <c r="CN32" i="13"/>
  <c r="CN62" i="13" s="1"/>
  <c r="CN70" i="13" s="1"/>
  <c r="CT38" i="13"/>
  <c r="CX19" i="10"/>
  <c r="CX10" i="8"/>
  <c r="CX44" i="13"/>
  <c r="CX49" i="13"/>
  <c r="CX45" i="13"/>
  <c r="CX43" i="13"/>
  <c r="CX50" i="13"/>
  <c r="CX51" i="13"/>
  <c r="CX11" i="10"/>
  <c r="CX12" i="10" s="1"/>
  <c r="CK7" i="13"/>
  <c r="CM13" i="11"/>
  <c r="CZ22" i="12"/>
  <c r="CZ16" i="12"/>
  <c r="CZ30" i="8" s="1"/>
  <c r="DA4" i="12"/>
  <c r="CZ3" i="12"/>
  <c r="CY4" i="8"/>
  <c r="CX3" i="8"/>
  <c r="CX7" i="8"/>
  <c r="CM9" i="11"/>
  <c r="CN6" i="11" s="1"/>
  <c r="CF58" i="13"/>
  <c r="CF57" i="13"/>
  <c r="CF72" i="13" s="1"/>
  <c r="CF56" i="13"/>
  <c r="CF55" i="13"/>
  <c r="DA42" i="11" l="1"/>
  <c r="DA27" i="8" s="1"/>
  <c r="DA41" i="11"/>
  <c r="DA12" i="8" s="1"/>
  <c r="CZ2" i="10"/>
  <c r="CZ18" i="10"/>
  <c r="CZ6" i="10"/>
  <c r="CZ8" i="10"/>
  <c r="CZ25" i="8" s="1"/>
  <c r="DA4" i="10"/>
  <c r="CZ3" i="10"/>
  <c r="CZ9" i="10"/>
  <c r="CZ10" i="10" s="1"/>
  <c r="CZ7" i="10"/>
  <c r="DA16" i="11"/>
  <c r="DA20" i="11" s="1"/>
  <c r="DA16" i="12"/>
  <c r="DA30" i="8" s="1"/>
  <c r="DA22" i="12"/>
  <c r="DA3" i="12"/>
  <c r="DB4" i="12"/>
  <c r="CW14" i="9"/>
  <c r="CW22" i="8"/>
  <c r="CG57" i="13"/>
  <c r="CG72" i="13" s="1"/>
  <c r="CG58" i="13"/>
  <c r="CG56" i="13"/>
  <c r="CG55" i="13"/>
  <c r="CZ3" i="13"/>
  <c r="DB19" i="11"/>
  <c r="DB17" i="11"/>
  <c r="DB7" i="11"/>
  <c r="DB11" i="11" s="1"/>
  <c r="DB2" i="11"/>
  <c r="DB18" i="11"/>
  <c r="DC4" i="11"/>
  <c r="DB15" i="11"/>
  <c r="DB3" i="11"/>
  <c r="CI64" i="13"/>
  <c r="CI63" i="13"/>
  <c r="CI73" i="13" s="1"/>
  <c r="CI71" i="13"/>
  <c r="CY11" i="10"/>
  <c r="DA37" i="11"/>
  <c r="DA11" i="8" s="1"/>
  <c r="DA38" i="11"/>
  <c r="DA26" i="8" s="1"/>
  <c r="CZ4" i="9"/>
  <c r="CY3" i="9"/>
  <c r="CY13" i="9"/>
  <c r="CY23" i="8" s="1"/>
  <c r="CY51" i="8" s="1"/>
  <c r="CY8" i="9"/>
  <c r="CY7" i="9"/>
  <c r="CX12" i="9"/>
  <c r="CX9" i="8"/>
  <c r="CY19" i="10"/>
  <c r="CY10" i="8"/>
  <c r="CY43" i="13"/>
  <c r="CY44" i="13"/>
  <c r="CY45" i="13"/>
  <c r="CY51" i="13"/>
  <c r="CY49" i="13"/>
  <c r="CY50" i="13"/>
  <c r="CX9" i="9"/>
  <c r="CX8" i="8"/>
  <c r="CK6" i="13"/>
  <c r="CM33" i="11"/>
  <c r="CM34" i="11"/>
  <c r="CM22" i="11"/>
  <c r="CM27" i="11"/>
  <c r="CH61" i="13"/>
  <c r="CH60" i="13"/>
  <c r="CH74" i="13" s="1"/>
  <c r="B60" i="14" s="1"/>
  <c r="CH69" i="13"/>
  <c r="CJ27" i="13"/>
  <c r="CP33" i="13"/>
  <c r="CP65" i="13" s="1"/>
  <c r="CV39" i="13"/>
  <c r="CK27" i="13"/>
  <c r="CQ33" i="13"/>
  <c r="CQ65" i="13" s="1"/>
  <c r="CW39" i="13"/>
  <c r="CI5" i="13"/>
  <c r="CK28" i="11"/>
  <c r="CK43" i="8"/>
  <c r="CK44" i="8" s="1"/>
  <c r="CY16" i="10"/>
  <c r="CY24" i="8"/>
  <c r="CY52" i="8" s="1"/>
  <c r="CH25" i="13"/>
  <c r="CN31" i="13"/>
  <c r="CN59" i="13" s="1"/>
  <c r="CT37" i="13"/>
  <c r="B75" i="14"/>
  <c r="B113" i="13"/>
  <c r="I86" i="13"/>
  <c r="D75" i="14" s="1"/>
  <c r="I113" i="13"/>
  <c r="CY14" i="5"/>
  <c r="CY10" i="5"/>
  <c r="CY3" i="5"/>
  <c r="CY16" i="5"/>
  <c r="CY12" i="5"/>
  <c r="CZ4" i="5"/>
  <c r="CV50" i="8"/>
  <c r="CV53" i="8" s="1"/>
  <c r="CK23" i="11"/>
  <c r="CT50" i="4"/>
  <c r="CT38" i="4"/>
  <c r="CT26" i="4"/>
  <c r="CX8" i="5" s="1"/>
  <c r="CT32" i="4"/>
  <c r="CT44" i="4"/>
  <c r="CJ6" i="13"/>
  <c r="CL34" i="11"/>
  <c r="CL33" i="11"/>
  <c r="CL22" i="11"/>
  <c r="CL27" i="11"/>
  <c r="CN8" i="11"/>
  <c r="CN9" i="11" s="1"/>
  <c r="CO6" i="11" s="1"/>
  <c r="CY3" i="8"/>
  <c r="CZ4" i="8"/>
  <c r="CY7" i="8"/>
  <c r="CX37" i="8"/>
  <c r="CX38" i="8" s="1"/>
  <c r="CK45" i="11"/>
  <c r="CK13" i="8"/>
  <c r="CI26" i="13"/>
  <c r="CO32" i="13"/>
  <c r="CO62" i="13" s="1"/>
  <c r="CO70" i="13" s="1"/>
  <c r="CU38" i="13"/>
  <c r="CK46" i="11"/>
  <c r="CK28" i="8"/>
  <c r="CO8" i="11" l="1"/>
  <c r="CK5" i="13"/>
  <c r="CM43" i="8"/>
  <c r="CM46" i="11"/>
  <c r="CM28" i="8"/>
  <c r="CM45" i="11"/>
  <c r="CM13" i="8"/>
  <c r="DA18" i="10"/>
  <c r="DA8" i="10"/>
  <c r="DA25" i="8" s="1"/>
  <c r="DB4" i="10"/>
  <c r="DA3" i="10"/>
  <c r="DA9" i="10"/>
  <c r="DA10" i="10" s="1"/>
  <c r="DA7" i="10"/>
  <c r="DA2" i="10"/>
  <c r="DA6" i="10"/>
  <c r="CK64" i="13"/>
  <c r="CK63" i="13"/>
  <c r="CK73" i="13" s="1"/>
  <c r="CK71" i="13"/>
  <c r="CY37" i="8"/>
  <c r="CY38" i="8" s="1"/>
  <c r="DB42" i="11"/>
  <c r="DB27" i="8" s="1"/>
  <c r="DB41" i="11"/>
  <c r="DB12" i="8" s="1"/>
  <c r="CZ16" i="10"/>
  <c r="CZ24" i="8"/>
  <c r="CZ52" i="8" s="1"/>
  <c r="CJ5" i="13"/>
  <c r="CL28" i="11"/>
  <c r="CM28" i="11" s="1"/>
  <c r="CL43" i="8"/>
  <c r="CL44" i="8" s="1"/>
  <c r="CL23" i="11"/>
  <c r="CM23" i="11" s="1"/>
  <c r="CK26" i="13"/>
  <c r="CQ32" i="13"/>
  <c r="CQ62" i="13" s="1"/>
  <c r="CQ70" i="13" s="1"/>
  <c r="CW38" i="13"/>
  <c r="CL45" i="11"/>
  <c r="CL13" i="8"/>
  <c r="CH57" i="13"/>
  <c r="CH56" i="13"/>
  <c r="O60" i="14" s="1"/>
  <c r="CH55" i="13"/>
  <c r="N60" i="14" s="1"/>
  <c r="CH58" i="13"/>
  <c r="CZ43" i="13"/>
  <c r="CZ49" i="13"/>
  <c r="CZ51" i="13"/>
  <c r="CZ44" i="13"/>
  <c r="CZ50" i="13"/>
  <c r="CZ45" i="13"/>
  <c r="CZ11" i="10"/>
  <c r="CZ3" i="9"/>
  <c r="CZ13" i="9"/>
  <c r="CZ23" i="8" s="1"/>
  <c r="CZ51" i="8" s="1"/>
  <c r="CZ8" i="9"/>
  <c r="CZ7" i="9"/>
  <c r="DA4" i="9"/>
  <c r="CZ19" i="10"/>
  <c r="CZ10" i="8"/>
  <c r="CI25" i="13"/>
  <c r="CO31" i="13"/>
  <c r="CO59" i="13" s="1"/>
  <c r="CU37" i="13"/>
  <c r="DB16" i="12"/>
  <c r="DB30" i="8" s="1"/>
  <c r="DB3" i="12"/>
  <c r="DC4" i="12"/>
  <c r="DB22" i="12"/>
  <c r="CJ26" i="13"/>
  <c r="CP32" i="13"/>
  <c r="CP62" i="13" s="1"/>
  <c r="CP70" i="13" s="1"/>
  <c r="CV38" i="13"/>
  <c r="I116" i="13"/>
  <c r="I114" i="13"/>
  <c r="I132" i="13" s="1"/>
  <c r="I131" i="13"/>
  <c r="CX14" i="9"/>
  <c r="CX22" i="8"/>
  <c r="CL46" i="11"/>
  <c r="CL28" i="8"/>
  <c r="CU50" i="4"/>
  <c r="CU32" i="4"/>
  <c r="CU38" i="4"/>
  <c r="CU26" i="4"/>
  <c r="CY8" i="5" s="1"/>
  <c r="CU44" i="4"/>
  <c r="CJ64" i="13"/>
  <c r="CJ63" i="13"/>
  <c r="CJ73" i="13" s="1"/>
  <c r="CJ71" i="13"/>
  <c r="CY9" i="9"/>
  <c r="CY8" i="8"/>
  <c r="CY12" i="10"/>
  <c r="CN12" i="11"/>
  <c r="CY12" i="9"/>
  <c r="CY9" i="8"/>
  <c r="DB16" i="11"/>
  <c r="DB20" i="11" s="1"/>
  <c r="I115" i="13"/>
  <c r="I133" i="13" s="1"/>
  <c r="C60" i="14"/>
  <c r="D60" i="14" s="1"/>
  <c r="DA3" i="13"/>
  <c r="DC19" i="11"/>
  <c r="DC17" i="11"/>
  <c r="DC7" i="11"/>
  <c r="DC11" i="11" s="1"/>
  <c r="DC2" i="11"/>
  <c r="DC18" i="11"/>
  <c r="DC15" i="11"/>
  <c r="DC3" i="11"/>
  <c r="DD4" i="11"/>
  <c r="CW50" i="8"/>
  <c r="CW53" i="8" s="1"/>
  <c r="CZ14" i="5"/>
  <c r="CZ10" i="5"/>
  <c r="CZ3" i="5"/>
  <c r="CZ16" i="5"/>
  <c r="CZ12" i="5"/>
  <c r="DA4" i="5"/>
  <c r="CI61" i="13"/>
  <c r="CI60" i="13"/>
  <c r="CI74" i="13" s="1"/>
  <c r="CI69" i="13"/>
  <c r="CZ3" i="8"/>
  <c r="DA4" i="8"/>
  <c r="CZ7" i="8"/>
  <c r="DB38" i="11"/>
  <c r="DB26" i="8" s="1"/>
  <c r="DB37" i="11"/>
  <c r="DB11" i="8" s="1"/>
  <c r="CZ12" i="10" l="1"/>
  <c r="DA11" i="10"/>
  <c r="CM44" i="8"/>
  <c r="CJ25" i="13"/>
  <c r="CP31" i="13"/>
  <c r="CP59" i="13" s="1"/>
  <c r="CV37" i="13"/>
  <c r="DC42" i="11"/>
  <c r="DC27" i="8" s="1"/>
  <c r="DC41" i="11"/>
  <c r="DC12" i="8" s="1"/>
  <c r="DA44" i="13"/>
  <c r="DA43" i="13"/>
  <c r="DA49" i="13"/>
  <c r="DA50" i="13"/>
  <c r="DA51" i="13"/>
  <c r="DA45" i="13"/>
  <c r="DC16" i="12"/>
  <c r="DC30" i="8" s="1"/>
  <c r="DD4" i="12"/>
  <c r="DC22" i="12"/>
  <c r="DC3" i="12"/>
  <c r="DA3" i="9"/>
  <c r="DA13" i="9"/>
  <c r="DA23" i="8" s="1"/>
  <c r="DA51" i="8" s="1"/>
  <c r="DA8" i="9"/>
  <c r="DA7" i="9"/>
  <c r="DB4" i="9"/>
  <c r="DA16" i="10"/>
  <c r="DA24" i="8"/>
  <c r="DA52" i="8" s="1"/>
  <c r="CZ9" i="9"/>
  <c r="CZ8" i="8"/>
  <c r="DA37" i="8"/>
  <c r="CV50" i="4"/>
  <c r="CV38" i="4"/>
  <c r="CV26" i="4"/>
  <c r="CZ8" i="5" s="1"/>
  <c r="CV44" i="4"/>
  <c r="CV32" i="4"/>
  <c r="CY14" i="9"/>
  <c r="CY22" i="8"/>
  <c r="CX50" i="8"/>
  <c r="CX53" i="8" s="1"/>
  <c r="CZ12" i="9"/>
  <c r="CZ9" i="8"/>
  <c r="H60" i="14"/>
  <c r="G60" i="14"/>
  <c r="C34" i="15" s="1"/>
  <c r="F60" i="14"/>
  <c r="DA16" i="5"/>
  <c r="DA12" i="5"/>
  <c r="DA10" i="5"/>
  <c r="DB4" i="5"/>
  <c r="DA14" i="5"/>
  <c r="DA3" i="5"/>
  <c r="DB3" i="13"/>
  <c r="DD19" i="11"/>
  <c r="DD18" i="11"/>
  <c r="DD7" i="11"/>
  <c r="DD11" i="11" s="1"/>
  <c r="DD15" i="11"/>
  <c r="DD2" i="11"/>
  <c r="DD17" i="11"/>
  <c r="DD3" i="11"/>
  <c r="DE4" i="11"/>
  <c r="DB18" i="10"/>
  <c r="DB9" i="10"/>
  <c r="DB10" i="10" s="1"/>
  <c r="DB8" i="10"/>
  <c r="DB25" i="8" s="1"/>
  <c r="DC4" i="10"/>
  <c r="DB3" i="10"/>
  <c r="DB7" i="10"/>
  <c r="DB2" i="10"/>
  <c r="DB6" i="10"/>
  <c r="CL7" i="13"/>
  <c r="CN13" i="11"/>
  <c r="E60" i="14"/>
  <c r="CK25" i="13"/>
  <c r="CQ31" i="13"/>
  <c r="CQ59" i="13" s="1"/>
  <c r="CW37" i="13"/>
  <c r="CJ60" i="13"/>
  <c r="CJ74" i="13" s="1"/>
  <c r="CJ61" i="13"/>
  <c r="CJ69" i="13"/>
  <c r="DA12" i="10"/>
  <c r="C75" i="14"/>
  <c r="I135" i="13"/>
  <c r="CZ37" i="8"/>
  <c r="CZ38" i="8" s="1"/>
  <c r="CH72" i="13"/>
  <c r="P60" i="14"/>
  <c r="Q60" i="14" s="1"/>
  <c r="DA19" i="10"/>
  <c r="DA10" i="8"/>
  <c r="DC16" i="11"/>
  <c r="DC20" i="11" s="1"/>
  <c r="DC38" i="11"/>
  <c r="DC26" i="8" s="1"/>
  <c r="DC37" i="11"/>
  <c r="DC11" i="8" s="1"/>
  <c r="I134" i="13"/>
  <c r="F75" i="14" s="1"/>
  <c r="J113" i="13"/>
  <c r="CO12" i="11"/>
  <c r="CK61" i="13"/>
  <c r="CK60" i="13"/>
  <c r="CK74" i="13" s="1"/>
  <c r="CK69" i="13"/>
  <c r="DB4" i="8"/>
  <c r="DA3" i="8"/>
  <c r="DA7" i="8"/>
  <c r="CI58" i="13"/>
  <c r="CI57" i="13"/>
  <c r="CI56" i="13"/>
  <c r="CI55" i="13"/>
  <c r="CO9" i="11"/>
  <c r="CP6" i="11" s="1"/>
  <c r="O19" i="15" l="1"/>
  <c r="DA38" i="8"/>
  <c r="DB11" i="10"/>
  <c r="J116" i="13"/>
  <c r="J114" i="13"/>
  <c r="J115" i="13"/>
  <c r="DB16" i="5"/>
  <c r="DB12" i="5"/>
  <c r="DC4" i="5"/>
  <c r="DB14" i="5"/>
  <c r="DB3" i="5"/>
  <c r="DB10" i="5"/>
  <c r="DD16" i="12"/>
  <c r="DD30" i="8" s="1"/>
  <c r="DD22" i="12"/>
  <c r="DE4" i="12"/>
  <c r="DD3" i="12"/>
  <c r="CL27" i="13"/>
  <c r="CR33" i="13"/>
  <c r="CR65" i="13" s="1"/>
  <c r="CX39" i="13"/>
  <c r="DC3" i="13"/>
  <c r="DE18" i="11"/>
  <c r="DE7" i="11"/>
  <c r="DE11" i="11" s="1"/>
  <c r="DE15" i="11"/>
  <c r="DF4" i="11"/>
  <c r="DE19" i="11"/>
  <c r="DE3" i="11"/>
  <c r="DE17" i="11"/>
  <c r="DE2" i="11"/>
  <c r="DB16" i="10"/>
  <c r="DB24" i="8"/>
  <c r="DB52" i="8" s="1"/>
  <c r="N19" i="15"/>
  <c r="B19" i="15"/>
  <c r="C19" i="15"/>
  <c r="CZ14" i="9"/>
  <c r="CZ22" i="8"/>
  <c r="DC4" i="8"/>
  <c r="DB3" i="8"/>
  <c r="DB7" i="8"/>
  <c r="I136" i="13"/>
  <c r="I137" i="13" s="1"/>
  <c r="DC18" i="10"/>
  <c r="DC8" i="10"/>
  <c r="DC25" i="8" s="1"/>
  <c r="DD4" i="10"/>
  <c r="DC3" i="10"/>
  <c r="DC7" i="10"/>
  <c r="DC9" i="10"/>
  <c r="DC10" i="10" s="1"/>
  <c r="DC2" i="10"/>
  <c r="DC6" i="10"/>
  <c r="CW50" i="4"/>
  <c r="CW38" i="4"/>
  <c r="CW26" i="4"/>
  <c r="DA8" i="5" s="1"/>
  <c r="CW44" i="4"/>
  <c r="CW32" i="4"/>
  <c r="DB37" i="8"/>
  <c r="DB38" i="8" s="1"/>
  <c r="I60" i="14"/>
  <c r="CK58" i="13"/>
  <c r="CK57" i="13"/>
  <c r="CK72" i="13" s="1"/>
  <c r="CK56" i="13"/>
  <c r="CK55" i="13"/>
  <c r="D19" i="15"/>
  <c r="E19" i="15" s="1"/>
  <c r="DD16" i="11"/>
  <c r="DD20" i="11" s="1"/>
  <c r="CY50" i="8"/>
  <c r="CY53" i="8" s="1"/>
  <c r="CP8" i="11"/>
  <c r="E75" i="14"/>
  <c r="V60" i="14"/>
  <c r="DB13" i="9"/>
  <c r="DB23" i="8" s="1"/>
  <c r="DB51" i="8" s="1"/>
  <c r="DB8" i="9"/>
  <c r="DB7" i="9"/>
  <c r="DC4" i="9"/>
  <c r="DB3" i="9"/>
  <c r="CI72" i="13"/>
  <c r="DB19" i="10"/>
  <c r="DB10" i="8"/>
  <c r="DD38" i="11"/>
  <c r="DD26" i="8" s="1"/>
  <c r="DD37" i="11"/>
  <c r="DD11" i="8" s="1"/>
  <c r="DA9" i="9"/>
  <c r="DA8" i="8"/>
  <c r="CM7" i="13"/>
  <c r="CO13" i="11"/>
  <c r="DB12" i="10"/>
  <c r="P19" i="15"/>
  <c r="Q19" i="15" s="1"/>
  <c r="DD41" i="11"/>
  <c r="DD12" i="8" s="1"/>
  <c r="DD42" i="11"/>
  <c r="DD27" i="8" s="1"/>
  <c r="DA12" i="9"/>
  <c r="DA9" i="8"/>
  <c r="CJ58" i="13"/>
  <c r="CJ57" i="13"/>
  <c r="CJ72" i="13" s="1"/>
  <c r="CJ56" i="13"/>
  <c r="CJ55" i="13"/>
  <c r="CL6" i="13"/>
  <c r="CN33" i="11"/>
  <c r="CN34" i="11"/>
  <c r="CN22" i="11"/>
  <c r="CN27" i="11"/>
  <c r="DB49" i="13"/>
  <c r="DB51" i="13"/>
  <c r="DB43" i="13"/>
  <c r="DB44" i="13"/>
  <c r="DB50" i="13"/>
  <c r="DB45" i="13"/>
  <c r="DB12" i="9" l="1"/>
  <c r="DB9" i="8"/>
  <c r="H75" i="14"/>
  <c r="X60" i="14"/>
  <c r="Y60" i="14" s="1"/>
  <c r="G75" i="14"/>
  <c r="W60" i="14"/>
  <c r="DA14" i="9"/>
  <c r="DA22" i="8"/>
  <c r="CN23" i="11"/>
  <c r="DE38" i="11"/>
  <c r="DE26" i="8" s="1"/>
  <c r="DE37" i="11"/>
  <c r="DE11" i="8" s="1"/>
  <c r="DC50" i="13"/>
  <c r="DC45" i="13"/>
  <c r="DC49" i="13"/>
  <c r="DC43" i="13"/>
  <c r="DC51" i="13"/>
  <c r="DC44" i="13"/>
  <c r="CN46" i="11"/>
  <c r="CN28" i="8"/>
  <c r="CP12" i="11"/>
  <c r="DC11" i="10"/>
  <c r="DC12" i="10" s="1"/>
  <c r="DC3" i="8"/>
  <c r="DC7" i="8"/>
  <c r="DD4" i="8"/>
  <c r="CL64" i="13"/>
  <c r="CL63" i="13"/>
  <c r="CL73" i="13" s="1"/>
  <c r="CL71" i="13"/>
  <c r="CN45" i="11"/>
  <c r="CN13" i="8"/>
  <c r="CP9" i="11"/>
  <c r="CQ6" i="11" s="1"/>
  <c r="CZ50" i="8"/>
  <c r="CZ53" i="8" s="1"/>
  <c r="DC16" i="5"/>
  <c r="DC12" i="5"/>
  <c r="DD4" i="5"/>
  <c r="DC14" i="5"/>
  <c r="DC3" i="5"/>
  <c r="DC10" i="5"/>
  <c r="K113" i="13"/>
  <c r="CL26" i="13"/>
  <c r="CR32" i="13"/>
  <c r="CR62" i="13" s="1"/>
  <c r="CR70" i="13" s="1"/>
  <c r="CX38" i="13"/>
  <c r="DE16" i="12"/>
  <c r="DE30" i="8" s="1"/>
  <c r="DE22" i="12"/>
  <c r="DF4" i="12"/>
  <c r="DE3" i="12"/>
  <c r="DC19" i="10"/>
  <c r="DC10" i="8"/>
  <c r="CX50" i="4"/>
  <c r="CX38" i="4"/>
  <c r="CX26" i="4"/>
  <c r="DB8" i="5" s="1"/>
  <c r="CX44" i="4"/>
  <c r="CX32" i="4"/>
  <c r="DC16" i="10"/>
  <c r="DC24" i="8"/>
  <c r="DC52" i="8" s="1"/>
  <c r="DE42" i="11"/>
  <c r="DE27" i="8" s="1"/>
  <c r="DE41" i="11"/>
  <c r="DE12" i="8" s="1"/>
  <c r="CL5" i="13"/>
  <c r="CN28" i="11"/>
  <c r="CN43" i="8"/>
  <c r="CN44" i="8" s="1"/>
  <c r="DD3" i="13"/>
  <c r="DF18" i="11"/>
  <c r="DF17" i="11"/>
  <c r="DF15" i="11"/>
  <c r="DG4" i="11"/>
  <c r="DF3" i="11"/>
  <c r="DF7" i="11"/>
  <c r="DF11" i="11" s="1"/>
  <c r="DF19" i="11"/>
  <c r="DF2" i="11"/>
  <c r="CM6" i="13"/>
  <c r="CO33" i="11"/>
  <c r="CO34" i="11"/>
  <c r="CO22" i="11"/>
  <c r="CO27" i="11"/>
  <c r="DC8" i="9"/>
  <c r="DC7" i="9"/>
  <c r="DC13" i="9"/>
  <c r="DC23" i="8" s="1"/>
  <c r="DC51" i="8" s="1"/>
  <c r="DD4" i="9"/>
  <c r="DC3" i="9"/>
  <c r="CM27" i="13"/>
  <c r="CS33" i="13"/>
  <c r="CS65" i="13" s="1"/>
  <c r="CY39" i="13"/>
  <c r="DB9" i="9"/>
  <c r="DB8" i="8"/>
  <c r="DD18" i="10"/>
  <c r="DD8" i="10"/>
  <c r="DD25" i="8" s="1"/>
  <c r="DD3" i="10"/>
  <c r="DD7" i="10"/>
  <c r="DD9" i="10"/>
  <c r="DD10" i="10" s="1"/>
  <c r="DD2" i="10"/>
  <c r="DD6" i="10"/>
  <c r="DE4" i="10"/>
  <c r="DE16" i="11"/>
  <c r="DE20" i="11" s="1"/>
  <c r="DD11" i="10" l="1"/>
  <c r="DD37" i="8" s="1"/>
  <c r="CY50" i="4"/>
  <c r="CY44" i="4"/>
  <c r="CY32" i="4"/>
  <c r="CY26" i="4"/>
  <c r="DC8" i="5" s="1"/>
  <c r="CY38" i="4"/>
  <c r="DC37" i="8"/>
  <c r="DC38" i="8" s="1"/>
  <c r="CQ8" i="11"/>
  <c r="DD8" i="9"/>
  <c r="DD7" i="9"/>
  <c r="DE4" i="9"/>
  <c r="DD3" i="9"/>
  <c r="DD13" i="9"/>
  <c r="DD23" i="8" s="1"/>
  <c r="DD51" i="8" s="1"/>
  <c r="DF41" i="11"/>
  <c r="DF12" i="8" s="1"/>
  <c r="DF42" i="11"/>
  <c r="DF27" i="8" s="1"/>
  <c r="DD16" i="10"/>
  <c r="DD24" i="8"/>
  <c r="DD52" i="8" s="1"/>
  <c r="DD16" i="5"/>
  <c r="DD12" i="5"/>
  <c r="DE4" i="5"/>
  <c r="DD14" i="5"/>
  <c r="DD10" i="5"/>
  <c r="DD3" i="5"/>
  <c r="K116" i="13"/>
  <c r="K114" i="13"/>
  <c r="K115" i="13"/>
  <c r="DF16" i="12"/>
  <c r="DF30" i="8" s="1"/>
  <c r="DF22" i="12"/>
  <c r="DG4" i="12"/>
  <c r="DF3" i="12"/>
  <c r="DE18" i="10"/>
  <c r="DE3" i="10"/>
  <c r="DE7" i="10"/>
  <c r="DE9" i="10"/>
  <c r="DE10" i="10" s="1"/>
  <c r="DE2" i="10"/>
  <c r="DE6" i="10"/>
  <c r="DE8" i="10"/>
  <c r="DE25" i="8" s="1"/>
  <c r="DF4" i="10"/>
  <c r="DC12" i="9"/>
  <c r="DC9" i="8"/>
  <c r="DD19" i="10"/>
  <c r="DD10" i="8"/>
  <c r="CM5" i="13"/>
  <c r="CO28" i="11"/>
  <c r="CO43" i="8"/>
  <c r="CO44" i="8" s="1"/>
  <c r="DF16" i="11"/>
  <c r="DF20" i="11" s="1"/>
  <c r="DB22" i="8"/>
  <c r="DB14" i="9"/>
  <c r="CN7" i="13"/>
  <c r="CP13" i="11"/>
  <c r="DC9" i="9"/>
  <c r="DC8" i="8"/>
  <c r="DE3" i="13"/>
  <c r="DG17" i="11"/>
  <c r="DG15" i="11"/>
  <c r="DG19" i="11"/>
  <c r="DG18" i="11"/>
  <c r="DG3" i="11"/>
  <c r="DH4" i="11"/>
  <c r="DG7" i="11"/>
  <c r="DG11" i="11" s="1"/>
  <c r="DG2" i="11"/>
  <c r="CO23" i="11"/>
  <c r="CM26" i="13"/>
  <c r="CS32" i="13"/>
  <c r="CS62" i="13" s="1"/>
  <c r="CS70" i="13" s="1"/>
  <c r="CY38" i="13"/>
  <c r="DD3" i="8"/>
  <c r="DD7" i="8"/>
  <c r="DE4" i="8"/>
  <c r="DA50" i="8"/>
  <c r="DA53" i="8" s="1"/>
  <c r="CO46" i="11"/>
  <c r="CO28" i="8"/>
  <c r="DF38" i="11"/>
  <c r="DF26" i="8" s="1"/>
  <c r="DF37" i="11"/>
  <c r="DF11" i="8" s="1"/>
  <c r="CL25" i="13"/>
  <c r="CR31" i="13"/>
  <c r="CR59" i="13" s="1"/>
  <c r="CX37" i="13"/>
  <c r="CM63" i="13"/>
  <c r="CM73" i="13" s="1"/>
  <c r="CM64" i="13"/>
  <c r="CM71" i="13"/>
  <c r="CO45" i="11"/>
  <c r="CO13" i="8"/>
  <c r="DD50" i="13"/>
  <c r="DD43" i="13"/>
  <c r="DD45" i="13"/>
  <c r="DD44" i="13"/>
  <c r="DD49" i="13"/>
  <c r="DD51" i="13"/>
  <c r="CL61" i="13"/>
  <c r="CL60" i="13"/>
  <c r="CL74" i="13" s="1"/>
  <c r="CL69" i="13"/>
  <c r="DD12" i="10" l="1"/>
  <c r="DG38" i="11"/>
  <c r="DG26" i="8" s="1"/>
  <c r="DG37" i="11"/>
  <c r="DG11" i="8" s="1"/>
  <c r="DD9" i="9"/>
  <c r="DD8" i="8"/>
  <c r="DG42" i="11"/>
  <c r="DG27" i="8" s="1"/>
  <c r="DG41" i="11"/>
  <c r="DG12" i="8" s="1"/>
  <c r="DD12" i="9"/>
  <c r="DD9" i="8"/>
  <c r="DG16" i="11"/>
  <c r="DG20" i="11" s="1"/>
  <c r="DF18" i="10"/>
  <c r="DF7" i="10"/>
  <c r="DF3" i="10"/>
  <c r="DF9" i="10"/>
  <c r="DF10" i="10" s="1"/>
  <c r="DF2" i="10"/>
  <c r="DF6" i="10"/>
  <c r="DG4" i="10"/>
  <c r="DF8" i="10"/>
  <c r="DF25" i="8" s="1"/>
  <c r="DE7" i="9"/>
  <c r="DF4" i="9"/>
  <c r="DE13" i="9"/>
  <c r="DE23" i="8" s="1"/>
  <c r="DE51" i="8" s="1"/>
  <c r="DE8" i="9"/>
  <c r="DE3" i="9"/>
  <c r="CQ12" i="11"/>
  <c r="DE11" i="10"/>
  <c r="DE12" i="10" s="1"/>
  <c r="CQ9" i="11"/>
  <c r="CR6" i="11" s="1"/>
  <c r="DG16" i="12"/>
  <c r="DG30" i="8" s="1"/>
  <c r="DG22" i="12"/>
  <c r="DH4" i="12"/>
  <c r="DG3" i="12"/>
  <c r="DE3" i="8"/>
  <c r="DE7" i="8"/>
  <c r="DF4" i="8"/>
  <c r="CL58" i="13"/>
  <c r="CL57" i="13"/>
  <c r="CL56" i="13"/>
  <c r="CL55" i="13"/>
  <c r="CM60" i="13"/>
  <c r="CM74" i="13" s="1"/>
  <c r="CM61" i="13"/>
  <c r="CM69" i="13"/>
  <c r="DE50" i="13"/>
  <c r="DE51" i="13"/>
  <c r="DE49" i="13"/>
  <c r="DE43" i="13"/>
  <c r="DE45" i="13"/>
  <c r="DE44" i="13"/>
  <c r="CZ50" i="4"/>
  <c r="CZ44" i="4"/>
  <c r="CZ32" i="4"/>
  <c r="CZ38" i="4"/>
  <c r="CZ26" i="4"/>
  <c r="DD8" i="5" s="1"/>
  <c r="DC14" i="9"/>
  <c r="DC22" i="8"/>
  <c r="CM25" i="13"/>
  <c r="CS31" i="13"/>
  <c r="CS59" i="13" s="1"/>
  <c r="CY37" i="13"/>
  <c r="DE16" i="10"/>
  <c r="DE24" i="8"/>
  <c r="DE52" i="8" s="1"/>
  <c r="CN6" i="13"/>
  <c r="CP34" i="11"/>
  <c r="CP33" i="11"/>
  <c r="CP22" i="11"/>
  <c r="CP27" i="11"/>
  <c r="DD38" i="8"/>
  <c r="DB50" i="8"/>
  <c r="DB53" i="8" s="1"/>
  <c r="L113" i="13"/>
  <c r="CN27" i="13"/>
  <c r="CT33" i="13"/>
  <c r="CT65" i="13" s="1"/>
  <c r="CZ39" i="13"/>
  <c r="DE19" i="10"/>
  <c r="DE10" i="8"/>
  <c r="DE16" i="5"/>
  <c r="DE12" i="5"/>
  <c r="DF4" i="5"/>
  <c r="DE14" i="5"/>
  <c r="DE10" i="5"/>
  <c r="DE3" i="5"/>
  <c r="DF3" i="13"/>
  <c r="DH17" i="11"/>
  <c r="DH3" i="11"/>
  <c r="DH19" i="11"/>
  <c r="DH18" i="11"/>
  <c r="DI4" i="11"/>
  <c r="DH2" i="11"/>
  <c r="DH15" i="11"/>
  <c r="DH7" i="11"/>
  <c r="DH11" i="11" s="1"/>
  <c r="CP23" i="11" l="1"/>
  <c r="DC50" i="8"/>
  <c r="DC53" i="8" s="1"/>
  <c r="DF8" i="9"/>
  <c r="DF7" i="9"/>
  <c r="DG4" i="9"/>
  <c r="DF3" i="9"/>
  <c r="DF13" i="9"/>
  <c r="DF23" i="8" s="1"/>
  <c r="DF51" i="8" s="1"/>
  <c r="DE9" i="9"/>
  <c r="DE8" i="8"/>
  <c r="DD14" i="9"/>
  <c r="DD22" i="8"/>
  <c r="CM57" i="13"/>
  <c r="CM72" i="13" s="1"/>
  <c r="CM56" i="13"/>
  <c r="CM55" i="13"/>
  <c r="CM58" i="13"/>
  <c r="DE37" i="8"/>
  <c r="DE38" i="8" s="1"/>
  <c r="CN5" i="13"/>
  <c r="DF43" i="13" s="1"/>
  <c r="CP28" i="11"/>
  <c r="CP43" i="8"/>
  <c r="CP44" i="8" s="1"/>
  <c r="DH16" i="11"/>
  <c r="DH20" i="11" s="1"/>
  <c r="DH16" i="12"/>
  <c r="DH30" i="8" s="1"/>
  <c r="DH22" i="12"/>
  <c r="DI4" i="12"/>
  <c r="DH3" i="12"/>
  <c r="DH37" i="11"/>
  <c r="DH11" i="8" s="1"/>
  <c r="DH38" i="11"/>
  <c r="DH26" i="8" s="1"/>
  <c r="CN64" i="13"/>
  <c r="CN63" i="13"/>
  <c r="CN73" i="13" s="1"/>
  <c r="CN71" i="13"/>
  <c r="CN26" i="13"/>
  <c r="CT32" i="13"/>
  <c r="CT62" i="13" s="1"/>
  <c r="CT70" i="13" s="1"/>
  <c r="J61" i="14" s="1"/>
  <c r="CZ38" i="13"/>
  <c r="DG9" i="10"/>
  <c r="DG10" i="10" s="1"/>
  <c r="DG3" i="10"/>
  <c r="DG18" i="10"/>
  <c r="DG7" i="10"/>
  <c r="DG2" i="10"/>
  <c r="DG6" i="10"/>
  <c r="DH4" i="10"/>
  <c r="DG8" i="10"/>
  <c r="DG25" i="8" s="1"/>
  <c r="CR8" i="11"/>
  <c r="CR9" i="11" s="1"/>
  <c r="CS6" i="11" s="1"/>
  <c r="DF3" i="8"/>
  <c r="DF7" i="8"/>
  <c r="DG4" i="8"/>
  <c r="DF11" i="10"/>
  <c r="DF12" i="10" s="1"/>
  <c r="DF19" i="10"/>
  <c r="DF10" i="8"/>
  <c r="DE9" i="8"/>
  <c r="DE12" i="9"/>
  <c r="DH41" i="11"/>
  <c r="DH12" i="8" s="1"/>
  <c r="DH42" i="11"/>
  <c r="DH27" i="8" s="1"/>
  <c r="CP45" i="11"/>
  <c r="CP13" i="8"/>
  <c r="DF16" i="5"/>
  <c r="DF12" i="5"/>
  <c r="DG4" i="5"/>
  <c r="DF14" i="5"/>
  <c r="DF10" i="5"/>
  <c r="DF3" i="5"/>
  <c r="L116" i="13"/>
  <c r="L114" i="13"/>
  <c r="L115" i="13"/>
  <c r="CO7" i="13"/>
  <c r="CQ13" i="11"/>
  <c r="DA50" i="4"/>
  <c r="DA44" i="4"/>
  <c r="DA32" i="4"/>
  <c r="DA38" i="4"/>
  <c r="DA26" i="4"/>
  <c r="DE8" i="5" s="1"/>
  <c r="DG3" i="13"/>
  <c r="DI2" i="11"/>
  <c r="DI19" i="11"/>
  <c r="DI18" i="11"/>
  <c r="DI3" i="11"/>
  <c r="DJ4" i="11"/>
  <c r="DI17" i="11"/>
  <c r="DI15" i="11"/>
  <c r="DI7" i="11"/>
  <c r="DI11" i="11" s="1"/>
  <c r="CP46" i="11"/>
  <c r="CP28" i="8"/>
  <c r="DF45" i="13"/>
  <c r="DF50" i="13"/>
  <c r="DF49" i="13"/>
  <c r="DF51" i="13"/>
  <c r="DF44" i="13"/>
  <c r="CL72" i="13"/>
  <c r="DF16" i="10"/>
  <c r="DF24" i="8"/>
  <c r="DF52" i="8" s="1"/>
  <c r="CS8" i="11" l="1"/>
  <c r="CS12" i="11" s="1"/>
  <c r="CN61" i="13"/>
  <c r="CN60" i="13"/>
  <c r="CN74" i="13" s="1"/>
  <c r="CN69" i="13"/>
  <c r="DI38" i="11"/>
  <c r="DI26" i="8" s="1"/>
  <c r="DI37" i="11"/>
  <c r="DI11" i="8" s="1"/>
  <c r="CN25" i="13"/>
  <c r="CT31" i="13"/>
  <c r="CT59" i="13" s="1"/>
  <c r="CZ37" i="13"/>
  <c r="DB50" i="4"/>
  <c r="DB44" i="4"/>
  <c r="DB32" i="4"/>
  <c r="DB38" i="4"/>
  <c r="DB26" i="4"/>
  <c r="DF8" i="5" s="1"/>
  <c r="CR12" i="11"/>
  <c r="DH3" i="13"/>
  <c r="DJ7" i="11"/>
  <c r="DJ11" i="11" s="1"/>
  <c r="DJ15" i="11"/>
  <c r="DJ19" i="11"/>
  <c r="DJ18" i="11"/>
  <c r="DJ3" i="11"/>
  <c r="DK4" i="11"/>
  <c r="DJ17" i="11"/>
  <c r="DJ2" i="11"/>
  <c r="DE14" i="9"/>
  <c r="DE22" i="8"/>
  <c r="DH6" i="10"/>
  <c r="DH18" i="10"/>
  <c r="DH7" i="10"/>
  <c r="DH2" i="10"/>
  <c r="DH9" i="10"/>
  <c r="DH10" i="10" s="1"/>
  <c r="DI4" i="10"/>
  <c r="DH8" i="10"/>
  <c r="DH25" i="8" s="1"/>
  <c r="DH3" i="10"/>
  <c r="DD50" i="8"/>
  <c r="DD53" i="8" s="1"/>
  <c r="K61" i="14"/>
  <c r="L61" i="14" s="1"/>
  <c r="M61" i="14" s="1"/>
  <c r="DG11" i="10"/>
  <c r="DF9" i="9"/>
  <c r="DF8" i="8"/>
  <c r="CO6" i="13"/>
  <c r="DG44" i="13" s="1"/>
  <c r="CQ34" i="11"/>
  <c r="CQ33" i="11"/>
  <c r="CQ22" i="11"/>
  <c r="CQ27" i="11"/>
  <c r="DF12" i="9"/>
  <c r="DF9" i="8"/>
  <c r="CO27" i="13"/>
  <c r="CU33" i="13"/>
  <c r="CU65" i="13" s="1"/>
  <c r="DA39" i="13"/>
  <c r="DI41" i="11"/>
  <c r="DI12" i="8" s="1"/>
  <c r="DI42" i="11"/>
  <c r="DI27" i="8" s="1"/>
  <c r="DG51" i="13"/>
  <c r="DG50" i="13"/>
  <c r="DG49" i="13"/>
  <c r="DG45" i="13"/>
  <c r="DG16" i="10"/>
  <c r="DG24" i="8"/>
  <c r="DG52" i="8" s="1"/>
  <c r="DF37" i="8"/>
  <c r="DF38" i="8" s="1"/>
  <c r="DG19" i="10"/>
  <c r="DG10" i="8"/>
  <c r="DI22" i="12"/>
  <c r="DI16" i="12"/>
  <c r="DI30" i="8" s="1"/>
  <c r="DI3" i="12"/>
  <c r="DJ4" i="12"/>
  <c r="DG12" i="10"/>
  <c r="DH4" i="5"/>
  <c r="DG14" i="5"/>
  <c r="DG10" i="5"/>
  <c r="DG3" i="5"/>
  <c r="DG12" i="5"/>
  <c r="DG16" i="5"/>
  <c r="DI16" i="11"/>
  <c r="DI20" i="11" s="1"/>
  <c r="DG3" i="8"/>
  <c r="DG7" i="8"/>
  <c r="DH4" i="8"/>
  <c r="DG8" i="9"/>
  <c r="DH4" i="9"/>
  <c r="DG3" i="9"/>
  <c r="DG13" i="9"/>
  <c r="DG23" i="8" s="1"/>
  <c r="DG51" i="8" s="1"/>
  <c r="DG7" i="9"/>
  <c r="CS9" i="11" l="1"/>
  <c r="CT6" i="11" s="1"/>
  <c r="DH7" i="8"/>
  <c r="DH3" i="8"/>
  <c r="DI4" i="8"/>
  <c r="DG37" i="8"/>
  <c r="DG38" i="8" s="1"/>
  <c r="DH19" i="10"/>
  <c r="DH10" i="8"/>
  <c r="DG12" i="9"/>
  <c r="DG9" i="8"/>
  <c r="DJ16" i="11"/>
  <c r="DJ20" i="11" s="1"/>
  <c r="CO64" i="13"/>
  <c r="CO63" i="13"/>
  <c r="CO73" i="13" s="1"/>
  <c r="CO71" i="13"/>
  <c r="DH11" i="10"/>
  <c r="DH51" i="13"/>
  <c r="DH50" i="13"/>
  <c r="DH49" i="13"/>
  <c r="CP7" i="13"/>
  <c r="DH45" i="13" s="1"/>
  <c r="CR13" i="11"/>
  <c r="DE50" i="8"/>
  <c r="DE53" i="8" s="1"/>
  <c r="DH16" i="10"/>
  <c r="DH24" i="8"/>
  <c r="DH52" i="8" s="1"/>
  <c r="DI4" i="5"/>
  <c r="DH14" i="5"/>
  <c r="DH10" i="5"/>
  <c r="DH3" i="5"/>
  <c r="DH16" i="5"/>
  <c r="DH12" i="5"/>
  <c r="DF14" i="9"/>
  <c r="DF22" i="8"/>
  <c r="DJ37" i="11"/>
  <c r="DJ11" i="8" s="1"/>
  <c r="DJ38" i="11"/>
  <c r="DJ26" i="8" s="1"/>
  <c r="CO5" i="13"/>
  <c r="CQ28" i="11"/>
  <c r="CQ43" i="8"/>
  <c r="CQ44" i="8" s="1"/>
  <c r="CQ7" i="13"/>
  <c r="CS13" i="11"/>
  <c r="DJ42" i="11"/>
  <c r="DJ27" i="8" s="1"/>
  <c r="DJ41" i="11"/>
  <c r="DJ12" i="8" s="1"/>
  <c r="CQ23" i="11"/>
  <c r="DC50" i="4"/>
  <c r="DC44" i="4"/>
  <c r="DC32" i="4"/>
  <c r="DC38" i="4"/>
  <c r="DC26" i="4"/>
  <c r="DG8" i="5" s="1"/>
  <c r="CT8" i="11"/>
  <c r="CN58" i="13"/>
  <c r="CN57" i="13"/>
  <c r="CN56" i="13"/>
  <c r="CN55" i="13"/>
  <c r="CQ45" i="11"/>
  <c r="CQ13" i="8"/>
  <c r="DG9" i="9"/>
  <c r="DG8" i="8"/>
  <c r="CQ46" i="11"/>
  <c r="CQ28" i="8"/>
  <c r="DI3" i="13"/>
  <c r="DK7" i="11"/>
  <c r="DK11" i="11" s="1"/>
  <c r="DK15" i="11"/>
  <c r="DK19" i="11"/>
  <c r="DK18" i="11"/>
  <c r="DK17" i="11"/>
  <c r="DK3" i="11"/>
  <c r="DL4" i="11"/>
  <c r="DK2" i="11"/>
  <c r="DH12" i="10"/>
  <c r="DH8" i="9"/>
  <c r="DH7" i="9"/>
  <c r="DH3" i="9"/>
  <c r="DH13" i="9"/>
  <c r="DH23" i="8" s="1"/>
  <c r="DH51" i="8" s="1"/>
  <c r="DI4" i="9"/>
  <c r="DJ22" i="12"/>
  <c r="DK4" i="12"/>
  <c r="DJ3" i="12"/>
  <c r="DJ16" i="12"/>
  <c r="DJ30" i="8" s="1"/>
  <c r="CO26" i="13"/>
  <c r="CU32" i="13"/>
  <c r="CU62" i="13" s="1"/>
  <c r="CU70" i="13" s="1"/>
  <c r="DA38" i="13"/>
  <c r="DI8" i="10"/>
  <c r="DI25" i="8" s="1"/>
  <c r="DJ4" i="10"/>
  <c r="DI18" i="10"/>
  <c r="DI7" i="10"/>
  <c r="DI2" i="10"/>
  <c r="DI9" i="10"/>
  <c r="DI10" i="10" s="1"/>
  <c r="DI6" i="10"/>
  <c r="DI3" i="10"/>
  <c r="DH12" i="9" l="1"/>
  <c r="DH9" i="8"/>
  <c r="DI49" i="13"/>
  <c r="DI45" i="13"/>
  <c r="DI50" i="13"/>
  <c r="DI51" i="13"/>
  <c r="CT12" i="11"/>
  <c r="DH37" i="8"/>
  <c r="DH38" i="8" s="1"/>
  <c r="DK42" i="11"/>
  <c r="DK27" i="8" s="1"/>
  <c r="DK41" i="11"/>
  <c r="DK12" i="8" s="1"/>
  <c r="CN72" i="13"/>
  <c r="CT9" i="11"/>
  <c r="CU6" i="11" s="1"/>
  <c r="DD50" i="4"/>
  <c r="DD44" i="4"/>
  <c r="DD32" i="4"/>
  <c r="DD38" i="4"/>
  <c r="DD26" i="4"/>
  <c r="DH8" i="5" s="1"/>
  <c r="CO25" i="13"/>
  <c r="CU31" i="13"/>
  <c r="CU59" i="13" s="1"/>
  <c r="DA37" i="13"/>
  <c r="DG43" i="13"/>
  <c r="CR34" i="11"/>
  <c r="CP6" i="13"/>
  <c r="CR33" i="11"/>
  <c r="CR22" i="11"/>
  <c r="CR27" i="11"/>
  <c r="CO61" i="13"/>
  <c r="CO60" i="13"/>
  <c r="CO74" i="13" s="1"/>
  <c r="CO69" i="13"/>
  <c r="DK22" i="12"/>
  <c r="DL4" i="12"/>
  <c r="DK16" i="12"/>
  <c r="DK30" i="8" s="1"/>
  <c r="DK3" i="12"/>
  <c r="CP27" i="13"/>
  <c r="CV33" i="13"/>
  <c r="CV65" i="13" s="1"/>
  <c r="DB39" i="13"/>
  <c r="DI7" i="8"/>
  <c r="DJ4" i="8"/>
  <c r="DI3" i="8"/>
  <c r="DK16" i="11"/>
  <c r="DK20" i="11" s="1"/>
  <c r="CQ6" i="13"/>
  <c r="CS34" i="11"/>
  <c r="CS33" i="11"/>
  <c r="CS22" i="11"/>
  <c r="CS27" i="11"/>
  <c r="DJ4" i="5"/>
  <c r="DI14" i="5"/>
  <c r="DI10" i="5"/>
  <c r="DI3" i="5"/>
  <c r="DI16" i="5"/>
  <c r="DI12" i="5"/>
  <c r="DJ18" i="10"/>
  <c r="DJ7" i="10"/>
  <c r="DJ2" i="10"/>
  <c r="DJ9" i="10"/>
  <c r="DJ10" i="10" s="1"/>
  <c r="DJ6" i="10"/>
  <c r="DK4" i="10"/>
  <c r="DJ8" i="10"/>
  <c r="DJ25" i="8" s="1"/>
  <c r="DJ3" i="10"/>
  <c r="DG14" i="9"/>
  <c r="DG22" i="8"/>
  <c r="DK38" i="11"/>
  <c r="DK26" i="8" s="1"/>
  <c r="DK37" i="11"/>
  <c r="DK11" i="8" s="1"/>
  <c r="DI11" i="10"/>
  <c r="DI12" i="10" s="1"/>
  <c r="DI16" i="10"/>
  <c r="DI24" i="8"/>
  <c r="DI52" i="8" s="1"/>
  <c r="DJ3" i="13"/>
  <c r="DL15" i="11"/>
  <c r="DL18" i="11"/>
  <c r="DL17" i="11"/>
  <c r="DL3" i="11"/>
  <c r="DM4" i="11"/>
  <c r="DL2" i="11"/>
  <c r="DL7" i="11"/>
  <c r="DL11" i="11" s="1"/>
  <c r="DL19" i="11"/>
  <c r="CQ27" i="13"/>
  <c r="CW33" i="13"/>
  <c r="CW65" i="13" s="1"/>
  <c r="DC39" i="13"/>
  <c r="DF50" i="8"/>
  <c r="DF53" i="8" s="1"/>
  <c r="DI7" i="9"/>
  <c r="DJ4" i="9"/>
  <c r="DI3" i="9"/>
  <c r="DI13" i="9"/>
  <c r="DI23" i="8" s="1"/>
  <c r="DI51" i="8" s="1"/>
  <c r="DI8" i="9"/>
  <c r="DH9" i="9"/>
  <c r="DH8" i="8"/>
  <c r="DI19" i="10"/>
  <c r="DI10" i="8"/>
  <c r="CR45" i="11" l="1"/>
  <c r="CR13" i="8"/>
  <c r="DI9" i="9"/>
  <c r="DI8" i="8"/>
  <c r="CU8" i="11"/>
  <c r="DL38" i="11"/>
  <c r="DL26" i="8" s="1"/>
  <c r="DL37" i="11"/>
  <c r="DL11" i="8" s="1"/>
  <c r="CQ26" i="13"/>
  <c r="CW32" i="13"/>
  <c r="CW62" i="13" s="1"/>
  <c r="CW70" i="13" s="1"/>
  <c r="DC38" i="13"/>
  <c r="DJ11" i="10"/>
  <c r="DJ12" i="10" s="1"/>
  <c r="DK4" i="5"/>
  <c r="DJ14" i="5"/>
  <c r="DJ10" i="5"/>
  <c r="DJ3" i="5"/>
  <c r="DJ16" i="5"/>
  <c r="DJ12" i="5"/>
  <c r="DL22" i="12"/>
  <c r="DL16" i="12"/>
  <c r="DL30" i="8" s="1"/>
  <c r="DM4" i="12"/>
  <c r="DL3" i="12"/>
  <c r="DL9" i="12"/>
  <c r="DL27" i="12" s="1"/>
  <c r="DL10" i="12"/>
  <c r="DL21" i="12" s="1"/>
  <c r="DL8" i="12"/>
  <c r="CQ63" i="13"/>
  <c r="CQ73" i="13" s="1"/>
  <c r="CQ64" i="13"/>
  <c r="CQ71" i="13"/>
  <c r="DL42" i="11"/>
  <c r="DL27" i="8" s="1"/>
  <c r="DL41" i="11"/>
  <c r="DL12" i="8" s="1"/>
  <c r="DI37" i="8"/>
  <c r="DI38" i="8" s="1"/>
  <c r="DJ19" i="10"/>
  <c r="DJ10" i="8"/>
  <c r="CO58" i="13"/>
  <c r="CO57" i="13"/>
  <c r="CO56" i="13"/>
  <c r="CO55" i="13"/>
  <c r="DH14" i="9"/>
  <c r="DH22" i="8"/>
  <c r="CR23" i="11"/>
  <c r="CS23" i="11" s="1"/>
  <c r="DE50" i="4"/>
  <c r="DE38" i="4"/>
  <c r="DE26" i="4"/>
  <c r="DI8" i="5" s="1"/>
  <c r="DE32" i="4"/>
  <c r="DE44" i="4"/>
  <c r="CP26" i="13"/>
  <c r="CV32" i="13"/>
  <c r="CV62" i="13" s="1"/>
  <c r="CV70" i="13" s="1"/>
  <c r="DB38" i="13"/>
  <c r="DH44" i="13"/>
  <c r="CR46" i="11"/>
  <c r="CR28" i="8"/>
  <c r="CQ5" i="13"/>
  <c r="CS43" i="8"/>
  <c r="DI12" i="9"/>
  <c r="DI9" i="8"/>
  <c r="CR7" i="13"/>
  <c r="DJ45" i="13" s="1"/>
  <c r="CT13" i="11"/>
  <c r="DK7" i="10"/>
  <c r="DK3" i="10"/>
  <c r="DK18" i="10"/>
  <c r="DK9" i="10"/>
  <c r="DK10" i="10" s="1"/>
  <c r="DK6" i="10"/>
  <c r="DL4" i="10"/>
  <c r="DK8" i="10"/>
  <c r="DK25" i="8" s="1"/>
  <c r="DK2" i="10"/>
  <c r="DJ49" i="13"/>
  <c r="DJ50" i="13"/>
  <c r="DJ51" i="13"/>
  <c r="DK4" i="8"/>
  <c r="DJ7" i="8"/>
  <c r="DJ3" i="8"/>
  <c r="DG50" i="8"/>
  <c r="DG53" i="8" s="1"/>
  <c r="CS45" i="11"/>
  <c r="CS13" i="8"/>
  <c r="CP64" i="13"/>
  <c r="CP63" i="13"/>
  <c r="CP73" i="13" s="1"/>
  <c r="CP71" i="13"/>
  <c r="DI44" i="13"/>
  <c r="DL16" i="11"/>
  <c r="DL20" i="11" s="1"/>
  <c r="DJ16" i="10"/>
  <c r="DJ24" i="8"/>
  <c r="DJ52" i="8" s="1"/>
  <c r="DJ7" i="9"/>
  <c r="DK4" i="9"/>
  <c r="DJ13" i="9"/>
  <c r="DJ23" i="8" s="1"/>
  <c r="DJ51" i="8" s="1"/>
  <c r="DJ8" i="9"/>
  <c r="DJ3" i="9"/>
  <c r="DK3" i="13"/>
  <c r="DM18" i="11"/>
  <c r="DM17" i="11"/>
  <c r="DM3" i="11"/>
  <c r="DN4" i="11"/>
  <c r="DM2" i="11"/>
  <c r="DM7" i="11"/>
  <c r="DM11" i="11" s="1"/>
  <c r="DM15" i="11"/>
  <c r="DM19" i="11"/>
  <c r="CS46" i="11"/>
  <c r="CS28" i="8"/>
  <c r="CP5" i="13"/>
  <c r="CR28" i="11"/>
  <c r="CS28" i="11" s="1"/>
  <c r="CR43" i="8"/>
  <c r="CR44" i="8" s="1"/>
  <c r="DL23" i="12" l="1"/>
  <c r="DL24" i="12" s="1"/>
  <c r="CS44" i="8"/>
  <c r="DK11" i="10"/>
  <c r="DK49" i="13"/>
  <c r="DK50" i="13"/>
  <c r="DK51" i="13"/>
  <c r="DK16" i="10"/>
  <c r="DK24" i="8"/>
  <c r="DK52" i="8" s="1"/>
  <c r="CQ25" i="13"/>
  <c r="CW31" i="13"/>
  <c r="CW59" i="13" s="1"/>
  <c r="DC37" i="13"/>
  <c r="DI43" i="13"/>
  <c r="DK3" i="8"/>
  <c r="DK7" i="8"/>
  <c r="DL4" i="8"/>
  <c r="DL15" i="12"/>
  <c r="DL11" i="12"/>
  <c r="DM42" i="11"/>
  <c r="DM27" i="8" s="1"/>
  <c r="DM41" i="11"/>
  <c r="DM12" i="8" s="1"/>
  <c r="DM16" i="11"/>
  <c r="DM20" i="11" s="1"/>
  <c r="CR6" i="13"/>
  <c r="CT34" i="11"/>
  <c r="CT33" i="11"/>
  <c r="CT22" i="11"/>
  <c r="CT27" i="11"/>
  <c r="DL28" i="12"/>
  <c r="DL14" i="8"/>
  <c r="CU12" i="11"/>
  <c r="DM37" i="11"/>
  <c r="DM11" i="8" s="1"/>
  <c r="DM38" i="11"/>
  <c r="DM26" i="8" s="1"/>
  <c r="CQ60" i="13"/>
  <c r="CQ74" i="13" s="1"/>
  <c r="CQ61" i="13"/>
  <c r="CQ69" i="13"/>
  <c r="DJ9" i="9"/>
  <c r="DJ8" i="8"/>
  <c r="CR27" i="13"/>
  <c r="CX33" i="13"/>
  <c r="CX65" i="13" s="1"/>
  <c r="DD39" i="13"/>
  <c r="CU9" i="11"/>
  <c r="CV6" i="11" s="1"/>
  <c r="DK19" i="10"/>
  <c r="DK10" i="8"/>
  <c r="DJ12" i="9"/>
  <c r="DJ9" i="8"/>
  <c r="DM16" i="12"/>
  <c r="DM30" i="8" s="1"/>
  <c r="DM3" i="12"/>
  <c r="DM9" i="12"/>
  <c r="DM27" i="12" s="1"/>
  <c r="DM22" i="12"/>
  <c r="DM10" i="12"/>
  <c r="DM21" i="12" s="1"/>
  <c r="DM8" i="12"/>
  <c r="DN4" i="12"/>
  <c r="CP25" i="13"/>
  <c r="CV31" i="13"/>
  <c r="CV59" i="13" s="1"/>
  <c r="DB37" i="13"/>
  <c r="DH43" i="13"/>
  <c r="DL4" i="9"/>
  <c r="DK3" i="9"/>
  <c r="DK13" i="9"/>
  <c r="DK23" i="8" s="1"/>
  <c r="DK51" i="8" s="1"/>
  <c r="DK7" i="9"/>
  <c r="DK8" i="9"/>
  <c r="DK37" i="8"/>
  <c r="DI14" i="9"/>
  <c r="DI22" i="8"/>
  <c r="CP61" i="13"/>
  <c r="CP60" i="13"/>
  <c r="CP74" i="13" s="1"/>
  <c r="CP69" i="13"/>
  <c r="DH50" i="8"/>
  <c r="DH53" i="8" s="1"/>
  <c r="DK14" i="5"/>
  <c r="DK10" i="5"/>
  <c r="DK3" i="5"/>
  <c r="DK16" i="5"/>
  <c r="DK12" i="5"/>
  <c r="DL4" i="5"/>
  <c r="CO72" i="13"/>
  <c r="DL3" i="13"/>
  <c r="DN19" i="11"/>
  <c r="DN17" i="11"/>
  <c r="DN3" i="11"/>
  <c r="DO4" i="11"/>
  <c r="DN18" i="11"/>
  <c r="DN2" i="11"/>
  <c r="DN7" i="11"/>
  <c r="DN11" i="11" s="1"/>
  <c r="DN15" i="11"/>
  <c r="DF50" i="4"/>
  <c r="DF38" i="4"/>
  <c r="DF26" i="4"/>
  <c r="DJ8" i="5" s="1"/>
  <c r="DF32" i="4"/>
  <c r="DF44" i="4"/>
  <c r="DL2" i="10"/>
  <c r="DL18" i="10"/>
  <c r="DL6" i="10"/>
  <c r="DM4" i="10"/>
  <c r="DL8" i="10"/>
  <c r="DL25" i="8" s="1"/>
  <c r="DL3" i="10"/>
  <c r="DL7" i="10"/>
  <c r="DL9" i="10"/>
  <c r="DL10" i="10" s="1"/>
  <c r="DK12" i="10"/>
  <c r="DJ37" i="8"/>
  <c r="DJ38" i="8" s="1"/>
  <c r="DM23" i="12" l="1"/>
  <c r="DM24" i="12" s="1"/>
  <c r="DK38" i="8"/>
  <c r="DJ14" i="9"/>
  <c r="DJ22" i="8"/>
  <c r="DL51" i="13"/>
  <c r="DL49" i="13"/>
  <c r="DL50" i="13"/>
  <c r="DL17" i="12"/>
  <c r="DL18" i="12" s="1"/>
  <c r="DL29" i="8"/>
  <c r="DL16" i="10"/>
  <c r="DL24" i="8"/>
  <c r="DL52" i="8" s="1"/>
  <c r="CT45" i="11"/>
  <c r="CT13" i="8"/>
  <c r="DN42" i="11"/>
  <c r="DN27" i="8" s="1"/>
  <c r="DN41" i="11"/>
  <c r="DN12" i="8" s="1"/>
  <c r="DM15" i="12"/>
  <c r="DM11" i="12"/>
  <c r="CT46" i="11"/>
  <c r="CT28" i="8"/>
  <c r="CP58" i="13"/>
  <c r="CP56" i="13"/>
  <c r="CP55" i="13"/>
  <c r="CP57" i="13"/>
  <c r="CP72" i="13" s="1"/>
  <c r="DN16" i="11"/>
  <c r="DN20" i="11" s="1"/>
  <c r="CV8" i="11"/>
  <c r="CV9" i="11" s="1"/>
  <c r="CW6" i="11" s="1"/>
  <c r="DL3" i="8"/>
  <c r="DM4" i="8"/>
  <c r="DL7" i="8"/>
  <c r="DG50" i="4"/>
  <c r="DG44" i="4"/>
  <c r="DG38" i="4"/>
  <c r="DG26" i="4"/>
  <c r="DK8" i="5" s="1"/>
  <c r="DG32" i="4"/>
  <c r="DM18" i="10"/>
  <c r="DM6" i="10"/>
  <c r="DN4" i="10"/>
  <c r="DM8" i="10"/>
  <c r="DM25" i="8" s="1"/>
  <c r="DM3" i="10"/>
  <c r="DM7" i="10"/>
  <c r="DM9" i="10"/>
  <c r="DM10" i="10" s="1"/>
  <c r="DM2" i="10"/>
  <c r="DK9" i="9"/>
  <c r="DK8" i="8"/>
  <c r="DL11" i="10"/>
  <c r="DN38" i="11"/>
  <c r="DN26" i="8" s="1"/>
  <c r="DN37" i="11"/>
  <c r="DN11" i="8" s="1"/>
  <c r="DL14" i="5"/>
  <c r="DL10" i="5"/>
  <c r="DL3" i="5"/>
  <c r="DL16" i="5"/>
  <c r="DL12" i="5"/>
  <c r="DM4" i="5"/>
  <c r="CR63" i="13"/>
  <c r="CR73" i="13" s="1"/>
  <c r="CR64" i="13"/>
  <c r="CR71" i="13"/>
  <c r="CR26" i="13"/>
  <c r="CX32" i="13"/>
  <c r="CX62" i="13" s="1"/>
  <c r="CX70" i="13" s="1"/>
  <c r="DD38" i="13"/>
  <c r="DJ44" i="13"/>
  <c r="CR5" i="13"/>
  <c r="CT28" i="11"/>
  <c r="CT43" i="8"/>
  <c r="CT44" i="8" s="1"/>
  <c r="DN16" i="12"/>
  <c r="DN30" i="8" s="1"/>
  <c r="DN3" i="12"/>
  <c r="DN9" i="12"/>
  <c r="DN27" i="12" s="1"/>
  <c r="DN22" i="12"/>
  <c r="DN10" i="12"/>
  <c r="DN21" i="12" s="1"/>
  <c r="DN8" i="12"/>
  <c r="DO4" i="12"/>
  <c r="CT23" i="11"/>
  <c r="DM3" i="13"/>
  <c r="DO19" i="11"/>
  <c r="DO17" i="11"/>
  <c r="DP4" i="11"/>
  <c r="DO18" i="11"/>
  <c r="DO2" i="11"/>
  <c r="DO7" i="11"/>
  <c r="DO11" i="11" s="1"/>
  <c r="DO15" i="11"/>
  <c r="DO3" i="11"/>
  <c r="DM28" i="12"/>
  <c r="DM14" i="8"/>
  <c r="DK12" i="9"/>
  <c r="DK9" i="8"/>
  <c r="DI50" i="8"/>
  <c r="DI53" i="8" s="1"/>
  <c r="DL3" i="9"/>
  <c r="DL13" i="9"/>
  <c r="DL23" i="8" s="1"/>
  <c r="DL51" i="8" s="1"/>
  <c r="DL8" i="9"/>
  <c r="DL7" i="9"/>
  <c r="DM4" i="9"/>
  <c r="CQ58" i="13"/>
  <c r="CQ57" i="13"/>
  <c r="CQ72" i="13" s="1"/>
  <c r="CQ56" i="13"/>
  <c r="CQ55" i="13"/>
  <c r="DL19" i="10"/>
  <c r="DL10" i="8"/>
  <c r="CS7" i="13"/>
  <c r="CU13" i="11"/>
  <c r="DN23" i="12" l="1"/>
  <c r="DN24" i="12" s="1"/>
  <c r="DM3" i="9"/>
  <c r="DM13" i="9"/>
  <c r="DM23" i="8" s="1"/>
  <c r="DM51" i="8" s="1"/>
  <c r="DM8" i="9"/>
  <c r="DM7" i="9"/>
  <c r="DN4" i="9"/>
  <c r="DM16" i="10"/>
  <c r="DM24" i="8"/>
  <c r="DM52" i="8" s="1"/>
  <c r="DN4" i="8"/>
  <c r="DM7" i="8"/>
  <c r="DM3" i="8"/>
  <c r="DO16" i="11"/>
  <c r="DO20" i="11" s="1"/>
  <c r="DL9" i="9"/>
  <c r="DL8" i="8"/>
  <c r="CR61" i="13"/>
  <c r="CR60" i="13"/>
  <c r="CR74" i="13" s="1"/>
  <c r="CR69" i="13"/>
  <c r="DM17" i="12"/>
  <c r="DM18" i="12" s="1"/>
  <c r="DM29" i="8"/>
  <c r="DL12" i="9"/>
  <c r="DL9" i="8"/>
  <c r="CV12" i="11"/>
  <c r="CS6" i="13"/>
  <c r="CU34" i="11"/>
  <c r="CU33" i="11"/>
  <c r="CU22" i="11"/>
  <c r="CU27" i="11"/>
  <c r="DO38" i="11"/>
  <c r="DO26" i="8" s="1"/>
  <c r="DO37" i="11"/>
  <c r="DO11" i="8" s="1"/>
  <c r="DN18" i="10"/>
  <c r="DN9" i="10"/>
  <c r="DN10" i="10" s="1"/>
  <c r="DO4" i="10"/>
  <c r="DN8" i="10"/>
  <c r="DN25" i="8" s="1"/>
  <c r="DN3" i="10"/>
  <c r="DN7" i="10"/>
  <c r="DN2" i="10"/>
  <c r="DN6" i="10"/>
  <c r="CW8" i="11"/>
  <c r="CS27" i="13"/>
  <c r="CY33" i="13"/>
  <c r="CY65" i="13" s="1"/>
  <c r="DE39" i="13"/>
  <c r="DK45" i="13"/>
  <c r="DN3" i="13"/>
  <c r="DP19" i="11"/>
  <c r="DP18" i="11"/>
  <c r="DP7" i="11"/>
  <c r="DP11" i="11" s="1"/>
  <c r="DP15" i="11"/>
  <c r="DP2" i="11"/>
  <c r="DP17" i="11"/>
  <c r="DP3" i="11"/>
  <c r="DQ4" i="11"/>
  <c r="DM11" i="10"/>
  <c r="DM16" i="5"/>
  <c r="DM12" i="5"/>
  <c r="DM14" i="5"/>
  <c r="DM3" i="5"/>
  <c r="DM10" i="5"/>
  <c r="DN4" i="5"/>
  <c r="DM19" i="10"/>
  <c r="DM10" i="8"/>
  <c r="DN15" i="12"/>
  <c r="DN11" i="12"/>
  <c r="DL37" i="8"/>
  <c r="DL38" i="8" s="1"/>
  <c r="DM49" i="13"/>
  <c r="DM51" i="13"/>
  <c r="DM50" i="13"/>
  <c r="DJ50" i="8"/>
  <c r="DJ53" i="8" s="1"/>
  <c r="DO42" i="11"/>
  <c r="DO27" i="8" s="1"/>
  <c r="DO41" i="11"/>
  <c r="DO12" i="8" s="1"/>
  <c r="DL12" i="10"/>
  <c r="DK14" i="9"/>
  <c r="DK22" i="8"/>
  <c r="CR25" i="13"/>
  <c r="CX31" i="13"/>
  <c r="CX59" i="13" s="1"/>
  <c r="DD37" i="13"/>
  <c r="DJ43" i="13"/>
  <c r="DH50" i="4"/>
  <c r="DH38" i="4"/>
  <c r="DH26" i="4"/>
  <c r="DL8" i="5" s="1"/>
  <c r="DH32" i="4"/>
  <c r="DH44" i="4"/>
  <c r="DO16" i="12"/>
  <c r="DO30" i="8" s="1"/>
  <c r="DO9" i="12"/>
  <c r="DO27" i="12" s="1"/>
  <c r="DO22" i="12"/>
  <c r="DO10" i="12"/>
  <c r="DO21" i="12" s="1"/>
  <c r="DO8" i="12"/>
  <c r="DP4" i="12"/>
  <c r="DO3" i="12"/>
  <c r="DN28" i="12"/>
  <c r="DN14" i="8"/>
  <c r="DM12" i="10" l="1"/>
  <c r="DN17" i="12"/>
  <c r="DN18" i="12" s="1"/>
  <c r="DN29" i="8"/>
  <c r="DP41" i="11"/>
  <c r="DP12" i="8" s="1"/>
  <c r="DP42" i="11"/>
  <c r="DP27" i="8" s="1"/>
  <c r="DN51" i="13"/>
  <c r="DN49" i="13"/>
  <c r="DN50" i="13"/>
  <c r="DO18" i="10"/>
  <c r="DP4" i="10"/>
  <c r="DO8" i="10"/>
  <c r="DO25" i="8" s="1"/>
  <c r="DO3" i="10"/>
  <c r="DO7" i="10"/>
  <c r="DO2" i="10"/>
  <c r="DO9" i="10"/>
  <c r="DO10" i="10" s="1"/>
  <c r="DO6" i="10"/>
  <c r="DO4" i="8"/>
  <c r="DN3" i="8"/>
  <c r="DN7" i="8"/>
  <c r="DL14" i="9"/>
  <c r="DL22" i="8"/>
  <c r="DN16" i="5"/>
  <c r="DN12" i="5"/>
  <c r="DO4" i="5"/>
  <c r="DN14" i="5"/>
  <c r="DN3" i="5"/>
  <c r="DN10" i="5"/>
  <c r="DM37" i="8"/>
  <c r="DM38" i="8" s="1"/>
  <c r="DN19" i="10"/>
  <c r="DN10" i="8"/>
  <c r="DO3" i="13"/>
  <c r="DQ18" i="11"/>
  <c r="DQ7" i="11"/>
  <c r="DQ11" i="11" s="1"/>
  <c r="DQ15" i="11"/>
  <c r="DR4" i="11"/>
  <c r="DQ2" i="11"/>
  <c r="DQ17" i="11"/>
  <c r="DQ19" i="11"/>
  <c r="DQ3" i="11"/>
  <c r="DN13" i="9"/>
  <c r="DN23" i="8" s="1"/>
  <c r="DN51" i="8" s="1"/>
  <c r="DN8" i="9"/>
  <c r="DO4" i="9"/>
  <c r="DN3" i="9"/>
  <c r="DN7" i="9"/>
  <c r="CS64" i="13"/>
  <c r="CS63" i="13"/>
  <c r="CS73" i="13" s="1"/>
  <c r="CS71" i="13"/>
  <c r="DM9" i="9"/>
  <c r="DM8" i="8"/>
  <c r="DK50" i="8"/>
  <c r="DK53" i="8" s="1"/>
  <c r="DP38" i="11"/>
  <c r="DP26" i="8" s="1"/>
  <c r="DP37" i="11"/>
  <c r="DP11" i="8" s="1"/>
  <c r="DI50" i="4"/>
  <c r="DI38" i="4"/>
  <c r="DI26" i="4"/>
  <c r="DM8" i="5" s="1"/>
  <c r="DI44" i="4"/>
  <c r="DI32" i="4"/>
  <c r="CW12" i="11"/>
  <c r="CS5" i="13"/>
  <c r="CU28" i="11"/>
  <c r="CU43" i="8"/>
  <c r="CU44" i="8" s="1"/>
  <c r="DM12" i="9"/>
  <c r="DM9" i="8"/>
  <c r="DP16" i="12"/>
  <c r="DP30" i="8" s="1"/>
  <c r="DP22" i="12"/>
  <c r="DP9" i="12"/>
  <c r="DP27" i="12" s="1"/>
  <c r="DP10" i="12"/>
  <c r="DP21" i="12" s="1"/>
  <c r="DP8" i="12"/>
  <c r="DQ4" i="12"/>
  <c r="DP3" i="12"/>
  <c r="CW9" i="11"/>
  <c r="CX6" i="11" s="1"/>
  <c r="CU23" i="11"/>
  <c r="DO28" i="12"/>
  <c r="DO14" i="8"/>
  <c r="DN11" i="10"/>
  <c r="DN12" i="10" s="1"/>
  <c r="CU45" i="11"/>
  <c r="CU13" i="8"/>
  <c r="DP16" i="11"/>
  <c r="DP20" i="11" s="1"/>
  <c r="CU46" i="11"/>
  <c r="CU28" i="8"/>
  <c r="CT7" i="13"/>
  <c r="CV13" i="11"/>
  <c r="DO15" i="12"/>
  <c r="DO11" i="12"/>
  <c r="DO23" i="12"/>
  <c r="DO24" i="12" s="1"/>
  <c r="CR58" i="13"/>
  <c r="CR57" i="13"/>
  <c r="CR72" i="13" s="1"/>
  <c r="CR56" i="13"/>
  <c r="CR55" i="13"/>
  <c r="DN16" i="10"/>
  <c r="DN24" i="8"/>
  <c r="DN52" i="8" s="1"/>
  <c r="CS26" i="13"/>
  <c r="CY32" i="13"/>
  <c r="CY62" i="13" s="1"/>
  <c r="CY70" i="13" s="1"/>
  <c r="DE38" i="13"/>
  <c r="DK44" i="13"/>
  <c r="DO11" i="10" l="1"/>
  <c r="DO37" i="8" s="1"/>
  <c r="DP4" i="8"/>
  <c r="DO3" i="8"/>
  <c r="DO7" i="8"/>
  <c r="CT27" i="13"/>
  <c r="CZ33" i="13"/>
  <c r="CZ65" i="13" s="1"/>
  <c r="DF39" i="13"/>
  <c r="DL45" i="13"/>
  <c r="DQ16" i="11"/>
  <c r="DQ20" i="11" s="1"/>
  <c r="DQ16" i="12"/>
  <c r="DQ30" i="8" s="1"/>
  <c r="DQ22" i="12"/>
  <c r="DQ9" i="12"/>
  <c r="DQ27" i="12" s="1"/>
  <c r="DQ10" i="12"/>
  <c r="DQ21" i="12" s="1"/>
  <c r="DQ8" i="12"/>
  <c r="DR4" i="12"/>
  <c r="DQ3" i="12"/>
  <c r="DP15" i="12"/>
  <c r="DP11" i="12"/>
  <c r="DO8" i="9"/>
  <c r="DO7" i="9"/>
  <c r="DP4" i="9"/>
  <c r="DO3" i="9"/>
  <c r="DO13" i="9"/>
  <c r="DO23" i="8" s="1"/>
  <c r="DO51" i="8" s="1"/>
  <c r="DO49" i="13"/>
  <c r="DO51" i="13"/>
  <c r="DO50" i="13"/>
  <c r="CS61" i="13"/>
  <c r="CS69" i="13"/>
  <c r="CS60" i="13"/>
  <c r="CS74" i="13" s="1"/>
  <c r="DP3" i="13"/>
  <c r="DR18" i="11"/>
  <c r="DR17" i="11"/>
  <c r="DR15" i="11"/>
  <c r="DS4" i="11"/>
  <c r="DR7" i="11"/>
  <c r="DR11" i="11" s="1"/>
  <c r="DR19" i="11"/>
  <c r="DR3" i="11"/>
  <c r="DR2" i="11"/>
  <c r="DP23" i="12"/>
  <c r="DP24" i="12" s="1"/>
  <c r="DN12" i="9"/>
  <c r="DN9" i="8"/>
  <c r="DO16" i="10"/>
  <c r="DO24" i="8"/>
  <c r="DO52" i="8" s="1"/>
  <c r="DP28" i="12"/>
  <c r="DP14" i="8"/>
  <c r="CT6" i="13"/>
  <c r="CV34" i="11"/>
  <c r="CV33" i="11"/>
  <c r="CV22" i="11"/>
  <c r="CV27" i="11"/>
  <c r="DO16" i="5"/>
  <c r="DO12" i="5"/>
  <c r="DP4" i="5"/>
  <c r="DO14" i="5"/>
  <c r="DO3" i="5"/>
  <c r="DO10" i="5"/>
  <c r="DJ50" i="4"/>
  <c r="DJ38" i="4"/>
  <c r="DJ26" i="4"/>
  <c r="DN8" i="5" s="1"/>
  <c r="DJ44" i="4"/>
  <c r="DJ32" i="4"/>
  <c r="CS25" i="13"/>
  <c r="CY31" i="13"/>
  <c r="CY59" i="13" s="1"/>
  <c r="DE37" i="13"/>
  <c r="DK43" i="13"/>
  <c r="DQ42" i="11"/>
  <c r="DQ27" i="8" s="1"/>
  <c r="DQ41" i="11"/>
  <c r="DQ12" i="8" s="1"/>
  <c r="DP18" i="10"/>
  <c r="DP8" i="10"/>
  <c r="DP25" i="8" s="1"/>
  <c r="DQ4" i="10"/>
  <c r="DP3" i="10"/>
  <c r="DP7" i="10"/>
  <c r="DP2" i="10"/>
  <c r="DP9" i="10"/>
  <c r="DP10" i="10" s="1"/>
  <c r="DP6" i="10"/>
  <c r="DN37" i="8"/>
  <c r="DN38" i="8" s="1"/>
  <c r="DL50" i="8"/>
  <c r="DL53" i="8" s="1"/>
  <c r="DO19" i="10"/>
  <c r="DO10" i="8"/>
  <c r="DN9" i="9"/>
  <c r="DN8" i="8"/>
  <c r="DQ38" i="11"/>
  <c r="DQ26" i="8" s="1"/>
  <c r="DQ37" i="11"/>
  <c r="DQ11" i="8" s="1"/>
  <c r="DM14" i="9"/>
  <c r="DM22" i="8"/>
  <c r="CU7" i="13"/>
  <c r="CW13" i="11"/>
  <c r="DO17" i="12"/>
  <c r="DO18" i="12" s="1"/>
  <c r="DO29" i="8"/>
  <c r="DO12" i="10"/>
  <c r="CX8" i="11"/>
  <c r="DQ23" i="12" l="1"/>
  <c r="DQ24" i="12" s="1"/>
  <c r="DO38" i="8"/>
  <c r="DP11" i="10"/>
  <c r="DP12" i="10" s="1"/>
  <c r="CV45" i="11"/>
  <c r="CV13" i="8"/>
  <c r="CV46" i="11"/>
  <c r="CV28" i="8"/>
  <c r="DP16" i="10"/>
  <c r="DP24" i="8"/>
  <c r="DP52" i="8" s="1"/>
  <c r="DR16" i="11"/>
  <c r="DR20" i="11" s="1"/>
  <c r="CT26" i="13"/>
  <c r="CZ32" i="13"/>
  <c r="CZ62" i="13" s="1"/>
  <c r="CZ70" i="13" s="1"/>
  <c r="DF38" i="13"/>
  <c r="DL44" i="13"/>
  <c r="DR16" i="12"/>
  <c r="DR30" i="8" s="1"/>
  <c r="DR22" i="12"/>
  <c r="DR9" i="12"/>
  <c r="DR27" i="12" s="1"/>
  <c r="DR10" i="12"/>
  <c r="DR21" i="12" s="1"/>
  <c r="DR8" i="12"/>
  <c r="DS4" i="12"/>
  <c r="DR3" i="12"/>
  <c r="CT64" i="13"/>
  <c r="CT63" i="13"/>
  <c r="CT73" i="13" s="1"/>
  <c r="J84" i="13" s="1"/>
  <c r="J85" i="13" s="1"/>
  <c r="CT71" i="13"/>
  <c r="DR41" i="11"/>
  <c r="DR12" i="8" s="1"/>
  <c r="DR42" i="11"/>
  <c r="DR27" i="8" s="1"/>
  <c r="DP16" i="5"/>
  <c r="DP12" i="5"/>
  <c r="DQ4" i="5"/>
  <c r="DP14" i="5"/>
  <c r="DP10" i="5"/>
  <c r="DP3" i="5"/>
  <c r="DP17" i="12"/>
  <c r="DP18" i="12" s="1"/>
  <c r="DP29" i="8"/>
  <c r="DR38" i="11"/>
  <c r="DR26" i="8" s="1"/>
  <c r="DR37" i="11"/>
  <c r="DR11" i="8" s="1"/>
  <c r="CX12" i="11"/>
  <c r="CX9" i="11"/>
  <c r="CY6" i="11" s="1"/>
  <c r="CU27" i="13"/>
  <c r="DA33" i="13"/>
  <c r="DA65" i="13" s="1"/>
  <c r="DG39" i="13"/>
  <c r="DM45" i="13"/>
  <c r="DP51" i="13"/>
  <c r="DP49" i="13"/>
  <c r="DP50" i="13"/>
  <c r="DQ15" i="12"/>
  <c r="DQ11" i="12"/>
  <c r="CS57" i="13"/>
  <c r="CS72" i="13" s="1"/>
  <c r="CS58" i="13"/>
  <c r="CS56" i="13"/>
  <c r="CS55" i="13"/>
  <c r="DN14" i="9"/>
  <c r="DN22" i="8"/>
  <c r="DQ4" i="8"/>
  <c r="DP3" i="8"/>
  <c r="DP7" i="8"/>
  <c r="CW34" i="11"/>
  <c r="CW33" i="11"/>
  <c r="CU6" i="13"/>
  <c r="CW22" i="11"/>
  <c r="CW27" i="11"/>
  <c r="DM50" i="8"/>
  <c r="DM53" i="8" s="1"/>
  <c r="DP8" i="9"/>
  <c r="DP7" i="9"/>
  <c r="DQ4" i="9"/>
  <c r="DP3" i="9"/>
  <c r="DP13" i="9"/>
  <c r="DP23" i="8" s="1"/>
  <c r="DP51" i="8" s="1"/>
  <c r="DQ28" i="12"/>
  <c r="DQ14" i="8"/>
  <c r="DK50" i="4"/>
  <c r="DK44" i="4"/>
  <c r="DK32" i="4"/>
  <c r="DK38" i="4"/>
  <c r="DK26" i="4"/>
  <c r="DO8" i="5" s="1"/>
  <c r="CT5" i="13"/>
  <c r="CV28" i="11"/>
  <c r="CV43" i="8"/>
  <c r="CV44" i="8" s="1"/>
  <c r="DO8" i="8"/>
  <c r="DO9" i="9"/>
  <c r="DQ3" i="13"/>
  <c r="DS17" i="11"/>
  <c r="DS15" i="11"/>
  <c r="DS19" i="11"/>
  <c r="DS18" i="11"/>
  <c r="DS7" i="11"/>
  <c r="DS11" i="11" s="1"/>
  <c r="DS3" i="11"/>
  <c r="DS2" i="11"/>
  <c r="DT4" i="11"/>
  <c r="DQ18" i="10"/>
  <c r="DQ8" i="10"/>
  <c r="DQ25" i="8" s="1"/>
  <c r="DQ3" i="10"/>
  <c r="DQ7" i="10"/>
  <c r="DQ2" i="10"/>
  <c r="DQ9" i="10"/>
  <c r="DQ10" i="10" s="1"/>
  <c r="DQ6" i="10"/>
  <c r="DR4" i="10"/>
  <c r="DP19" i="10"/>
  <c r="DP10" i="8"/>
  <c r="CV23" i="11"/>
  <c r="DO12" i="9"/>
  <c r="DO9" i="8"/>
  <c r="DR23" i="12" l="1"/>
  <c r="DR24" i="12" s="1"/>
  <c r="DP37" i="8"/>
  <c r="DP38" i="8" s="1"/>
  <c r="DQ49" i="13"/>
  <c r="DQ51" i="13"/>
  <c r="DQ50" i="13"/>
  <c r="DN50" i="8"/>
  <c r="DN53" i="8" s="1"/>
  <c r="CW46" i="11"/>
  <c r="CW28" i="8"/>
  <c r="DR15" i="12"/>
  <c r="DR11" i="12"/>
  <c r="CY8" i="11"/>
  <c r="DS16" i="12"/>
  <c r="DS30" i="8" s="1"/>
  <c r="DS22" i="12"/>
  <c r="DS9" i="12"/>
  <c r="DS27" i="12" s="1"/>
  <c r="DS10" i="12"/>
  <c r="DS21" i="12" s="1"/>
  <c r="DS8" i="12"/>
  <c r="DT4" i="12"/>
  <c r="DS3" i="12"/>
  <c r="DR3" i="13"/>
  <c r="DT17" i="11"/>
  <c r="DT3" i="11"/>
  <c r="DT19" i="11"/>
  <c r="DT7" i="11"/>
  <c r="DT11" i="11" s="1"/>
  <c r="DT15" i="11"/>
  <c r="DT18" i="11"/>
  <c r="DT2" i="11"/>
  <c r="DU4" i="11"/>
  <c r="CU64" i="13"/>
  <c r="CU63" i="13"/>
  <c r="CU73" i="13" s="1"/>
  <c r="CU71" i="13"/>
  <c r="DL50" i="4"/>
  <c r="DL44" i="4"/>
  <c r="DL32" i="4"/>
  <c r="DL38" i="4"/>
  <c r="DL26" i="4"/>
  <c r="DP8" i="5" s="1"/>
  <c r="DR28" i="12"/>
  <c r="DR14" i="8"/>
  <c r="DQ17" i="12"/>
  <c r="DQ18" i="12" s="1"/>
  <c r="DQ29" i="8"/>
  <c r="CT25" i="13"/>
  <c r="CZ31" i="13"/>
  <c r="CZ59" i="13" s="1"/>
  <c r="DF37" i="13"/>
  <c r="DL43" i="13"/>
  <c r="DQ7" i="9"/>
  <c r="DR4" i="9"/>
  <c r="DQ13" i="9"/>
  <c r="DQ23" i="8" s="1"/>
  <c r="DQ51" i="8" s="1"/>
  <c r="DQ8" i="9"/>
  <c r="DQ3" i="9"/>
  <c r="DQ3" i="8"/>
  <c r="DQ7" i="8"/>
  <c r="DR4" i="8"/>
  <c r="DP12" i="9"/>
  <c r="DP9" i="8"/>
  <c r="CU5" i="13"/>
  <c r="CW28" i="11"/>
  <c r="CW43" i="8"/>
  <c r="CW44" i="8" s="1"/>
  <c r="DQ16" i="10"/>
  <c r="DQ24" i="8"/>
  <c r="DQ52" i="8" s="1"/>
  <c r="DQ11" i="10"/>
  <c r="DQ12" i="10" s="1"/>
  <c r="B76" i="14"/>
  <c r="J117" i="13"/>
  <c r="J86" i="13"/>
  <c r="D76" i="14" s="1"/>
  <c r="B117" i="13"/>
  <c r="DQ19" i="10"/>
  <c r="DQ10" i="8"/>
  <c r="DP9" i="9"/>
  <c r="DP8" i="8"/>
  <c r="DR18" i="10"/>
  <c r="DR7" i="10"/>
  <c r="DR8" i="10"/>
  <c r="DR25" i="8" s="1"/>
  <c r="DR3" i="10"/>
  <c r="DR2" i="10"/>
  <c r="DR9" i="10"/>
  <c r="DR10" i="10" s="1"/>
  <c r="DR6" i="10"/>
  <c r="DS4" i="10"/>
  <c r="DS38" i="11"/>
  <c r="DS26" i="8" s="1"/>
  <c r="DS37" i="11"/>
  <c r="DS11" i="8" s="1"/>
  <c r="DS42" i="11"/>
  <c r="DS27" i="8" s="1"/>
  <c r="DS41" i="11"/>
  <c r="DS12" i="8" s="1"/>
  <c r="CW23" i="11"/>
  <c r="DS16" i="11"/>
  <c r="DS20" i="11" s="1"/>
  <c r="CU26" i="13"/>
  <c r="DA32" i="13"/>
  <c r="DA62" i="13" s="1"/>
  <c r="DA70" i="13" s="1"/>
  <c r="DG38" i="13"/>
  <c r="DM44" i="13"/>
  <c r="CV7" i="13"/>
  <c r="CX13" i="11"/>
  <c r="DQ16" i="5"/>
  <c r="DQ12" i="5"/>
  <c r="DR4" i="5"/>
  <c r="DQ14" i="5"/>
  <c r="DQ10" i="5"/>
  <c r="DQ3" i="5"/>
  <c r="CT61" i="13"/>
  <c r="CT69" i="13"/>
  <c r="CT60" i="13"/>
  <c r="CT74" i="13" s="1"/>
  <c r="B61" i="14" s="1"/>
  <c r="DO14" i="9"/>
  <c r="DO22" i="8"/>
  <c r="CW45" i="11"/>
  <c r="CW13" i="8"/>
  <c r="DS23" i="12" l="1"/>
  <c r="DS24" i="12" s="1"/>
  <c r="CV27" i="13"/>
  <c r="DB33" i="13"/>
  <c r="DB65" i="13" s="1"/>
  <c r="DH39" i="13"/>
  <c r="DN45" i="13"/>
  <c r="DT37" i="11"/>
  <c r="DT11" i="8" s="1"/>
  <c r="DT38" i="11"/>
  <c r="DT26" i="8" s="1"/>
  <c r="DS28" i="12"/>
  <c r="DS14" i="8"/>
  <c r="DR11" i="10"/>
  <c r="DT42" i="11"/>
  <c r="DT27" i="8" s="1"/>
  <c r="DT41" i="11"/>
  <c r="DT12" i="8" s="1"/>
  <c r="DR16" i="5"/>
  <c r="DR12" i="5"/>
  <c r="DS4" i="5"/>
  <c r="DR14" i="5"/>
  <c r="DR10" i="5"/>
  <c r="DR3" i="5"/>
  <c r="CY12" i="11"/>
  <c r="DR8" i="9"/>
  <c r="DR7" i="9"/>
  <c r="DS4" i="9"/>
  <c r="DR3" i="9"/>
  <c r="DR13" i="9"/>
  <c r="DR23" i="8" s="1"/>
  <c r="DR51" i="8" s="1"/>
  <c r="DQ9" i="9"/>
  <c r="DQ8" i="8"/>
  <c r="CU60" i="13"/>
  <c r="CU74" i="13" s="1"/>
  <c r="CU61" i="13"/>
  <c r="CU69" i="13"/>
  <c r="J118" i="13"/>
  <c r="J132" i="13" s="1"/>
  <c r="J120" i="13"/>
  <c r="J131" i="13"/>
  <c r="CU25" i="13"/>
  <c r="DA31" i="13"/>
  <c r="DA59" i="13" s="1"/>
  <c r="DG37" i="13"/>
  <c r="DM43" i="13"/>
  <c r="CY9" i="11"/>
  <c r="CZ6" i="11" s="1"/>
  <c r="CT57" i="13"/>
  <c r="CT56" i="13"/>
  <c r="O61" i="14" s="1"/>
  <c r="CT55" i="13"/>
  <c r="N61" i="14" s="1"/>
  <c r="CT58" i="13"/>
  <c r="DR3" i="8"/>
  <c r="DR7" i="8"/>
  <c r="DS4" i="8"/>
  <c r="DR51" i="13"/>
  <c r="DR50" i="13"/>
  <c r="DR49" i="13"/>
  <c r="DR17" i="12"/>
  <c r="DR18" i="12" s="1"/>
  <c r="DR29" i="8"/>
  <c r="DO50" i="8"/>
  <c r="DO53" i="8" s="1"/>
  <c r="C61" i="14"/>
  <c r="DR16" i="10"/>
  <c r="DR24" i="8"/>
  <c r="DR52" i="8" s="1"/>
  <c r="DR19" i="10"/>
  <c r="DR10" i="8"/>
  <c r="DT16" i="12"/>
  <c r="DT30" i="8" s="1"/>
  <c r="DT22" i="12"/>
  <c r="DT9" i="12"/>
  <c r="DT27" i="12" s="1"/>
  <c r="DT10" i="12"/>
  <c r="DT21" i="12" s="1"/>
  <c r="DT8" i="12"/>
  <c r="DU4" i="12"/>
  <c r="DT3" i="12"/>
  <c r="DT16" i="11"/>
  <c r="DT20" i="11" s="1"/>
  <c r="DS9" i="10"/>
  <c r="DS10" i="10" s="1"/>
  <c r="DS3" i="10"/>
  <c r="DS2" i="10"/>
  <c r="DS7" i="10"/>
  <c r="DS6" i="10"/>
  <c r="DT4" i="10"/>
  <c r="DS8" i="10"/>
  <c r="DS25" i="8" s="1"/>
  <c r="DS18" i="10"/>
  <c r="DP14" i="9"/>
  <c r="DP22" i="8"/>
  <c r="DU7" i="11"/>
  <c r="DU2" i="11"/>
  <c r="DU19" i="11"/>
  <c r="DU18" i="11"/>
  <c r="DU15" i="11"/>
  <c r="DU17" i="11"/>
  <c r="D17" i="11" s="1"/>
  <c r="DU3" i="11"/>
  <c r="H6" i="12"/>
  <c r="G6" i="12"/>
  <c r="J6" i="12"/>
  <c r="F6" i="12"/>
  <c r="E6" i="12"/>
  <c r="M6" i="12"/>
  <c r="K6" i="12"/>
  <c r="N6" i="12"/>
  <c r="L6" i="12"/>
  <c r="I6" i="12"/>
  <c r="O6" i="12"/>
  <c r="Q6" i="12"/>
  <c r="P6" i="12"/>
  <c r="S6" i="12"/>
  <c r="R6" i="12"/>
  <c r="T6" i="12"/>
  <c r="Z6" i="12"/>
  <c r="U6" i="12"/>
  <c r="V6" i="12"/>
  <c r="W6" i="12"/>
  <c r="X6" i="12"/>
  <c r="AB6" i="12"/>
  <c r="Y6" i="12"/>
  <c r="AA6" i="12"/>
  <c r="AD6" i="12"/>
  <c r="AC6" i="12"/>
  <c r="AF6" i="12"/>
  <c r="AH6" i="12"/>
  <c r="AE6" i="12"/>
  <c r="AG6" i="12"/>
  <c r="AJ6" i="12"/>
  <c r="AI6" i="12"/>
  <c r="AL6" i="12"/>
  <c r="AK6" i="12"/>
  <c r="AM6" i="12"/>
  <c r="AS6" i="12"/>
  <c r="AO6" i="12"/>
  <c r="AN6" i="12"/>
  <c r="AP6" i="12"/>
  <c r="AR6" i="12"/>
  <c r="AQ6" i="12"/>
  <c r="AU6" i="12"/>
  <c r="AW6" i="12"/>
  <c r="AV6" i="12"/>
  <c r="AT6" i="12"/>
  <c r="AX6" i="12"/>
  <c r="BA6" i="12"/>
  <c r="AY6" i="12"/>
  <c r="AZ6" i="12"/>
  <c r="BD6" i="12"/>
  <c r="BB6" i="12"/>
  <c r="BC6" i="12"/>
  <c r="BE6" i="12"/>
  <c r="BF6" i="12"/>
  <c r="BG6" i="12"/>
  <c r="BH6" i="12"/>
  <c r="BL6" i="12"/>
  <c r="BJ6" i="12"/>
  <c r="BI6" i="12"/>
  <c r="BK6" i="12"/>
  <c r="BM6" i="12"/>
  <c r="BO6" i="12"/>
  <c r="BN6" i="12"/>
  <c r="BR6" i="12"/>
  <c r="BP6" i="12"/>
  <c r="BS6" i="12"/>
  <c r="BQ6" i="12"/>
  <c r="BT6" i="12"/>
  <c r="BU6" i="12"/>
  <c r="BV6" i="12"/>
  <c r="BX6" i="12"/>
  <c r="CG6" i="12"/>
  <c r="J119" i="13"/>
  <c r="J133" i="13" s="1"/>
  <c r="DQ37" i="8"/>
  <c r="DQ38" i="8" s="1"/>
  <c r="CV6" i="13"/>
  <c r="CX34" i="11"/>
  <c r="CX33" i="11"/>
  <c r="CX22" i="11"/>
  <c r="CX27" i="11"/>
  <c r="DQ12" i="9"/>
  <c r="DQ9" i="8"/>
  <c r="DS15" i="12"/>
  <c r="DS11" i="12"/>
  <c r="DM50" i="4"/>
  <c r="DM44" i="4"/>
  <c r="DM32" i="4"/>
  <c r="DM38" i="4"/>
  <c r="DM26" i="4"/>
  <c r="DQ8" i="5" s="1"/>
  <c r="DT23" i="12" l="1"/>
  <c r="DT24" i="12" s="1"/>
  <c r="AE138" i="13"/>
  <c r="AG12" i="12"/>
  <c r="R138" i="13"/>
  <c r="T12" i="12"/>
  <c r="J134" i="13"/>
  <c r="F76" i="14" s="1"/>
  <c r="K117" i="13"/>
  <c r="DR12" i="9"/>
  <c r="DR9" i="8"/>
  <c r="CX46" i="11"/>
  <c r="CX28" i="8"/>
  <c r="BL138" i="13"/>
  <c r="BN9" i="12"/>
  <c r="BN27" i="12" s="1"/>
  <c r="BN10" i="12"/>
  <c r="BN21" i="12" s="1"/>
  <c r="BN23" i="12" s="1"/>
  <c r="BN24" i="12" s="1"/>
  <c r="BN8" i="12"/>
  <c r="AZ138" i="13"/>
  <c r="BB12" i="12"/>
  <c r="AN138" i="13"/>
  <c r="AP12" i="12"/>
  <c r="AD138" i="13"/>
  <c r="AF12" i="12"/>
  <c r="P138" i="13"/>
  <c r="R12" i="12"/>
  <c r="H138" i="13"/>
  <c r="J12" i="12"/>
  <c r="DU22" i="12"/>
  <c r="D22" i="12" s="1"/>
  <c r="DU10" i="12"/>
  <c r="DU8" i="12"/>
  <c r="DU3" i="12"/>
  <c r="DU16" i="12"/>
  <c r="DU9" i="12"/>
  <c r="C76" i="14"/>
  <c r="J135" i="13"/>
  <c r="K138" i="13"/>
  <c r="M12" i="12"/>
  <c r="DS8" i="9"/>
  <c r="DT4" i="9"/>
  <c r="DS3" i="9"/>
  <c r="DS13" i="9"/>
  <c r="DS23" i="8" s="1"/>
  <c r="DS51" i="8" s="1"/>
  <c r="DS7" i="9"/>
  <c r="CX45" i="11"/>
  <c r="CX13" i="8"/>
  <c r="BB138" i="13"/>
  <c r="BD10" i="12"/>
  <c r="BD21" i="12" s="1"/>
  <c r="BD23" i="12" s="1"/>
  <c r="BD24" i="12" s="1"/>
  <c r="BD9" i="12"/>
  <c r="BD27" i="12" s="1"/>
  <c r="BD8" i="12"/>
  <c r="AL138" i="13"/>
  <c r="AN12" i="12"/>
  <c r="AA138" i="13"/>
  <c r="AC12" i="12"/>
  <c r="Q138" i="13"/>
  <c r="S12" i="12"/>
  <c r="E138" i="13"/>
  <c r="G12" i="12"/>
  <c r="DS19" i="10"/>
  <c r="DS10" i="8"/>
  <c r="F61" i="14"/>
  <c r="G61" i="14"/>
  <c r="C35" i="15" s="1"/>
  <c r="H61" i="14"/>
  <c r="DT4" i="5"/>
  <c r="DS14" i="5"/>
  <c r="DS10" i="5"/>
  <c r="DS3" i="5"/>
  <c r="DS16" i="5"/>
  <c r="DS12" i="5"/>
  <c r="BQ138" i="13"/>
  <c r="BS9" i="12"/>
  <c r="BS27" i="12" s="1"/>
  <c r="BS10" i="12"/>
  <c r="BS21" i="12" s="1"/>
  <c r="BS23" i="12" s="1"/>
  <c r="BS24" i="12" s="1"/>
  <c r="BS8" i="12"/>
  <c r="CU58" i="13"/>
  <c r="CU56" i="13"/>
  <c r="CU55" i="13"/>
  <c r="CU57" i="13"/>
  <c r="C138" i="13"/>
  <c r="E12" i="12"/>
  <c r="DR9" i="9"/>
  <c r="DR8" i="8"/>
  <c r="D138" i="13"/>
  <c r="F12" i="12"/>
  <c r="BM138" i="13"/>
  <c r="BO10" i="12"/>
  <c r="BO21" i="12" s="1"/>
  <c r="BO23" i="12" s="1"/>
  <c r="BO24" i="12" s="1"/>
  <c r="BO8" i="12"/>
  <c r="BO9" i="12"/>
  <c r="BO27" i="12" s="1"/>
  <c r="BK138" i="13"/>
  <c r="BM10" i="12"/>
  <c r="BM21" i="12" s="1"/>
  <c r="BM23" i="12" s="1"/>
  <c r="BM24" i="12" s="1"/>
  <c r="BM9" i="12"/>
  <c r="BM27" i="12" s="1"/>
  <c r="BM8" i="12"/>
  <c r="AX138" i="13"/>
  <c r="AZ12" i="12"/>
  <c r="AM138" i="13"/>
  <c r="AO12" i="12"/>
  <c r="AB138" i="13"/>
  <c r="AD12" i="12"/>
  <c r="N138" i="13"/>
  <c r="P12" i="12"/>
  <c r="F138" i="13"/>
  <c r="H12" i="12"/>
  <c r="DT15" i="12"/>
  <c r="DT11" i="12"/>
  <c r="DU11" i="11"/>
  <c r="D7" i="11"/>
  <c r="CX23" i="11"/>
  <c r="BA138" i="13"/>
  <c r="BC12" i="12"/>
  <c r="BI138" i="13"/>
  <c r="BK9" i="12"/>
  <c r="BK27" i="12" s="1"/>
  <c r="BK8" i="12"/>
  <c r="BK10" i="12"/>
  <c r="BK21" i="12" s="1"/>
  <c r="BK23" i="12" s="1"/>
  <c r="BK24" i="12" s="1"/>
  <c r="AW138" i="13"/>
  <c r="AY12" i="12"/>
  <c r="AQ138" i="13"/>
  <c r="AS12" i="12"/>
  <c r="Y138" i="13"/>
  <c r="AA12" i="12"/>
  <c r="O138" i="13"/>
  <c r="Q12" i="12"/>
  <c r="DT6" i="10"/>
  <c r="DT3" i="10"/>
  <c r="DT2" i="10"/>
  <c r="DT7" i="10"/>
  <c r="DT9" i="10"/>
  <c r="DT10" i="10" s="1"/>
  <c r="DU4" i="10"/>
  <c r="DT18" i="10"/>
  <c r="DT8" i="10"/>
  <c r="DT25" i="8" s="1"/>
  <c r="CV5" i="13"/>
  <c r="CX28" i="11"/>
  <c r="CX43" i="8"/>
  <c r="CX44" i="8" s="1"/>
  <c r="BN138" i="13"/>
  <c r="BP10" i="12"/>
  <c r="BP21" i="12" s="1"/>
  <c r="BP23" i="12" s="1"/>
  <c r="BP24" i="12" s="1"/>
  <c r="BP9" i="12"/>
  <c r="BP27" i="12" s="1"/>
  <c r="BP8" i="12"/>
  <c r="AF138" i="13"/>
  <c r="AH12" i="12"/>
  <c r="BV138" i="13"/>
  <c r="BX9" i="12"/>
  <c r="BX27" i="12" s="1"/>
  <c r="BX8" i="12"/>
  <c r="BX10" i="12"/>
  <c r="BX21" i="12" s="1"/>
  <c r="BX23" i="12" s="1"/>
  <c r="BX24" i="12" s="1"/>
  <c r="BG138" i="13"/>
  <c r="BI10" i="12"/>
  <c r="BI21" i="12" s="1"/>
  <c r="BI23" i="12" s="1"/>
  <c r="BI24" i="12" s="1"/>
  <c r="BI9" i="12"/>
  <c r="BI27" i="12" s="1"/>
  <c r="BI8" i="12"/>
  <c r="AY138" i="13"/>
  <c r="BA12" i="12"/>
  <c r="AK138" i="13"/>
  <c r="AM12" i="12"/>
  <c r="W138" i="13"/>
  <c r="Y12" i="12"/>
  <c r="M138" i="13"/>
  <c r="O12" i="12"/>
  <c r="DS11" i="10"/>
  <c r="DT28" i="12"/>
  <c r="DT14" i="8"/>
  <c r="D61" i="14"/>
  <c r="CT72" i="13"/>
  <c r="P61" i="14"/>
  <c r="Q61" i="14" s="1"/>
  <c r="AS138" i="13"/>
  <c r="AU12" i="12"/>
  <c r="AO138" i="13"/>
  <c r="AQ12" i="12"/>
  <c r="CV26" i="13"/>
  <c r="DB32" i="13"/>
  <c r="DB62" i="13" s="1"/>
  <c r="DB70" i="13" s="1"/>
  <c r="DH38" i="13"/>
  <c r="DN44" i="13"/>
  <c r="BT138" i="13"/>
  <c r="BV9" i="12"/>
  <c r="BV27" i="12" s="1"/>
  <c r="BV10" i="12"/>
  <c r="BV21" i="12" s="1"/>
  <c r="BV23" i="12" s="1"/>
  <c r="BV24" i="12" s="1"/>
  <c r="BV8" i="12"/>
  <c r="BH138" i="13"/>
  <c r="BJ8" i="12"/>
  <c r="BJ10" i="12"/>
  <c r="BJ21" i="12" s="1"/>
  <c r="BJ23" i="12" s="1"/>
  <c r="BJ24" i="12" s="1"/>
  <c r="BJ9" i="12"/>
  <c r="BJ27" i="12" s="1"/>
  <c r="AV138" i="13"/>
  <c r="AX12" i="12"/>
  <c r="AI138" i="13"/>
  <c r="AK12" i="12"/>
  <c r="Z138" i="13"/>
  <c r="AB12" i="12"/>
  <c r="G138" i="13"/>
  <c r="I12" i="12"/>
  <c r="DU16" i="11"/>
  <c r="D16" i="11" s="1"/>
  <c r="D15" i="11"/>
  <c r="DS16" i="10"/>
  <c r="DS24" i="8"/>
  <c r="DS52" i="8" s="1"/>
  <c r="CZ8" i="11"/>
  <c r="X138" i="13"/>
  <c r="Z12" i="12"/>
  <c r="AP138" i="13"/>
  <c r="AR12" i="12"/>
  <c r="BS138" i="13"/>
  <c r="BU8" i="12"/>
  <c r="BU9" i="12"/>
  <c r="BU27" i="12" s="1"/>
  <c r="BU10" i="12"/>
  <c r="BU21" i="12" s="1"/>
  <c r="BU23" i="12" s="1"/>
  <c r="BU24" i="12" s="1"/>
  <c r="AR138" i="13"/>
  <c r="AT12" i="12"/>
  <c r="AJ138" i="13"/>
  <c r="AL12" i="12"/>
  <c r="V138" i="13"/>
  <c r="X12" i="12"/>
  <c r="J138" i="13"/>
  <c r="L12" i="12"/>
  <c r="DU38" i="11"/>
  <c r="DU37" i="11"/>
  <c r="D18" i="11"/>
  <c r="S138" i="13"/>
  <c r="U12" i="12"/>
  <c r="BC138" i="13"/>
  <c r="BE9" i="12"/>
  <c r="BE27" i="12" s="1"/>
  <c r="BE8" i="12"/>
  <c r="BE10" i="12"/>
  <c r="BE21" i="12" s="1"/>
  <c r="BE23" i="12" s="1"/>
  <c r="BE24" i="12" s="1"/>
  <c r="BP138" i="13"/>
  <c r="BR10" i="12"/>
  <c r="BR21" i="12" s="1"/>
  <c r="BR23" i="12" s="1"/>
  <c r="BR24" i="12" s="1"/>
  <c r="BR9" i="12"/>
  <c r="BR27" i="12" s="1"/>
  <c r="BR8" i="12"/>
  <c r="DP50" i="8"/>
  <c r="DP53" i="8" s="1"/>
  <c r="DS17" i="12"/>
  <c r="DS18" i="12" s="1"/>
  <c r="DS29" i="8"/>
  <c r="BR138" i="13"/>
  <c r="BT10" i="12"/>
  <c r="BT21" i="12" s="1"/>
  <c r="BT23" i="12" s="1"/>
  <c r="BT24" i="12" s="1"/>
  <c r="BT9" i="12"/>
  <c r="BT27" i="12" s="1"/>
  <c r="BT8" i="12"/>
  <c r="BF138" i="13"/>
  <c r="BH10" i="12"/>
  <c r="BH21" i="12" s="1"/>
  <c r="BH23" i="12" s="1"/>
  <c r="BH24" i="12" s="1"/>
  <c r="BH9" i="12"/>
  <c r="BH27" i="12" s="1"/>
  <c r="BH8" i="12"/>
  <c r="AT138" i="13"/>
  <c r="AV12" i="12"/>
  <c r="AG138" i="13"/>
  <c r="AI12" i="12"/>
  <c r="U138" i="13"/>
  <c r="W12" i="12"/>
  <c r="L138" i="13"/>
  <c r="N12" i="12"/>
  <c r="DU41" i="11"/>
  <c r="DU42" i="11"/>
  <c r="D19" i="11"/>
  <c r="DS3" i="8"/>
  <c r="DS7" i="8"/>
  <c r="DT4" i="8"/>
  <c r="CW7" i="13"/>
  <c r="CY13" i="11"/>
  <c r="CV64" i="13"/>
  <c r="CV63" i="13"/>
  <c r="CV73" i="13" s="1"/>
  <c r="CV71" i="13"/>
  <c r="BD138" i="13"/>
  <c r="BF8" i="12"/>
  <c r="BF9" i="12"/>
  <c r="BF27" i="12" s="1"/>
  <c r="BF10" i="12"/>
  <c r="BF21" i="12" s="1"/>
  <c r="BF23" i="12" s="1"/>
  <c r="BF24" i="12" s="1"/>
  <c r="AC138" i="13"/>
  <c r="AE12" i="12"/>
  <c r="DR37" i="8"/>
  <c r="DR38" i="8" s="1"/>
  <c r="CE138" i="13"/>
  <c r="CG9" i="12"/>
  <c r="CG27" i="12" s="1"/>
  <c r="CG8" i="12"/>
  <c r="CG10" i="12"/>
  <c r="CG21" i="12" s="1"/>
  <c r="CG23" i="12" s="1"/>
  <c r="CG24" i="12" s="1"/>
  <c r="BJ138" i="13"/>
  <c r="BL9" i="12"/>
  <c r="BL27" i="12" s="1"/>
  <c r="BL8" i="12"/>
  <c r="BL10" i="12"/>
  <c r="BL21" i="12" s="1"/>
  <c r="BL23" i="12" s="1"/>
  <c r="BL24" i="12" s="1"/>
  <c r="DQ14" i="9"/>
  <c r="DQ22" i="8"/>
  <c r="BO138" i="13"/>
  <c r="BQ10" i="12"/>
  <c r="BQ21" i="12" s="1"/>
  <c r="BQ23" i="12" s="1"/>
  <c r="BQ24" i="12" s="1"/>
  <c r="BQ9" i="12"/>
  <c r="BQ27" i="12" s="1"/>
  <c r="BQ8" i="12"/>
  <c r="BE138" i="13"/>
  <c r="BG8" i="12"/>
  <c r="BG10" i="12"/>
  <c r="BG21" i="12" s="1"/>
  <c r="BG23" i="12" s="1"/>
  <c r="BG24" i="12" s="1"/>
  <c r="BG9" i="12"/>
  <c r="BG27" i="12" s="1"/>
  <c r="AU138" i="13"/>
  <c r="AW12" i="12"/>
  <c r="AH138" i="13"/>
  <c r="AJ12" i="12"/>
  <c r="T138" i="13"/>
  <c r="V12" i="12"/>
  <c r="I138" i="13"/>
  <c r="K12" i="12"/>
  <c r="DN26" i="4"/>
  <c r="DR8" i="5" s="1"/>
  <c r="DN44" i="4"/>
  <c r="DN32" i="4"/>
  <c r="DN38" i="4"/>
  <c r="DN50" i="4"/>
  <c r="DR12" i="10"/>
  <c r="DS12" i="10" l="1"/>
  <c r="J136" i="13"/>
  <c r="DT11" i="10"/>
  <c r="AL139" i="13"/>
  <c r="AR141" i="13"/>
  <c r="AX143" i="13"/>
  <c r="BD145" i="13"/>
  <c r="BJ147" i="13"/>
  <c r="BL139" i="13"/>
  <c r="BR141" i="13"/>
  <c r="BX143" i="13"/>
  <c r="CD145" i="13"/>
  <c r="CJ147" i="13"/>
  <c r="BE139" i="13"/>
  <c r="BK141" i="13"/>
  <c r="BQ143" i="13"/>
  <c r="BW145" i="13"/>
  <c r="CC147" i="13"/>
  <c r="BD139" i="13"/>
  <c r="BJ141" i="13"/>
  <c r="BP143" i="13"/>
  <c r="BV145" i="13"/>
  <c r="CB147" i="13"/>
  <c r="BI28" i="12"/>
  <c r="BI14" i="8"/>
  <c r="BI15" i="8" s="1"/>
  <c r="BN139" i="13"/>
  <c r="BT141" i="13"/>
  <c r="BZ143" i="13"/>
  <c r="CF145" i="13"/>
  <c r="CL147" i="13"/>
  <c r="AX139" i="13"/>
  <c r="BD141" i="13"/>
  <c r="BJ143" i="13"/>
  <c r="BP145" i="13"/>
  <c r="BV147" i="13"/>
  <c r="BD28" i="12"/>
  <c r="BD14" i="8"/>
  <c r="BD15" i="8" s="1"/>
  <c r="BD17" i="8" s="1"/>
  <c r="E76" i="14"/>
  <c r="V61" i="14"/>
  <c r="J137" i="13"/>
  <c r="P139" i="13"/>
  <c r="V141" i="13"/>
  <c r="AB143" i="13"/>
  <c r="AH145" i="13"/>
  <c r="AN147" i="13"/>
  <c r="BG15" i="12"/>
  <c r="BG11" i="12"/>
  <c r="BG12" i="12" s="1"/>
  <c r="V139" i="13"/>
  <c r="AB141" i="13"/>
  <c r="AH143" i="13"/>
  <c r="AN145" i="13"/>
  <c r="AT147" i="13"/>
  <c r="BD11" i="12"/>
  <c r="BD12" i="12" s="1"/>
  <c r="BD15" i="12"/>
  <c r="BE28" i="12"/>
  <c r="BE14" i="8"/>
  <c r="BE15" i="8" s="1"/>
  <c r="AJ139" i="13"/>
  <c r="AP141" i="13"/>
  <c r="AV143" i="13"/>
  <c r="BB145" i="13"/>
  <c r="BH147" i="13"/>
  <c r="CZ9" i="11"/>
  <c r="DA6" i="11" s="1"/>
  <c r="DS37" i="8"/>
  <c r="DS38" i="8" s="1"/>
  <c r="BG139" i="13"/>
  <c r="BM141" i="13"/>
  <c r="BS143" i="13"/>
  <c r="BY145" i="13"/>
  <c r="CE147" i="13"/>
  <c r="O20" i="15"/>
  <c r="O139" i="13"/>
  <c r="U141" i="13"/>
  <c r="AA143" i="13"/>
  <c r="AG145" i="13"/>
  <c r="AM147" i="13"/>
  <c r="DT17" i="12"/>
  <c r="DT18" i="12" s="1"/>
  <c r="DT29" i="8"/>
  <c r="BM28" i="12"/>
  <c r="BM14" i="8"/>
  <c r="BM15" i="8" s="1"/>
  <c r="C139" i="13"/>
  <c r="C150" i="13" s="1"/>
  <c r="C151" i="13" s="1"/>
  <c r="I141" i="13"/>
  <c r="O143" i="13"/>
  <c r="U145" i="13"/>
  <c r="AA147" i="13"/>
  <c r="Z139" i="13"/>
  <c r="AF141" i="13"/>
  <c r="AL143" i="13"/>
  <c r="AR145" i="13"/>
  <c r="AX147" i="13"/>
  <c r="BI15" i="12"/>
  <c r="BI11" i="12"/>
  <c r="BI12" i="12" s="1"/>
  <c r="CV60" i="13"/>
  <c r="CV74" i="13" s="1"/>
  <c r="CV61" i="13"/>
  <c r="CV69" i="13"/>
  <c r="C20" i="15"/>
  <c r="BA139" i="13"/>
  <c r="BG141" i="13"/>
  <c r="BM143" i="13"/>
  <c r="BS145" i="13"/>
  <c r="BY147" i="13"/>
  <c r="CU72" i="13"/>
  <c r="BB139" i="13"/>
  <c r="BH141" i="13"/>
  <c r="BN143" i="13"/>
  <c r="BT145" i="13"/>
  <c r="BZ147" i="13"/>
  <c r="DU27" i="12"/>
  <c r="AD139" i="13"/>
  <c r="AJ141" i="13"/>
  <c r="AP143" i="13"/>
  <c r="AV145" i="13"/>
  <c r="BB147" i="13"/>
  <c r="DR14" i="9"/>
  <c r="DR22" i="8"/>
  <c r="BF15" i="12"/>
  <c r="BF11" i="12"/>
  <c r="BF12" i="12" s="1"/>
  <c r="I61" i="14"/>
  <c r="D11" i="11"/>
  <c r="K139" i="13"/>
  <c r="Q141" i="13"/>
  <c r="W143" i="13"/>
  <c r="AC145" i="13"/>
  <c r="AI147" i="13"/>
  <c r="BE11" i="12"/>
  <c r="BE12" i="12" s="1"/>
  <c r="BE15" i="12"/>
  <c r="AI139" i="13"/>
  <c r="AO141" i="13"/>
  <c r="AU143" i="13"/>
  <c r="BA145" i="13"/>
  <c r="BG147" i="13"/>
  <c r="BM15" i="12"/>
  <c r="BM11" i="12"/>
  <c r="BM12" i="12" s="1"/>
  <c r="CG28" i="12"/>
  <c r="CG14" i="8"/>
  <c r="CG15" i="8" s="1"/>
  <c r="U139" i="13"/>
  <c r="AA141" i="13"/>
  <c r="AG143" i="13"/>
  <c r="AM145" i="13"/>
  <c r="AS147" i="13"/>
  <c r="BR139" i="13"/>
  <c r="BX141" i="13"/>
  <c r="CD143" i="13"/>
  <c r="CJ145" i="13"/>
  <c r="CP147" i="13"/>
  <c r="BC139" i="13"/>
  <c r="BI141" i="13"/>
  <c r="BO143" i="13"/>
  <c r="BU145" i="13"/>
  <c r="CA147" i="13"/>
  <c r="AV139" i="13"/>
  <c r="BB141" i="13"/>
  <c r="BH143" i="13"/>
  <c r="BN145" i="13"/>
  <c r="BT147" i="13"/>
  <c r="T139" i="13"/>
  <c r="Z141" i="13"/>
  <c r="AF143" i="13"/>
  <c r="AL145" i="13"/>
  <c r="AR147" i="13"/>
  <c r="BO139" i="13"/>
  <c r="BU141" i="13"/>
  <c r="CA143" i="13"/>
  <c r="CG145" i="13"/>
  <c r="CM147" i="13"/>
  <c r="CE139" i="13"/>
  <c r="CK141" i="13"/>
  <c r="CQ143" i="13"/>
  <c r="CW145" i="13"/>
  <c r="DC147" i="13"/>
  <c r="CW6" i="13"/>
  <c r="CY33" i="11"/>
  <c r="CY34" i="11"/>
  <c r="CY22" i="11"/>
  <c r="CY27" i="11"/>
  <c r="AR139" i="13"/>
  <c r="AX141" i="13"/>
  <c r="BD143" i="13"/>
  <c r="BJ145" i="13"/>
  <c r="BP147" i="13"/>
  <c r="BJ28" i="12"/>
  <c r="BJ14" i="8"/>
  <c r="BJ15" i="8" s="1"/>
  <c r="G76" i="14"/>
  <c r="W61" i="14"/>
  <c r="M139" i="13"/>
  <c r="S141" i="13"/>
  <c r="Y143" i="13"/>
  <c r="AE145" i="13"/>
  <c r="AK147" i="13"/>
  <c r="BX15" i="12"/>
  <c r="BX11" i="12"/>
  <c r="BX12" i="12" s="1"/>
  <c r="Y139" i="13"/>
  <c r="AE141" i="13"/>
  <c r="AK143" i="13"/>
  <c r="AQ145" i="13"/>
  <c r="AW147" i="13"/>
  <c r="F139" i="13"/>
  <c r="F150" i="13" s="1"/>
  <c r="F151" i="13" s="1"/>
  <c r="L141" i="13"/>
  <c r="R143" i="13"/>
  <c r="X145" i="13"/>
  <c r="AD147" i="13"/>
  <c r="BK139" i="13"/>
  <c r="BQ141" i="13"/>
  <c r="BW143" i="13"/>
  <c r="CC145" i="13"/>
  <c r="CI147" i="13"/>
  <c r="DU30" i="8"/>
  <c r="D30" i="8" s="1"/>
  <c r="D16" i="12"/>
  <c r="K118" i="13"/>
  <c r="K120" i="13"/>
  <c r="K119" i="13"/>
  <c r="DU12" i="8"/>
  <c r="D12" i="8" s="1"/>
  <c r="D41" i="11"/>
  <c r="I139" i="13"/>
  <c r="O141" i="13"/>
  <c r="U143" i="13"/>
  <c r="AA145" i="13"/>
  <c r="AG147" i="13"/>
  <c r="CW27" i="13"/>
  <c r="DC33" i="13"/>
  <c r="DC65" i="13" s="1"/>
  <c r="DI39" i="13"/>
  <c r="DO45" i="13"/>
  <c r="AG139" i="13"/>
  <c r="AM141" i="13"/>
  <c r="AS143" i="13"/>
  <c r="AY145" i="13"/>
  <c r="BE147" i="13"/>
  <c r="S139" i="13"/>
  <c r="Y141" i="13"/>
  <c r="AE143" i="13"/>
  <c r="AK145" i="13"/>
  <c r="AQ147" i="13"/>
  <c r="BX28" i="12"/>
  <c r="BX14" i="8"/>
  <c r="BX15" i="8" s="1"/>
  <c r="BO28" i="12"/>
  <c r="BO14" i="8"/>
  <c r="BO15" i="8" s="1"/>
  <c r="E139" i="13"/>
  <c r="E150" i="13" s="1"/>
  <c r="E151" i="13" s="1"/>
  <c r="K141" i="13"/>
  <c r="Q143" i="13"/>
  <c r="W145" i="13"/>
  <c r="AC147" i="13"/>
  <c r="AN139" i="13"/>
  <c r="AT141" i="13"/>
  <c r="AZ143" i="13"/>
  <c r="BF145" i="13"/>
  <c r="BL147" i="13"/>
  <c r="X139" i="13"/>
  <c r="AD141" i="13"/>
  <c r="AJ143" i="13"/>
  <c r="AP145" i="13"/>
  <c r="AV147" i="13"/>
  <c r="N20" i="15"/>
  <c r="B20" i="15"/>
  <c r="DT7" i="8"/>
  <c r="DT3" i="8"/>
  <c r="DU4" i="8"/>
  <c r="DO44" i="4"/>
  <c r="DO32" i="4"/>
  <c r="DO38" i="4"/>
  <c r="DO26" i="4"/>
  <c r="DS8" i="5" s="1"/>
  <c r="DO50" i="4"/>
  <c r="BU28" i="12"/>
  <c r="BU14" i="8"/>
  <c r="BU15" i="8" s="1"/>
  <c r="DU20" i="11"/>
  <c r="BJ15" i="12"/>
  <c r="BJ11" i="12"/>
  <c r="BJ12" i="12" s="1"/>
  <c r="AO139" i="13"/>
  <c r="AU141" i="13"/>
  <c r="BA143" i="13"/>
  <c r="BG145" i="13"/>
  <c r="BM147" i="13"/>
  <c r="W139" i="13"/>
  <c r="AC141" i="13"/>
  <c r="AI143" i="13"/>
  <c r="AO145" i="13"/>
  <c r="AU147" i="13"/>
  <c r="BV139" i="13"/>
  <c r="CB141" i="13"/>
  <c r="CH143" i="13"/>
  <c r="CN145" i="13"/>
  <c r="CT147" i="13"/>
  <c r="DT19" i="10"/>
  <c r="DT10" i="8"/>
  <c r="AQ139" i="13"/>
  <c r="AW141" i="13"/>
  <c r="BC143" i="13"/>
  <c r="BI145" i="13"/>
  <c r="BO147" i="13"/>
  <c r="N139" i="13"/>
  <c r="T141" i="13"/>
  <c r="Z143" i="13"/>
  <c r="AF145" i="13"/>
  <c r="AL147" i="13"/>
  <c r="BO11" i="12"/>
  <c r="BO12" i="12" s="1"/>
  <c r="BO15" i="12"/>
  <c r="DS8" i="8"/>
  <c r="DS9" i="9"/>
  <c r="BT15" i="12"/>
  <c r="BT11" i="12"/>
  <c r="BT12" i="12" s="1"/>
  <c r="BI139" i="13"/>
  <c r="BO141" i="13"/>
  <c r="BU143" i="13"/>
  <c r="CA145" i="13"/>
  <c r="CG147" i="13"/>
  <c r="L139" i="13"/>
  <c r="R141" i="13"/>
  <c r="X143" i="13"/>
  <c r="AD145" i="13"/>
  <c r="AJ147" i="13"/>
  <c r="CZ12" i="11"/>
  <c r="CG15" i="12"/>
  <c r="CG11" i="12"/>
  <c r="CG12" i="12" s="1"/>
  <c r="BS15" i="12"/>
  <c r="BS11" i="12"/>
  <c r="BS12" i="12" s="1"/>
  <c r="DU4" i="5"/>
  <c r="DT14" i="5"/>
  <c r="DT10" i="5"/>
  <c r="DT3" i="5"/>
  <c r="DT16" i="5"/>
  <c r="DT12" i="5"/>
  <c r="Q139" i="13"/>
  <c r="W141" i="13"/>
  <c r="AC143" i="13"/>
  <c r="AI145" i="13"/>
  <c r="AO147" i="13"/>
  <c r="DU15" i="12"/>
  <c r="DU11" i="12"/>
  <c r="AZ139" i="13"/>
  <c r="BF141" i="13"/>
  <c r="BL143" i="13"/>
  <c r="BR145" i="13"/>
  <c r="BX147" i="13"/>
  <c r="R139" i="13"/>
  <c r="X141" i="13"/>
  <c r="AD143" i="13"/>
  <c r="AJ145" i="13"/>
  <c r="AP147" i="13"/>
  <c r="BF139" i="13"/>
  <c r="BL141" i="13"/>
  <c r="BR143" i="13"/>
  <c r="BX145" i="13"/>
  <c r="CD147" i="13"/>
  <c r="P20" i="15"/>
  <c r="Q20" i="15" s="1"/>
  <c r="D20" i="15"/>
  <c r="E20" i="15" s="1"/>
  <c r="E61" i="14"/>
  <c r="H139" i="13"/>
  <c r="H150" i="13" s="1"/>
  <c r="H151" i="13" s="1"/>
  <c r="N141" i="13"/>
  <c r="T143" i="13"/>
  <c r="Z145" i="13"/>
  <c r="AF147" i="13"/>
  <c r="BQ11" i="12"/>
  <c r="BQ12" i="12" s="1"/>
  <c r="BQ15" i="12"/>
  <c r="BH139" i="13"/>
  <c r="BN141" i="13"/>
  <c r="BT143" i="13"/>
  <c r="BZ145" i="13"/>
  <c r="CF147" i="13"/>
  <c r="AU139" i="13"/>
  <c r="BA141" i="13"/>
  <c r="BG143" i="13"/>
  <c r="BM145" i="13"/>
  <c r="BS147" i="13"/>
  <c r="AC139" i="13"/>
  <c r="AI141" i="13"/>
  <c r="AO143" i="13"/>
  <c r="AU145" i="13"/>
  <c r="BA147" i="13"/>
  <c r="BH15" i="12"/>
  <c r="BH11" i="12"/>
  <c r="BH12" i="12" s="1"/>
  <c r="BR15" i="12"/>
  <c r="BR11" i="12"/>
  <c r="BR12" i="12" s="1"/>
  <c r="DU26" i="8"/>
  <c r="D26" i="8" s="1"/>
  <c r="D38" i="11"/>
  <c r="BS139" i="13"/>
  <c r="BY141" i="13"/>
  <c r="CE143" i="13"/>
  <c r="CK145" i="13"/>
  <c r="CQ147" i="13"/>
  <c r="BV15" i="12"/>
  <c r="BV11" i="12"/>
  <c r="BV12" i="12" s="1"/>
  <c r="AS139" i="13"/>
  <c r="AY141" i="13"/>
  <c r="BE143" i="13"/>
  <c r="BK145" i="13"/>
  <c r="BQ147" i="13"/>
  <c r="AK139" i="13"/>
  <c r="AQ141" i="13"/>
  <c r="AW143" i="13"/>
  <c r="BC145" i="13"/>
  <c r="BI147" i="13"/>
  <c r="AF139" i="13"/>
  <c r="AL141" i="13"/>
  <c r="AR143" i="13"/>
  <c r="AX145" i="13"/>
  <c r="BD147" i="13"/>
  <c r="AW139" i="13"/>
  <c r="BC141" i="13"/>
  <c r="BI143" i="13"/>
  <c r="BO145" i="13"/>
  <c r="BU147" i="13"/>
  <c r="AB139" i="13"/>
  <c r="AH141" i="13"/>
  <c r="AN143" i="13"/>
  <c r="AT145" i="13"/>
  <c r="AZ147" i="13"/>
  <c r="BM139" i="13"/>
  <c r="BS141" i="13"/>
  <c r="BY143" i="13"/>
  <c r="CE145" i="13"/>
  <c r="CK147" i="13"/>
  <c r="DU21" i="12"/>
  <c r="DU23" i="12" s="1"/>
  <c r="BN15" i="12"/>
  <c r="BN11" i="12"/>
  <c r="BN12" i="12" s="1"/>
  <c r="BP139" i="13"/>
  <c r="BV141" i="13"/>
  <c r="CB143" i="13"/>
  <c r="CH145" i="13"/>
  <c r="CN147" i="13"/>
  <c r="BQ28" i="12"/>
  <c r="BQ14" i="8"/>
  <c r="BQ15" i="8" s="1"/>
  <c r="AH139" i="13"/>
  <c r="AN141" i="13"/>
  <c r="AT143" i="13"/>
  <c r="AZ145" i="13"/>
  <c r="BF147" i="13"/>
  <c r="DQ50" i="8"/>
  <c r="DQ53" i="8" s="1"/>
  <c r="BG28" i="12"/>
  <c r="BG14" i="8"/>
  <c r="BG15" i="8" s="1"/>
  <c r="BH28" i="12"/>
  <c r="BH14" i="8"/>
  <c r="BH15" i="8" s="1"/>
  <c r="BR28" i="12"/>
  <c r="BR14" i="8"/>
  <c r="BR15" i="8" s="1"/>
  <c r="G139" i="13"/>
  <c r="G150" i="13" s="1"/>
  <c r="G151" i="13" s="1"/>
  <c r="M141" i="13"/>
  <c r="S143" i="13"/>
  <c r="Y145" i="13"/>
  <c r="AE147" i="13"/>
  <c r="BP11" i="12"/>
  <c r="BP12" i="12" s="1"/>
  <c r="BP15" i="12"/>
  <c r="DT16" i="10"/>
  <c r="DT24" i="8"/>
  <c r="DT52" i="8" s="1"/>
  <c r="BS28" i="12"/>
  <c r="BS14" i="8"/>
  <c r="BS15" i="8" s="1"/>
  <c r="AA139" i="13"/>
  <c r="AG141" i="13"/>
  <c r="AM143" i="13"/>
  <c r="AS145" i="13"/>
  <c r="AY147" i="13"/>
  <c r="DT8" i="9"/>
  <c r="DT7" i="9"/>
  <c r="DT3" i="9"/>
  <c r="DT13" i="9"/>
  <c r="DT23" i="8" s="1"/>
  <c r="DT51" i="8" s="1"/>
  <c r="DU4" i="9"/>
  <c r="AE139" i="13"/>
  <c r="AK141" i="13"/>
  <c r="AQ143" i="13"/>
  <c r="AW145" i="13"/>
  <c r="BC147" i="13"/>
  <c r="BJ139" i="13"/>
  <c r="BP141" i="13"/>
  <c r="BV143" i="13"/>
  <c r="CB145" i="13"/>
  <c r="CH147" i="13"/>
  <c r="BT139" i="13"/>
  <c r="BZ141" i="13"/>
  <c r="CF143" i="13"/>
  <c r="CL145" i="13"/>
  <c r="CR147" i="13"/>
  <c r="BK28" i="12"/>
  <c r="BK14" i="8"/>
  <c r="BK15" i="8" s="1"/>
  <c r="DT37" i="8"/>
  <c r="DT38" i="8" s="1"/>
  <c r="BT28" i="12"/>
  <c r="BT14" i="8"/>
  <c r="BT15" i="8" s="1"/>
  <c r="DT12" i="10"/>
  <c r="AT139" i="13"/>
  <c r="AZ141" i="13"/>
  <c r="BF143" i="13"/>
  <c r="BL145" i="13"/>
  <c r="BR147" i="13"/>
  <c r="DU11" i="8"/>
  <c r="D11" i="8" s="1"/>
  <c r="D37" i="11"/>
  <c r="BU15" i="12"/>
  <c r="BU11" i="12"/>
  <c r="BU12" i="12" s="1"/>
  <c r="DU8" i="10"/>
  <c r="DU2" i="10"/>
  <c r="DU7" i="10"/>
  <c r="DU9" i="10"/>
  <c r="DU6" i="10"/>
  <c r="DU18" i="10"/>
  <c r="DU3" i="10"/>
  <c r="BL15" i="12"/>
  <c r="BL11" i="12"/>
  <c r="BL12" i="12" s="1"/>
  <c r="BL28" i="12"/>
  <c r="BL14" i="8"/>
  <c r="BL15" i="8" s="1"/>
  <c r="BF28" i="12"/>
  <c r="BF14" i="8"/>
  <c r="BF15" i="8" s="1"/>
  <c r="DU27" i="8"/>
  <c r="D27" i="8" s="1"/>
  <c r="D42" i="11"/>
  <c r="J139" i="13"/>
  <c r="P141" i="13"/>
  <c r="V143" i="13"/>
  <c r="AB145" i="13"/>
  <c r="AH147" i="13"/>
  <c r="AP139" i="13"/>
  <c r="AV141" i="13"/>
  <c r="BB143" i="13"/>
  <c r="BH145" i="13"/>
  <c r="BN147" i="13"/>
  <c r="BV28" i="12"/>
  <c r="BV14" i="8"/>
  <c r="BV15" i="8" s="1"/>
  <c r="AY139" i="13"/>
  <c r="BE141" i="13"/>
  <c r="BK143" i="13"/>
  <c r="BQ145" i="13"/>
  <c r="BW147" i="13"/>
  <c r="BP28" i="12"/>
  <c r="BP14" i="8"/>
  <c r="BP15" i="8" s="1"/>
  <c r="CV25" i="13"/>
  <c r="DB31" i="13"/>
  <c r="DB59" i="13" s="1"/>
  <c r="DH37" i="13"/>
  <c r="DN43" i="13"/>
  <c r="BK15" i="12"/>
  <c r="BK11" i="12"/>
  <c r="BK12" i="12" s="1"/>
  <c r="AM139" i="13"/>
  <c r="AS141" i="13"/>
  <c r="AY143" i="13"/>
  <c r="BE145" i="13"/>
  <c r="BK147" i="13"/>
  <c r="D139" i="13"/>
  <c r="D150" i="13" s="1"/>
  <c r="D151" i="13" s="1"/>
  <c r="J141" i="13"/>
  <c r="P143" i="13"/>
  <c r="V145" i="13"/>
  <c r="AB147" i="13"/>
  <c r="BQ139" i="13"/>
  <c r="BW141" i="13"/>
  <c r="CC143" i="13"/>
  <c r="CI145" i="13"/>
  <c r="CO147" i="13"/>
  <c r="DS12" i="9"/>
  <c r="DS9" i="8"/>
  <c r="BN28" i="12"/>
  <c r="BN14" i="8"/>
  <c r="BN15" i="8" s="1"/>
  <c r="BJ150" i="13" l="1"/>
  <c r="BJ151" i="13" s="1"/>
  <c r="BM150" i="13"/>
  <c r="BM151" i="13" s="1"/>
  <c r="AA150" i="13"/>
  <c r="AA151" i="13" s="1"/>
  <c r="AF150" i="13"/>
  <c r="AF151" i="13" s="1"/>
  <c r="AB150" i="13"/>
  <c r="AB151" i="13" s="1"/>
  <c r="AB152" i="13" s="1"/>
  <c r="AB153" i="13" s="1"/>
  <c r="BH150" i="13"/>
  <c r="BH151" i="13" s="1"/>
  <c r="BH152" i="13" s="1"/>
  <c r="BH153" i="13" s="1"/>
  <c r="U150" i="13"/>
  <c r="U151" i="13" s="1"/>
  <c r="AN150" i="13"/>
  <c r="AN151" i="13" s="1"/>
  <c r="N150" i="13"/>
  <c r="N151" i="13" s="1"/>
  <c r="N152" i="13" s="1"/>
  <c r="N153" i="13" s="1"/>
  <c r="BV150" i="13"/>
  <c r="BV151" i="13" s="1"/>
  <c r="BV152" i="13" s="1"/>
  <c r="BV153" i="13" s="1"/>
  <c r="K150" i="13"/>
  <c r="K151" i="13" s="1"/>
  <c r="K152" i="13" s="1"/>
  <c r="K153" i="13" s="1"/>
  <c r="BE17" i="8"/>
  <c r="BF17" i="8" s="1"/>
  <c r="BG17" i="8" s="1"/>
  <c r="BH17" i="8" s="1"/>
  <c r="BI17" i="8" s="1"/>
  <c r="BJ17" i="8" s="1"/>
  <c r="BK17" i="8" s="1"/>
  <c r="BL17" i="8" s="1"/>
  <c r="BM17" i="8" s="1"/>
  <c r="BN17" i="8" s="1"/>
  <c r="BO17" i="8" s="1"/>
  <c r="BP17" i="8" s="1"/>
  <c r="BQ17" i="8" s="1"/>
  <c r="BR17" i="8" s="1"/>
  <c r="BS17" i="8" s="1"/>
  <c r="BT17" i="8" s="1"/>
  <c r="BU17" i="8" s="1"/>
  <c r="BV17" i="8" s="1"/>
  <c r="AV150" i="13"/>
  <c r="AV151" i="13" s="1"/>
  <c r="AV152" i="13" s="1"/>
  <c r="AV153" i="13" s="1"/>
  <c r="AI150" i="13"/>
  <c r="AI151" i="13" s="1"/>
  <c r="AY150" i="13"/>
  <c r="AY151" i="13" s="1"/>
  <c r="BQ150" i="13"/>
  <c r="BQ151" i="13" s="1"/>
  <c r="AM150" i="13"/>
  <c r="AM151" i="13" s="1"/>
  <c r="BE17" i="12"/>
  <c r="BE18" i="12" s="1"/>
  <c r="BE29" i="8"/>
  <c r="BE31" i="8" s="1"/>
  <c r="DU24" i="12"/>
  <c r="AC150" i="13"/>
  <c r="AC151" i="13" s="1"/>
  <c r="F152" i="13"/>
  <c r="F153" i="13" s="1"/>
  <c r="M150" i="13"/>
  <c r="M151" i="13" s="1"/>
  <c r="CY46" i="11"/>
  <c r="CY28" i="8"/>
  <c r="BO150" i="13"/>
  <c r="BO151" i="13" s="1"/>
  <c r="DR50" i="8"/>
  <c r="DR53" i="8" s="1"/>
  <c r="C152" i="13"/>
  <c r="AJ150" i="13"/>
  <c r="AJ151" i="13" s="1"/>
  <c r="BG17" i="12"/>
  <c r="BG18" i="12" s="1"/>
  <c r="BG29" i="8"/>
  <c r="BG31" i="8" s="1"/>
  <c r="BJ17" i="12"/>
  <c r="BJ18" i="12" s="1"/>
  <c r="BJ29" i="8"/>
  <c r="BJ31" i="8" s="1"/>
  <c r="CW5" i="13"/>
  <c r="CY28" i="11"/>
  <c r="CY43" i="8"/>
  <c r="CY44" i="8" s="1"/>
  <c r="CY23" i="11"/>
  <c r="BK17" i="12"/>
  <c r="BK18" i="12" s="1"/>
  <c r="BK29" i="8"/>
  <c r="BK31" i="8" s="1"/>
  <c r="AH150" i="13"/>
  <c r="AH151" i="13" s="1"/>
  <c r="AK150" i="13"/>
  <c r="AK151" i="13" s="1"/>
  <c r="CG17" i="12"/>
  <c r="CG18" i="12" s="1"/>
  <c r="CG29" i="8"/>
  <c r="CG31" i="8" s="1"/>
  <c r="S150" i="13"/>
  <c r="S151" i="13" s="1"/>
  <c r="CY45" i="11"/>
  <c r="CY13" i="8"/>
  <c r="U152" i="13"/>
  <c r="U153" i="13" s="1"/>
  <c r="BB150" i="13"/>
  <c r="BB151" i="13" s="1"/>
  <c r="BL150" i="13"/>
  <c r="BL151" i="13" s="1"/>
  <c r="DU19" i="10"/>
  <c r="D19" i="10" s="1"/>
  <c r="DU10" i="8"/>
  <c r="D10" i="8" s="1"/>
  <c r="D18" i="10"/>
  <c r="CX7" i="13"/>
  <c r="CZ13" i="11"/>
  <c r="V150" i="13"/>
  <c r="V151" i="13" s="1"/>
  <c r="D6" i="10"/>
  <c r="BQ17" i="12"/>
  <c r="BQ18" i="12" s="1"/>
  <c r="BQ29" i="8"/>
  <c r="BQ31" i="8" s="1"/>
  <c r="BF17" i="12"/>
  <c r="BF18" i="12" s="1"/>
  <c r="BF29" i="8"/>
  <c r="BF31" i="8" s="1"/>
  <c r="J150" i="13"/>
  <c r="J151" i="13" s="1"/>
  <c r="DU10" i="10"/>
  <c r="D10" i="10" s="1"/>
  <c r="D9" i="10"/>
  <c r="AT150" i="13"/>
  <c r="AT151" i="13" s="1"/>
  <c r="BQ152" i="13"/>
  <c r="BQ153" i="13" s="1"/>
  <c r="DU16" i="10"/>
  <c r="D16" i="10" s="1"/>
  <c r="DU24" i="8"/>
  <c r="D7" i="10"/>
  <c r="AE150" i="13"/>
  <c r="AE151" i="13" s="1"/>
  <c r="BS150" i="13"/>
  <c r="BS151" i="13" s="1"/>
  <c r="AZ150" i="13"/>
  <c r="AZ151" i="13" s="1"/>
  <c r="DU7" i="9"/>
  <c r="DU3" i="9"/>
  <c r="DU13" i="9"/>
  <c r="DU8" i="9"/>
  <c r="CW26" i="13"/>
  <c r="DC32" i="13"/>
  <c r="DC62" i="13" s="1"/>
  <c r="DC70" i="13" s="1"/>
  <c r="DI38" i="13"/>
  <c r="DO44" i="13"/>
  <c r="BI17" i="12"/>
  <c r="BI18" i="12" s="1"/>
  <c r="BI29" i="8"/>
  <c r="BI31" i="8" s="1"/>
  <c r="CW64" i="13"/>
  <c r="CW63" i="13"/>
  <c r="CW73" i="13" s="1"/>
  <c r="CW71" i="13"/>
  <c r="BS17" i="12"/>
  <c r="BS18" i="12" s="1"/>
  <c r="BS29" i="8"/>
  <c r="BS31" i="8" s="1"/>
  <c r="DU25" i="8"/>
  <c r="D25" i="8" s="1"/>
  <c r="D8" i="10"/>
  <c r="BT150" i="13"/>
  <c r="BT151" i="13" s="1"/>
  <c r="AW150" i="13"/>
  <c r="AW151" i="13" s="1"/>
  <c r="BF150" i="13"/>
  <c r="BF151" i="13" s="1"/>
  <c r="L150" i="13"/>
  <c r="L151" i="13" s="1"/>
  <c r="AQ150" i="13"/>
  <c r="AQ151" i="13" s="1"/>
  <c r="W150" i="13"/>
  <c r="W151" i="13" s="1"/>
  <c r="E152" i="13"/>
  <c r="E153" i="13" s="1"/>
  <c r="BC150" i="13"/>
  <c r="BC151" i="13" s="1"/>
  <c r="BG150" i="13"/>
  <c r="BG151" i="13" s="1"/>
  <c r="AX150" i="13"/>
  <c r="AX151" i="13" s="1"/>
  <c r="BD150" i="13"/>
  <c r="BD151" i="13" s="1"/>
  <c r="DU17" i="12"/>
  <c r="DU29" i="8"/>
  <c r="BO17" i="12"/>
  <c r="BO18" i="12" s="1"/>
  <c r="BO29" i="8"/>
  <c r="BO31" i="8" s="1"/>
  <c r="I150" i="13"/>
  <c r="I151" i="13" s="1"/>
  <c r="BD17" i="12"/>
  <c r="BD18" i="12" s="1"/>
  <c r="BD29" i="8"/>
  <c r="BD31" i="8" s="1"/>
  <c r="BT17" i="12"/>
  <c r="BT18" i="12" s="1"/>
  <c r="BT29" i="8"/>
  <c r="BT31" i="8" s="1"/>
  <c r="BU17" i="12"/>
  <c r="BU18" i="12" s="1"/>
  <c r="BU29" i="8"/>
  <c r="BU31" i="8" s="1"/>
  <c r="BM152" i="13"/>
  <c r="BM153" i="13" s="1"/>
  <c r="BR17" i="12"/>
  <c r="BR18" i="12" s="1"/>
  <c r="BR29" i="8"/>
  <c r="BR31" i="8" s="1"/>
  <c r="AU150" i="13"/>
  <c r="AU151" i="13" s="1"/>
  <c r="H152" i="13"/>
  <c r="H153" i="13" s="1"/>
  <c r="X150" i="13"/>
  <c r="X151" i="13" s="1"/>
  <c r="Y150" i="13"/>
  <c r="Y151" i="13" s="1"/>
  <c r="T150" i="13"/>
  <c r="T151" i="13" s="1"/>
  <c r="BM17" i="12"/>
  <c r="BM18" i="12" s="1"/>
  <c r="BM29" i="8"/>
  <c r="BM31" i="8" s="1"/>
  <c r="P150" i="13"/>
  <c r="P151" i="13" s="1"/>
  <c r="BP17" i="12"/>
  <c r="BP18" i="12" s="1"/>
  <c r="BP29" i="8"/>
  <c r="BP31" i="8" s="1"/>
  <c r="DT9" i="9"/>
  <c r="DT8" i="8"/>
  <c r="AS150" i="13"/>
  <c r="AS151" i="13" s="1"/>
  <c r="DU14" i="5"/>
  <c r="D14" i="5" s="1"/>
  <c r="DU10" i="5"/>
  <c r="D10" i="5" s="1"/>
  <c r="DU3" i="5"/>
  <c r="DU16" i="5"/>
  <c r="D16" i="5" s="1"/>
  <c r="DU12" i="5"/>
  <c r="D12" i="5" s="1"/>
  <c r="AG150" i="13"/>
  <c r="AG151" i="13" s="1"/>
  <c r="AD150" i="13"/>
  <c r="AD151" i="13" s="1"/>
  <c r="H76" i="14"/>
  <c r="X61" i="14"/>
  <c r="Y61" i="14" s="1"/>
  <c r="AL150" i="13"/>
  <c r="AL151" i="13" s="1"/>
  <c r="D152" i="13"/>
  <c r="D153" i="13" s="1"/>
  <c r="DP50" i="4"/>
  <c r="DP44" i="4"/>
  <c r="DP32" i="4"/>
  <c r="DP38" i="4"/>
  <c r="DP26" i="4"/>
  <c r="DT8" i="5" s="1"/>
  <c r="BH17" i="12"/>
  <c r="BH18" i="12" s="1"/>
  <c r="BH29" i="8"/>
  <c r="BH31" i="8" s="1"/>
  <c r="DU7" i="8"/>
  <c r="DU3" i="8"/>
  <c r="BK150" i="13"/>
  <c r="BK151" i="13" s="1"/>
  <c r="BX17" i="12"/>
  <c r="BX18" i="12" s="1"/>
  <c r="BX29" i="8"/>
  <c r="BX31" i="8" s="1"/>
  <c r="Z150" i="13"/>
  <c r="Z151" i="13" s="1"/>
  <c r="DA8" i="11"/>
  <c r="DA9" i="11" s="1"/>
  <c r="DB6" i="11" s="1"/>
  <c r="G152" i="13"/>
  <c r="G153" i="13" s="1"/>
  <c r="AP150" i="13"/>
  <c r="AP151" i="13" s="1"/>
  <c r="R150" i="13"/>
  <c r="R151" i="13" s="1"/>
  <c r="AO150" i="13"/>
  <c r="AO151" i="13" s="1"/>
  <c r="BR150" i="13"/>
  <c r="BR151" i="13" s="1"/>
  <c r="DU28" i="12"/>
  <c r="DU14" i="8"/>
  <c r="BA150" i="13"/>
  <c r="BA151" i="13" s="1"/>
  <c r="BN150" i="13"/>
  <c r="BN151" i="13" s="1"/>
  <c r="BE150" i="13"/>
  <c r="BE151" i="13" s="1"/>
  <c r="BN17" i="12"/>
  <c r="BN18" i="12" s="1"/>
  <c r="BN29" i="8"/>
  <c r="BN31" i="8" s="1"/>
  <c r="AN152" i="13"/>
  <c r="AN153" i="13" s="1"/>
  <c r="AA152" i="13"/>
  <c r="AA153" i="13" s="1"/>
  <c r="D20" i="11"/>
  <c r="CV58" i="13"/>
  <c r="CV57" i="13"/>
  <c r="CV56" i="13"/>
  <c r="CV55" i="13"/>
  <c r="DT12" i="9"/>
  <c r="DT9" i="8"/>
  <c r="DS14" i="9"/>
  <c r="DS22" i="8"/>
  <c r="BL17" i="12"/>
  <c r="BL18" i="12" s="1"/>
  <c r="BL29" i="8"/>
  <c r="BL31" i="8" s="1"/>
  <c r="BJ152" i="13"/>
  <c r="BJ153" i="13" s="1"/>
  <c r="BP150" i="13"/>
  <c r="BP151" i="13" s="1"/>
  <c r="AF152" i="13"/>
  <c r="AF153" i="13" s="1"/>
  <c r="BV17" i="12"/>
  <c r="BV18" i="12" s="1"/>
  <c r="BV29" i="8"/>
  <c r="BV31" i="8" s="1"/>
  <c r="BI150" i="13"/>
  <c r="BI151" i="13" s="1"/>
  <c r="Q150" i="13"/>
  <c r="Q151" i="13" s="1"/>
  <c r="L117" i="13"/>
  <c r="AR150" i="13"/>
  <c r="AR151" i="13" s="1"/>
  <c r="O150" i="13"/>
  <c r="O151" i="13" s="1"/>
  <c r="DU11" i="10" l="1"/>
  <c r="DU12" i="10" s="1"/>
  <c r="D12" i="10" s="1"/>
  <c r="H28" i="15"/>
  <c r="H30" i="15"/>
  <c r="AI152" i="13"/>
  <c r="AI153" i="13" s="1"/>
  <c r="H15" i="15"/>
  <c r="AY152" i="13"/>
  <c r="AY153" i="13" s="1"/>
  <c r="H13" i="15"/>
  <c r="BW47" i="4"/>
  <c r="CV15" i="5" s="1"/>
  <c r="BW41" i="4"/>
  <c r="CP13" i="5" s="1"/>
  <c r="BW29" i="4"/>
  <c r="CD9" i="5" s="1"/>
  <c r="BW35" i="4"/>
  <c r="CJ11" i="5" s="1"/>
  <c r="BW23" i="4"/>
  <c r="BX7" i="5" s="1"/>
  <c r="DU23" i="8"/>
  <c r="D13" i="9"/>
  <c r="CX6" i="13"/>
  <c r="CZ34" i="11"/>
  <c r="CZ33" i="11"/>
  <c r="CZ22" i="11"/>
  <c r="CZ27" i="11"/>
  <c r="BU47" i="4"/>
  <c r="CT15" i="5" s="1"/>
  <c r="BU41" i="4"/>
  <c r="CN13" i="5" s="1"/>
  <c r="BU29" i="4"/>
  <c r="CB9" i="5" s="1"/>
  <c r="BU35" i="4"/>
  <c r="CH11" i="5" s="1"/>
  <c r="BU23" i="4"/>
  <c r="BV7" i="5" s="1"/>
  <c r="DT14" i="9"/>
  <c r="DT22" i="8"/>
  <c r="AO152" i="13"/>
  <c r="AO153" i="13" s="1"/>
  <c r="BO29" i="4"/>
  <c r="BV9" i="5" s="1"/>
  <c r="BO47" i="4"/>
  <c r="CN15" i="5" s="1"/>
  <c r="BO35" i="4"/>
  <c r="CB11" i="5" s="1"/>
  <c r="BO23" i="4"/>
  <c r="BP7" i="5" s="1"/>
  <c r="BO41" i="4"/>
  <c r="CH13" i="5" s="1"/>
  <c r="BH35" i="4"/>
  <c r="BU11" i="5" s="1"/>
  <c r="BH41" i="4"/>
  <c r="CA13" i="5" s="1"/>
  <c r="BH29" i="4"/>
  <c r="BO9" i="5" s="1"/>
  <c r="BH47" i="4"/>
  <c r="CG15" i="5" s="1"/>
  <c r="BH23" i="4"/>
  <c r="BI7" i="5" s="1"/>
  <c r="BI17" i="5" s="1"/>
  <c r="BI21" i="5" s="1"/>
  <c r="DU9" i="9"/>
  <c r="D9" i="9" s="1"/>
  <c r="DU8" i="8"/>
  <c r="D8" i="8" s="1"/>
  <c r="D7" i="9"/>
  <c r="AT152" i="13"/>
  <c r="AT153" i="13" s="1"/>
  <c r="CX27" i="13"/>
  <c r="DD33" i="13"/>
  <c r="DD65" i="13" s="1"/>
  <c r="DJ39" i="13"/>
  <c r="DP45" i="13"/>
  <c r="S152" i="13"/>
  <c r="S153" i="13" s="1"/>
  <c r="CW25" i="13"/>
  <c r="DC31" i="13"/>
  <c r="DC59" i="13" s="1"/>
  <c r="DI37" i="13"/>
  <c r="DO43" i="13"/>
  <c r="AC152" i="13"/>
  <c r="X152" i="13"/>
  <c r="X153" i="13" s="1"/>
  <c r="CF35" i="4"/>
  <c r="CS11" i="5" s="1"/>
  <c r="CF47" i="4"/>
  <c r="DE15" i="5" s="1"/>
  <c r="CF41" i="4"/>
  <c r="CY13" i="5" s="1"/>
  <c r="CF29" i="4"/>
  <c r="CM9" i="5" s="1"/>
  <c r="CF23" i="4"/>
  <c r="CG7" i="5" s="1"/>
  <c r="C153" i="13"/>
  <c r="R152" i="13"/>
  <c r="R153" i="13" s="1"/>
  <c r="BD152" i="13"/>
  <c r="BD153" i="13" s="1"/>
  <c r="BF152" i="13"/>
  <c r="BF153" i="13" s="1"/>
  <c r="AZ152" i="13"/>
  <c r="AZ153" i="13" s="1"/>
  <c r="BI23" i="4"/>
  <c r="BJ7" i="5" s="1"/>
  <c r="BI35" i="4"/>
  <c r="BV11" i="5" s="1"/>
  <c r="BI41" i="4"/>
  <c r="CB13" i="5" s="1"/>
  <c r="BI29" i="4"/>
  <c r="BP9" i="5" s="1"/>
  <c r="BI47" i="4"/>
  <c r="CH15" i="5" s="1"/>
  <c r="V152" i="13"/>
  <c r="V153" i="13" s="1"/>
  <c r="AP152" i="13"/>
  <c r="AP153" i="13" s="1"/>
  <c r="O152" i="13"/>
  <c r="O153" i="13" s="1"/>
  <c r="H29" i="15"/>
  <c r="H14" i="15"/>
  <c r="BM47" i="4"/>
  <c r="CL15" i="5" s="1"/>
  <c r="BM35" i="4"/>
  <c r="BZ11" i="5" s="1"/>
  <c r="BM23" i="4"/>
  <c r="BN7" i="5" s="1"/>
  <c r="BM29" i="4"/>
  <c r="BT9" i="5" s="1"/>
  <c r="BM41" i="4"/>
  <c r="CF13" i="5" s="1"/>
  <c r="D7" i="8"/>
  <c r="AL152" i="13"/>
  <c r="AL153" i="13" s="1"/>
  <c r="BD32" i="8"/>
  <c r="BE32" i="8" s="1"/>
  <c r="BF32" i="8" s="1"/>
  <c r="BG32" i="8" s="1"/>
  <c r="BH32" i="8" s="1"/>
  <c r="BI32" i="8" s="1"/>
  <c r="BJ32" i="8" s="1"/>
  <c r="BK32" i="8" s="1"/>
  <c r="BL32" i="8" s="1"/>
  <c r="BM32" i="8" s="1"/>
  <c r="BN32" i="8" s="1"/>
  <c r="BO32" i="8" s="1"/>
  <c r="BP32" i="8" s="1"/>
  <c r="BQ32" i="8" s="1"/>
  <c r="BR32" i="8" s="1"/>
  <c r="BS32" i="8" s="1"/>
  <c r="BT32" i="8" s="1"/>
  <c r="BU32" i="8" s="1"/>
  <c r="BV32" i="8" s="1"/>
  <c r="BC35" i="4"/>
  <c r="BP11" i="5" s="1"/>
  <c r="BC23" i="4"/>
  <c r="BD7" i="5" s="1"/>
  <c r="BD17" i="5" s="1"/>
  <c r="BC29" i="4"/>
  <c r="BJ9" i="5" s="1"/>
  <c r="BC47" i="4"/>
  <c r="CB15" i="5" s="1"/>
  <c r="BC41" i="4"/>
  <c r="BV13" i="5" s="1"/>
  <c r="AX152" i="13"/>
  <c r="AX153" i="13" s="1"/>
  <c r="AW152" i="13"/>
  <c r="AW153" i="13" s="1"/>
  <c r="BS152" i="13"/>
  <c r="BS153" i="13" s="1"/>
  <c r="J152" i="13"/>
  <c r="J153" i="13" s="1"/>
  <c r="AK152" i="13"/>
  <c r="AK153" i="13" s="1"/>
  <c r="DQ50" i="4"/>
  <c r="DQ38" i="4"/>
  <c r="DQ26" i="4"/>
  <c r="DU8" i="5" s="1"/>
  <c r="D8" i="5" s="1"/>
  <c r="DQ32" i="4"/>
  <c r="DQ44" i="4"/>
  <c r="DS50" i="8"/>
  <c r="DS53" i="8" s="1"/>
  <c r="DU12" i="9"/>
  <c r="DU9" i="8"/>
  <c r="D9" i="8" s="1"/>
  <c r="D8" i="9"/>
  <c r="T152" i="13"/>
  <c r="T153" i="13" s="1"/>
  <c r="AQ152" i="13"/>
  <c r="AQ153" i="13" s="1"/>
  <c r="BG47" i="4"/>
  <c r="CF15" i="5" s="1"/>
  <c r="BG41" i="4"/>
  <c r="BZ13" i="5" s="1"/>
  <c r="BG29" i="4"/>
  <c r="BN9" i="5" s="1"/>
  <c r="BG35" i="4"/>
  <c r="BT11" i="5" s="1"/>
  <c r="BG23" i="4"/>
  <c r="BH7" i="5" s="1"/>
  <c r="BH17" i="5" s="1"/>
  <c r="BH21" i="5" s="1"/>
  <c r="AU152" i="13"/>
  <c r="AU153" i="13" s="1"/>
  <c r="BG152" i="13"/>
  <c r="BG153" i="13" s="1"/>
  <c r="BT152" i="13"/>
  <c r="BT153" i="13" s="1"/>
  <c r="AE152" i="13"/>
  <c r="AE153" i="13" s="1"/>
  <c r="BE47" i="4"/>
  <c r="CD15" i="5" s="1"/>
  <c r="BE35" i="4"/>
  <c r="BR11" i="5" s="1"/>
  <c r="BE23" i="4"/>
  <c r="BF7" i="5" s="1"/>
  <c r="BF17" i="5" s="1"/>
  <c r="BF21" i="5" s="1"/>
  <c r="BE41" i="4"/>
  <c r="BX13" i="5" s="1"/>
  <c r="BE29" i="4"/>
  <c r="BL9" i="5" s="1"/>
  <c r="AH152" i="13"/>
  <c r="AH153" i="13" s="1"/>
  <c r="BD35" i="4"/>
  <c r="BQ11" i="5" s="1"/>
  <c r="BD23" i="4"/>
  <c r="BE7" i="5" s="1"/>
  <c r="BE17" i="5" s="1"/>
  <c r="BE21" i="5" s="1"/>
  <c r="BD47" i="4"/>
  <c r="CC15" i="5" s="1"/>
  <c r="BD41" i="4"/>
  <c r="BW13" i="5" s="1"/>
  <c r="BD29" i="4"/>
  <c r="BK9" i="5" s="1"/>
  <c r="BI152" i="13"/>
  <c r="BI153" i="13" s="1"/>
  <c r="BR152" i="13"/>
  <c r="BR153" i="13" s="1"/>
  <c r="BS47" i="4"/>
  <c r="CR15" i="5" s="1"/>
  <c r="BS41" i="4"/>
  <c r="CL13" i="5" s="1"/>
  <c r="BS29" i="4"/>
  <c r="BZ9" i="5" s="1"/>
  <c r="BS35" i="4"/>
  <c r="CF11" i="5" s="1"/>
  <c r="BS23" i="4"/>
  <c r="BT7" i="5" s="1"/>
  <c r="AR152" i="13"/>
  <c r="AR153" i="13" s="1"/>
  <c r="CV72" i="13"/>
  <c r="L118" i="13"/>
  <c r="L120" i="13"/>
  <c r="L119" i="13"/>
  <c r="BE152" i="13"/>
  <c r="BE153" i="13" s="1"/>
  <c r="DA12" i="11"/>
  <c r="P152" i="13"/>
  <c r="P153" i="13" s="1"/>
  <c r="BQ47" i="4"/>
  <c r="CP15" i="5" s="1"/>
  <c r="BQ35" i="4"/>
  <c r="CD11" i="5" s="1"/>
  <c r="BQ23" i="4"/>
  <c r="BR7" i="5" s="1"/>
  <c r="BQ41" i="4"/>
  <c r="CJ13" i="5" s="1"/>
  <c r="BQ29" i="4"/>
  <c r="BX9" i="5" s="1"/>
  <c r="I152" i="13"/>
  <c r="BC152" i="13"/>
  <c r="BC153" i="13" s="1"/>
  <c r="BL152" i="13"/>
  <c r="BL153" i="13" s="1"/>
  <c r="BJ41" i="4"/>
  <c r="CC13" i="5" s="1"/>
  <c r="BJ29" i="4"/>
  <c r="BQ9" i="5" s="1"/>
  <c r="BJ47" i="4"/>
  <c r="CI15" i="5" s="1"/>
  <c r="BJ35" i="4"/>
  <c r="BW11" i="5" s="1"/>
  <c r="BJ23" i="4"/>
  <c r="BK7" i="5" s="1"/>
  <c r="BO152" i="13"/>
  <c r="BO153" i="13" s="1"/>
  <c r="DB8" i="11"/>
  <c r="DB12" i="11" s="1"/>
  <c r="AD152" i="13"/>
  <c r="AD153" i="13" s="1"/>
  <c r="CW61" i="13"/>
  <c r="CW60" i="13"/>
  <c r="CW74" i="13" s="1"/>
  <c r="CW69" i="13"/>
  <c r="DU52" i="8"/>
  <c r="D52" i="8" s="1"/>
  <c r="D24" i="8"/>
  <c r="BF41" i="4"/>
  <c r="BY13" i="5" s="1"/>
  <c r="BF29" i="4"/>
  <c r="BM9" i="5" s="1"/>
  <c r="BF47" i="4"/>
  <c r="CE15" i="5" s="1"/>
  <c r="BF23" i="4"/>
  <c r="BG7" i="5" s="1"/>
  <c r="BG17" i="5" s="1"/>
  <c r="BG21" i="5" s="1"/>
  <c r="BF35" i="4"/>
  <c r="BS11" i="5" s="1"/>
  <c r="AM152" i="13"/>
  <c r="AM153" i="13" s="1"/>
  <c r="H31" i="15"/>
  <c r="H16" i="15"/>
  <c r="W152" i="13"/>
  <c r="W153" i="13" s="1"/>
  <c r="DU13" i="10"/>
  <c r="DU37" i="8"/>
  <c r="G13" i="10"/>
  <c r="I13" i="10"/>
  <c r="F13" i="10"/>
  <c r="H13" i="10"/>
  <c r="D11" i="10"/>
  <c r="D14" i="10" s="1"/>
  <c r="D40" i="8" s="1"/>
  <c r="E13" i="10"/>
  <c r="J13" i="10"/>
  <c r="L13" i="10"/>
  <c r="M13" i="10"/>
  <c r="K13" i="10"/>
  <c r="N13" i="10"/>
  <c r="R13" i="10"/>
  <c r="P13" i="10"/>
  <c r="O13" i="10"/>
  <c r="Q13" i="10"/>
  <c r="S13" i="10"/>
  <c r="U13" i="10"/>
  <c r="T13" i="10"/>
  <c r="W13" i="10"/>
  <c r="X13" i="10"/>
  <c r="V13" i="10"/>
  <c r="Z13" i="10"/>
  <c r="Y13" i="10"/>
  <c r="AA13" i="10"/>
  <c r="AB13" i="10"/>
  <c r="AC13" i="10"/>
  <c r="AE13" i="10"/>
  <c r="AD13" i="10"/>
  <c r="AF13" i="10"/>
  <c r="AG13" i="10"/>
  <c r="AH13" i="10"/>
  <c r="AI13" i="10"/>
  <c r="AJ13" i="10"/>
  <c r="AL13" i="10"/>
  <c r="AK13" i="10"/>
  <c r="AM13" i="10"/>
  <c r="AO13" i="10"/>
  <c r="AN13" i="10"/>
  <c r="AP13" i="10"/>
  <c r="AR13" i="10"/>
  <c r="AQ13" i="10"/>
  <c r="AS13" i="10"/>
  <c r="AT13" i="10"/>
  <c r="AW13" i="10"/>
  <c r="AV13" i="10"/>
  <c r="AU13" i="10"/>
  <c r="AY13" i="10"/>
  <c r="AX13" i="10"/>
  <c r="AZ13" i="10"/>
  <c r="BB13" i="10"/>
  <c r="BA13" i="10"/>
  <c r="BC13" i="10"/>
  <c r="BD13" i="10"/>
  <c r="BE13" i="10"/>
  <c r="BF13" i="10"/>
  <c r="BH13" i="10"/>
  <c r="BJ13" i="10"/>
  <c r="BG13" i="10"/>
  <c r="BI13" i="10"/>
  <c r="BK13" i="10"/>
  <c r="BM13" i="10"/>
  <c r="BL13" i="10"/>
  <c r="BN13" i="10"/>
  <c r="BO13" i="10"/>
  <c r="BQ13" i="10"/>
  <c r="BP13" i="10"/>
  <c r="BR13" i="10"/>
  <c r="BT13" i="10"/>
  <c r="BV13" i="10"/>
  <c r="BS13" i="10"/>
  <c r="BU13" i="10"/>
  <c r="BW13" i="10"/>
  <c r="BX13" i="10"/>
  <c r="BY13" i="10"/>
  <c r="CB13" i="10"/>
  <c r="BZ13" i="10"/>
  <c r="CA13" i="10"/>
  <c r="CF13" i="10"/>
  <c r="CD13" i="10"/>
  <c r="CE13" i="10"/>
  <c r="CC13" i="10"/>
  <c r="CH13" i="10"/>
  <c r="CJ13" i="10"/>
  <c r="CI13" i="10"/>
  <c r="CG13" i="10"/>
  <c r="CK13" i="10"/>
  <c r="CL13" i="10"/>
  <c r="CO13" i="10"/>
  <c r="CM13" i="10"/>
  <c r="CN13" i="10"/>
  <c r="CQ13" i="10"/>
  <c r="CP13" i="10"/>
  <c r="CS13" i="10"/>
  <c r="CR13" i="10"/>
  <c r="CT13" i="10"/>
  <c r="CU13" i="10"/>
  <c r="CX13" i="10"/>
  <c r="CW13" i="10"/>
  <c r="CV13" i="10"/>
  <c r="CY13" i="10"/>
  <c r="CZ13" i="10"/>
  <c r="DA13" i="10"/>
  <c r="DD13" i="10"/>
  <c r="DB13" i="10"/>
  <c r="DC13" i="10"/>
  <c r="DE13" i="10"/>
  <c r="DF13" i="10"/>
  <c r="DG13" i="10"/>
  <c r="DH13" i="10"/>
  <c r="DI13" i="10"/>
  <c r="DM13" i="10"/>
  <c r="DL13" i="10"/>
  <c r="DJ13" i="10"/>
  <c r="DK13" i="10"/>
  <c r="DN13" i="10"/>
  <c r="DO13" i="10"/>
  <c r="DT13" i="10"/>
  <c r="DS13" i="10"/>
  <c r="DQ13" i="10"/>
  <c r="DR13" i="10"/>
  <c r="DP13" i="10"/>
  <c r="BP152" i="13"/>
  <c r="BP153" i="13" s="1"/>
  <c r="BN47" i="4"/>
  <c r="CM15" i="5" s="1"/>
  <c r="BN23" i="4"/>
  <c r="BO7" i="5" s="1"/>
  <c r="BO17" i="5" s="1"/>
  <c r="BO21" i="5" s="1"/>
  <c r="BN35" i="4"/>
  <c r="CA11" i="5" s="1"/>
  <c r="BN29" i="4"/>
  <c r="BU9" i="5" s="1"/>
  <c r="BN41" i="4"/>
  <c r="CG13" i="5" s="1"/>
  <c r="BP47" i="4"/>
  <c r="CO15" i="5" s="1"/>
  <c r="BP23" i="4"/>
  <c r="BQ7" i="5" s="1"/>
  <c r="BP35" i="4"/>
  <c r="CC11" i="5" s="1"/>
  <c r="BP41" i="4"/>
  <c r="CI13" i="5" s="1"/>
  <c r="BP29" i="4"/>
  <c r="BW9" i="5" s="1"/>
  <c r="BK47" i="4"/>
  <c r="CJ15" i="5" s="1"/>
  <c r="BK41" i="4"/>
  <c r="CD13" i="5" s="1"/>
  <c r="BK29" i="4"/>
  <c r="BR9" i="5" s="1"/>
  <c r="BK35" i="4"/>
  <c r="BX11" i="5" s="1"/>
  <c r="BK23" i="4"/>
  <c r="BL7" i="5" s="1"/>
  <c r="BL17" i="5" s="1"/>
  <c r="BL21" i="5" s="1"/>
  <c r="BA152" i="13"/>
  <c r="BA153" i="13" s="1"/>
  <c r="Z152" i="13"/>
  <c r="Z153" i="13" s="1"/>
  <c r="AG152" i="13"/>
  <c r="AG153" i="13" s="1"/>
  <c r="BR41" i="4"/>
  <c r="CK13" i="5" s="1"/>
  <c r="BR29" i="4"/>
  <c r="BY9" i="5" s="1"/>
  <c r="BR47" i="4"/>
  <c r="CQ15" i="5" s="1"/>
  <c r="BR35" i="4"/>
  <c r="CE11" i="5" s="1"/>
  <c r="BR23" i="4"/>
  <c r="BS7" i="5" s="1"/>
  <c r="BB152" i="13"/>
  <c r="BB153" i="13" s="1"/>
  <c r="H32" i="15"/>
  <c r="BT35" i="4"/>
  <c r="CG11" i="5" s="1"/>
  <c r="BT41" i="4"/>
  <c r="CM13" i="5" s="1"/>
  <c r="BT29" i="4"/>
  <c r="CA9" i="5" s="1"/>
  <c r="BT23" i="4"/>
  <c r="BU7" i="5" s="1"/>
  <c r="BT47" i="4"/>
  <c r="CS15" i="5" s="1"/>
  <c r="DU18" i="12"/>
  <c r="BK152" i="13"/>
  <c r="Y152" i="13"/>
  <c r="Y153" i="13" s="1"/>
  <c r="L152" i="13"/>
  <c r="L153" i="13" s="1"/>
  <c r="BN152" i="13"/>
  <c r="BN153" i="13" s="1"/>
  <c r="Q152" i="13"/>
  <c r="Q153" i="13" s="1"/>
  <c r="AS152" i="13"/>
  <c r="AS153" i="13" s="1"/>
  <c r="BL47" i="4"/>
  <c r="CK15" i="5" s="1"/>
  <c r="BL35" i="4"/>
  <c r="BY11" i="5" s="1"/>
  <c r="BL23" i="4"/>
  <c r="BM7" i="5" s="1"/>
  <c r="BM17" i="5" s="1"/>
  <c r="BL29" i="4"/>
  <c r="BS9" i="5" s="1"/>
  <c r="BL41" i="4"/>
  <c r="CE13" i="5" s="1"/>
  <c r="AJ152" i="13"/>
  <c r="AJ153" i="13" s="1"/>
  <c r="M152" i="13"/>
  <c r="M153" i="13" s="1"/>
  <c r="BU17" i="5" l="1"/>
  <c r="BU21" i="5" s="1"/>
  <c r="BS17" i="5"/>
  <c r="BS21" i="5" s="1"/>
  <c r="BV17" i="5"/>
  <c r="BV21" i="5" s="1"/>
  <c r="BX17" i="5"/>
  <c r="BX21" i="5" s="1"/>
  <c r="DB9" i="11"/>
  <c r="DC6" i="11" s="1"/>
  <c r="DC8" i="11" s="1"/>
  <c r="DC9" i="11" s="1"/>
  <c r="DD6" i="11" s="1"/>
  <c r="BP17" i="5"/>
  <c r="BP21" i="5" s="1"/>
  <c r="J32" i="15"/>
  <c r="I30" i="15"/>
  <c r="J29" i="15"/>
  <c r="J14" i="15"/>
  <c r="BT17" i="5"/>
  <c r="BT21" i="5" s="1"/>
  <c r="DR50" i="4"/>
  <c r="DR38" i="4"/>
  <c r="DR26" i="4"/>
  <c r="DR32" i="4"/>
  <c r="DR44" i="4"/>
  <c r="DT16" i="8"/>
  <c r="BX16" i="8"/>
  <c r="BL16" i="8"/>
  <c r="AZ16" i="8"/>
  <c r="AN16" i="8"/>
  <c r="AB16" i="8"/>
  <c r="P16" i="8"/>
  <c r="DS16" i="8"/>
  <c r="BK16" i="8"/>
  <c r="AY16" i="8"/>
  <c r="AM16" i="8"/>
  <c r="AA16" i="8"/>
  <c r="O16" i="8"/>
  <c r="DR16" i="8"/>
  <c r="BV16" i="8"/>
  <c r="BJ16" i="8"/>
  <c r="AX16" i="8"/>
  <c r="AL16" i="8"/>
  <c r="Z16" i="8"/>
  <c r="N16" i="8"/>
  <c r="DP16" i="8"/>
  <c r="BT16" i="8"/>
  <c r="BH16" i="8"/>
  <c r="AV16" i="8"/>
  <c r="AJ16" i="8"/>
  <c r="X16" i="8"/>
  <c r="L16" i="8"/>
  <c r="DO16" i="8"/>
  <c r="BS16" i="8"/>
  <c r="BG16" i="8"/>
  <c r="AU16" i="8"/>
  <c r="AI16" i="8"/>
  <c r="W16" i="8"/>
  <c r="K16" i="8"/>
  <c r="DN16" i="8"/>
  <c r="BR16" i="8"/>
  <c r="BF16" i="8"/>
  <c r="AT16" i="8"/>
  <c r="AH16" i="8"/>
  <c r="V16" i="8"/>
  <c r="J16" i="8"/>
  <c r="DL16" i="8"/>
  <c r="BP16" i="8"/>
  <c r="AR16" i="8"/>
  <c r="T16" i="8"/>
  <c r="BO16" i="8"/>
  <c r="AQ16" i="8"/>
  <c r="S16" i="8"/>
  <c r="BN16" i="8"/>
  <c r="AP16" i="8"/>
  <c r="R16" i="8"/>
  <c r="BM16" i="8"/>
  <c r="AO16" i="8"/>
  <c r="Q16" i="8"/>
  <c r="CG16" i="8"/>
  <c r="BI16" i="8"/>
  <c r="AK16" i="8"/>
  <c r="M16" i="8"/>
  <c r="BE16" i="8"/>
  <c r="AG16" i="8"/>
  <c r="I16" i="8"/>
  <c r="BD16" i="8"/>
  <c r="AF16" i="8"/>
  <c r="H16" i="8"/>
  <c r="BC16" i="8"/>
  <c r="AE16" i="8"/>
  <c r="G16" i="8"/>
  <c r="BB16" i="8"/>
  <c r="AD16" i="8"/>
  <c r="F16" i="8"/>
  <c r="E16" i="8" s="1"/>
  <c r="BU16" i="8"/>
  <c r="BQ16" i="8"/>
  <c r="DM16" i="8"/>
  <c r="U16" i="8"/>
  <c r="BA16" i="8"/>
  <c r="AW16" i="8"/>
  <c r="AS16" i="8"/>
  <c r="DU16" i="8"/>
  <c r="AC16" i="8"/>
  <c r="DQ16" i="8"/>
  <c r="Y16" i="8"/>
  <c r="BJ17" i="5"/>
  <c r="BJ21" i="5" s="1"/>
  <c r="AC153" i="13"/>
  <c r="I31" i="15"/>
  <c r="I16" i="15"/>
  <c r="I29" i="15"/>
  <c r="I14" i="15"/>
  <c r="BM21" i="5"/>
  <c r="CZ7" i="13"/>
  <c r="DB13" i="11"/>
  <c r="C154" i="13"/>
  <c r="J31" i="15"/>
  <c r="J16" i="15"/>
  <c r="DU14" i="9"/>
  <c r="D14" i="9" s="1"/>
  <c r="DU22" i="8"/>
  <c r="D12" i="9"/>
  <c r="CX64" i="13"/>
  <c r="CX63" i="13"/>
  <c r="CX73" i="13" s="1"/>
  <c r="CX71" i="13"/>
  <c r="DU51" i="8"/>
  <c r="D51" i="8" s="1"/>
  <c r="D23" i="8"/>
  <c r="I32" i="15"/>
  <c r="BQ17" i="5"/>
  <c r="BQ21" i="5" s="1"/>
  <c r="DU38" i="8"/>
  <c r="D38" i="8" s="1"/>
  <c r="D37" i="8"/>
  <c r="BN17" i="5"/>
  <c r="BN21" i="5" s="1"/>
  <c r="CW58" i="13"/>
  <c r="CW57" i="13"/>
  <c r="CW56" i="13"/>
  <c r="CW55" i="13"/>
  <c r="CX5" i="13"/>
  <c r="CZ28" i="11"/>
  <c r="CZ43" i="8"/>
  <c r="CZ44" i="8" s="1"/>
  <c r="I17" i="15"/>
  <c r="D13" i="10"/>
  <c r="I153" i="13"/>
  <c r="J28" i="15" s="1"/>
  <c r="CZ23" i="11"/>
  <c r="I28" i="15"/>
  <c r="I15" i="15"/>
  <c r="CZ45" i="11"/>
  <c r="CZ13" i="8"/>
  <c r="I13" i="15"/>
  <c r="BK17" i="5"/>
  <c r="BK21" i="5" s="1"/>
  <c r="BD21" i="5"/>
  <c r="CZ46" i="11"/>
  <c r="CZ28" i="8"/>
  <c r="BK153" i="13"/>
  <c r="DT50" i="8"/>
  <c r="DT53" i="8" s="1"/>
  <c r="CX26" i="13"/>
  <c r="DD32" i="13"/>
  <c r="DD62" i="13" s="1"/>
  <c r="DD70" i="13" s="1"/>
  <c r="DJ38" i="13"/>
  <c r="DP44" i="13"/>
  <c r="BR17" i="5"/>
  <c r="BR21" i="5" s="1"/>
  <c r="CY7" i="13"/>
  <c r="DA13" i="11"/>
  <c r="B32" i="15" l="1"/>
  <c r="H17" i="15"/>
  <c r="K28" i="15"/>
  <c r="CZ6" i="13"/>
  <c r="DB34" i="11"/>
  <c r="DB33" i="11"/>
  <c r="DB22" i="11"/>
  <c r="DB27" i="11"/>
  <c r="CX25" i="13"/>
  <c r="DD31" i="13"/>
  <c r="DD59" i="13" s="1"/>
  <c r="DJ37" i="13"/>
  <c r="DP43" i="13"/>
  <c r="CZ27" i="13"/>
  <c r="DF33" i="13"/>
  <c r="DF65" i="13" s="1"/>
  <c r="DL39" i="13"/>
  <c r="DR45" i="13"/>
  <c r="DU50" i="8"/>
  <c r="D22" i="8"/>
  <c r="CY6" i="13"/>
  <c r="DA34" i="11"/>
  <c r="DA33" i="11"/>
  <c r="DA22" i="11"/>
  <c r="DA27" i="11"/>
  <c r="CY27" i="13"/>
  <c r="DE33" i="13"/>
  <c r="DE65" i="13" s="1"/>
  <c r="DK39" i="13"/>
  <c r="DQ45" i="13"/>
  <c r="BD23" i="5"/>
  <c r="BE23" i="5" s="1"/>
  <c r="BF23" i="5" s="1"/>
  <c r="BG23" i="5" s="1"/>
  <c r="BH23" i="5" s="1"/>
  <c r="BI23" i="5" s="1"/>
  <c r="BJ23" i="5" s="1"/>
  <c r="BK23" i="5" s="1"/>
  <c r="BL23" i="5" s="1"/>
  <c r="BM23" i="5" s="1"/>
  <c r="BN23" i="5" s="1"/>
  <c r="BO23" i="5" s="1"/>
  <c r="BP23" i="5" s="1"/>
  <c r="BQ23" i="5" s="1"/>
  <c r="BR23" i="5" s="1"/>
  <c r="BS23" i="5" s="1"/>
  <c r="BT23" i="5" s="1"/>
  <c r="BU23" i="5" s="1"/>
  <c r="BV23" i="5" s="1"/>
  <c r="D32" i="15"/>
  <c r="J17" i="15"/>
  <c r="CX61" i="13"/>
  <c r="CX60" i="13"/>
  <c r="CX74" i="13" s="1"/>
  <c r="CX69" i="13"/>
  <c r="CW72" i="13"/>
  <c r="DC12" i="11"/>
  <c r="DS50" i="4"/>
  <c r="DS44" i="4"/>
  <c r="DS38" i="4"/>
  <c r="DS26" i="4"/>
  <c r="DS32" i="4"/>
  <c r="DD8" i="11"/>
  <c r="DD9" i="11" s="1"/>
  <c r="DE6" i="11" s="1"/>
  <c r="J13" i="15"/>
  <c r="D39" i="8"/>
  <c r="AN8" i="2"/>
  <c r="D154" i="13"/>
  <c r="E154" i="13" s="1"/>
  <c r="F154" i="13" s="1"/>
  <c r="G154" i="13" s="1"/>
  <c r="H154" i="13" s="1"/>
  <c r="I154" i="13" s="1"/>
  <c r="J154" i="13" s="1"/>
  <c r="K154" i="13" s="1"/>
  <c r="L154" i="13" s="1"/>
  <c r="M154" i="13" s="1"/>
  <c r="N154" i="13" s="1"/>
  <c r="O154" i="13" s="1"/>
  <c r="P154" i="13" s="1"/>
  <c r="Q154" i="13" s="1"/>
  <c r="R154" i="13" s="1"/>
  <c r="S154" i="13" s="1"/>
  <c r="T154" i="13" s="1"/>
  <c r="U154" i="13" s="1"/>
  <c r="V154" i="13" s="1"/>
  <c r="W154" i="13" s="1"/>
  <c r="X154" i="13" s="1"/>
  <c r="Y154" i="13" s="1"/>
  <c r="Z154" i="13" s="1"/>
  <c r="AA154" i="13" s="1"/>
  <c r="AB154" i="13" s="1"/>
  <c r="AC154" i="13" s="1"/>
  <c r="AD154" i="13" s="1"/>
  <c r="AE154" i="13" s="1"/>
  <c r="AF154" i="13" s="1"/>
  <c r="AG154" i="13" s="1"/>
  <c r="AH154" i="13" s="1"/>
  <c r="AI154" i="13" s="1"/>
  <c r="AJ154" i="13" s="1"/>
  <c r="AK154" i="13" s="1"/>
  <c r="AL154" i="13" s="1"/>
  <c r="AM154" i="13" s="1"/>
  <c r="AN154" i="13" s="1"/>
  <c r="AO154" i="13" s="1"/>
  <c r="AP154" i="13" s="1"/>
  <c r="AQ154" i="13" s="1"/>
  <c r="AR154" i="13" s="1"/>
  <c r="AS154" i="13" s="1"/>
  <c r="AT154" i="13" s="1"/>
  <c r="AU154" i="13" s="1"/>
  <c r="AV154" i="13" s="1"/>
  <c r="AW154" i="13" s="1"/>
  <c r="AX154" i="13" s="1"/>
  <c r="AY154" i="13" s="1"/>
  <c r="AZ154" i="13" s="1"/>
  <c r="BA154" i="13" s="1"/>
  <c r="BB154" i="13" s="1"/>
  <c r="BC154" i="13" s="1"/>
  <c r="BD154" i="13" s="1"/>
  <c r="BE154" i="13" s="1"/>
  <c r="BF154" i="13" s="1"/>
  <c r="BG154" i="13" s="1"/>
  <c r="BH154" i="13" s="1"/>
  <c r="BI154" i="13" s="1"/>
  <c r="BJ154" i="13" s="1"/>
  <c r="BK154" i="13" s="1"/>
  <c r="BL154" i="13" s="1"/>
  <c r="BM154" i="13" s="1"/>
  <c r="BN154" i="13" s="1"/>
  <c r="BO154" i="13" s="1"/>
  <c r="BP154" i="13" s="1"/>
  <c r="BQ154" i="13" s="1"/>
  <c r="BR154" i="13" s="1"/>
  <c r="BS154" i="13" s="1"/>
  <c r="BT154" i="13" s="1"/>
  <c r="J30" i="15"/>
  <c r="J15" i="15"/>
  <c r="CZ26" i="13" l="1"/>
  <c r="DF32" i="13"/>
  <c r="DF62" i="13" s="1"/>
  <c r="DF70" i="13" s="1"/>
  <c r="DL38" i="13"/>
  <c r="DR44" i="13"/>
  <c r="CY5" i="13"/>
  <c r="DA28" i="11"/>
  <c r="DB28" i="11" s="1"/>
  <c r="DA43" i="8"/>
  <c r="DA44" i="8" s="1"/>
  <c r="K13" i="15"/>
  <c r="DA23" i="11"/>
  <c r="DB23" i="11" s="1"/>
  <c r="CY64" i="13"/>
  <c r="CY63" i="13"/>
  <c r="CY73" i="13" s="1"/>
  <c r="CY71" i="13"/>
  <c r="DA45" i="11"/>
  <c r="DA13" i="8"/>
  <c r="DA46" i="11"/>
  <c r="DA28" i="8"/>
  <c r="CZ64" i="13"/>
  <c r="CZ63" i="13"/>
  <c r="CZ73" i="13" s="1"/>
  <c r="CZ71" i="13"/>
  <c r="DB45" i="11"/>
  <c r="DB13" i="8"/>
  <c r="DB46" i="11"/>
  <c r="DB28" i="8"/>
  <c r="DD12" i="11"/>
  <c r="CY26" i="13"/>
  <c r="DE32" i="13"/>
  <c r="DE62" i="13" s="1"/>
  <c r="DE70" i="13" s="1"/>
  <c r="DK38" i="13"/>
  <c r="DQ44" i="13"/>
  <c r="DE8" i="11"/>
  <c r="DE12" i="11" s="1"/>
  <c r="DU53" i="8"/>
  <c r="D50" i="8"/>
  <c r="E32" i="15"/>
  <c r="CX58" i="13"/>
  <c r="CX57" i="13"/>
  <c r="CX56" i="13"/>
  <c r="CX55" i="13"/>
  <c r="K29" i="15"/>
  <c r="K30" i="15" s="1"/>
  <c r="K31" i="15" s="1"/>
  <c r="K32" i="15" s="1"/>
  <c r="DA7" i="13"/>
  <c r="DC13" i="11"/>
  <c r="CZ5" i="13"/>
  <c r="DB43" i="8"/>
  <c r="DT50" i="4" l="1"/>
  <c r="C50" i="4" s="1"/>
  <c r="DT38" i="4"/>
  <c r="C38" i="4" s="1"/>
  <c r="DT26" i="4"/>
  <c r="C26" i="4" s="1"/>
  <c r="DT32" i="4"/>
  <c r="C32" i="4" s="1"/>
  <c r="DT44" i="4"/>
  <c r="C44" i="4" s="1"/>
  <c r="D53" i="8"/>
  <c r="DC7" i="13"/>
  <c r="DE13" i="11"/>
  <c r="DE9" i="11"/>
  <c r="DF6" i="11" s="1"/>
  <c r="CY25" i="13"/>
  <c r="DE31" i="13"/>
  <c r="DE59" i="13" s="1"/>
  <c r="DK37" i="13"/>
  <c r="DQ43" i="13"/>
  <c r="CY61" i="13"/>
  <c r="CY60" i="13"/>
  <c r="CY74" i="13" s="1"/>
  <c r="CY69" i="13"/>
  <c r="J62" i="14"/>
  <c r="CX72" i="13"/>
  <c r="DB7" i="13"/>
  <c r="DD13" i="11"/>
  <c r="CZ61" i="13"/>
  <c r="CZ60" i="13"/>
  <c r="CZ74" i="13" s="1"/>
  <c r="CZ69" i="13"/>
  <c r="DB44" i="8"/>
  <c r="CZ25" i="13"/>
  <c r="DF31" i="13"/>
  <c r="DF59" i="13" s="1"/>
  <c r="DL37" i="13"/>
  <c r="DR43" i="13"/>
  <c r="DA6" i="13"/>
  <c r="DC33" i="11"/>
  <c r="DC22" i="11"/>
  <c r="DC34" i="11"/>
  <c r="DC27" i="11"/>
  <c r="K14" i="15"/>
  <c r="K15" i="15" s="1"/>
  <c r="K16" i="15" s="1"/>
  <c r="K17" i="15" s="1"/>
  <c r="DA27" i="13"/>
  <c r="DG33" i="13"/>
  <c r="DG65" i="13" s="1"/>
  <c r="DM39" i="13"/>
  <c r="DB27" i="13" l="1"/>
  <c r="DH33" i="13"/>
  <c r="DH65" i="13" s="1"/>
  <c r="DN39" i="13"/>
  <c r="DF8" i="11"/>
  <c r="DF12" i="11" s="1"/>
  <c r="DA5" i="13"/>
  <c r="DC28" i="11"/>
  <c r="DC43" i="8"/>
  <c r="DC44" i="8" s="1"/>
  <c r="DC6" i="13"/>
  <c r="DE34" i="11"/>
  <c r="DE33" i="11"/>
  <c r="DE22" i="11"/>
  <c r="DE27" i="11"/>
  <c r="K62" i="14"/>
  <c r="L62" i="14" s="1"/>
  <c r="M62" i="14" s="1"/>
  <c r="DC27" i="13"/>
  <c r="DI33" i="13"/>
  <c r="DI65" i="13" s="1"/>
  <c r="DO39" i="13"/>
  <c r="CY58" i="13"/>
  <c r="CY57" i="13"/>
  <c r="CY56" i="13"/>
  <c r="CY55" i="13"/>
  <c r="DC23" i="11"/>
  <c r="DC45" i="11"/>
  <c r="DC13" i="8"/>
  <c r="DB6" i="13"/>
  <c r="DD34" i="11"/>
  <c r="DD33" i="11"/>
  <c r="DD22" i="11"/>
  <c r="DD27" i="11"/>
  <c r="DA26" i="13"/>
  <c r="DG32" i="13"/>
  <c r="DG62" i="13" s="1"/>
  <c r="DG70" i="13" s="1"/>
  <c r="DM38" i="13"/>
  <c r="DC46" i="11"/>
  <c r="DC28" i="8"/>
  <c r="CZ58" i="13"/>
  <c r="CZ57" i="13"/>
  <c r="CZ72" i="13" s="1"/>
  <c r="CZ56" i="13"/>
  <c r="CZ55" i="13"/>
  <c r="DA64" i="13"/>
  <c r="DA63" i="13"/>
  <c r="DA73" i="13" s="1"/>
  <c r="DA71" i="13"/>
  <c r="DB5" i="13" l="1"/>
  <c r="DD28" i="11"/>
  <c r="DD43" i="8"/>
  <c r="DD44" i="8" s="1"/>
  <c r="DA25" i="13"/>
  <c r="DG31" i="13"/>
  <c r="DG59" i="13" s="1"/>
  <c r="DM37" i="13"/>
  <c r="DD23" i="11"/>
  <c r="DE23" i="11" s="1"/>
  <c r="DD45" i="11"/>
  <c r="DD13" i="8"/>
  <c r="DE45" i="11"/>
  <c r="DE13" i="8"/>
  <c r="DD7" i="13"/>
  <c r="DF13" i="11"/>
  <c r="DD46" i="11"/>
  <c r="DD28" i="8"/>
  <c r="DE46" i="11"/>
  <c r="DE28" i="8"/>
  <c r="DF9" i="11"/>
  <c r="DG6" i="11" s="1"/>
  <c r="DA61" i="13"/>
  <c r="DA60" i="13"/>
  <c r="DA74" i="13" s="1"/>
  <c r="DA69" i="13"/>
  <c r="DC5" i="13"/>
  <c r="DE28" i="11"/>
  <c r="DE43" i="8"/>
  <c r="DE44" i="8" s="1"/>
  <c r="DB26" i="13"/>
  <c r="DH32" i="13"/>
  <c r="DH62" i="13" s="1"/>
  <c r="DH70" i="13" s="1"/>
  <c r="DN38" i="13"/>
  <c r="CY72" i="13"/>
  <c r="DC26" i="13"/>
  <c r="DI32" i="13"/>
  <c r="DI62" i="13" s="1"/>
  <c r="DI70" i="13" s="1"/>
  <c r="DO38" i="13"/>
  <c r="DB64" i="13"/>
  <c r="DB63" i="13"/>
  <c r="DB73" i="13" s="1"/>
  <c r="DB71" i="13"/>
  <c r="DC64" i="13"/>
  <c r="DC63" i="13"/>
  <c r="DC73" i="13" s="1"/>
  <c r="DC71" i="13"/>
  <c r="DB61" i="13" l="1"/>
  <c r="DB60" i="13"/>
  <c r="DB74" i="13" s="1"/>
  <c r="DB69" i="13"/>
  <c r="DD6" i="13"/>
  <c r="DF34" i="11"/>
  <c r="DF33" i="11"/>
  <c r="DF22" i="11"/>
  <c r="DF27" i="11"/>
  <c r="DD27" i="13"/>
  <c r="DJ33" i="13"/>
  <c r="DJ65" i="13" s="1"/>
  <c r="DP39" i="13"/>
  <c r="DA58" i="13"/>
  <c r="DA57" i="13"/>
  <c r="DA72" i="13" s="1"/>
  <c r="DA56" i="13"/>
  <c r="DA55" i="13"/>
  <c r="DG8" i="11"/>
  <c r="DG12" i="11" s="1"/>
  <c r="DC25" i="13"/>
  <c r="DI31" i="13"/>
  <c r="DI59" i="13" s="1"/>
  <c r="DO37" i="13"/>
  <c r="DB25" i="13"/>
  <c r="DH31" i="13"/>
  <c r="DH59" i="13" s="1"/>
  <c r="DN37" i="13"/>
  <c r="DC60" i="13"/>
  <c r="DC74" i="13" s="1"/>
  <c r="DC61" i="13"/>
  <c r="DC69" i="13"/>
  <c r="DD64" i="13" l="1"/>
  <c r="DD63" i="13"/>
  <c r="DD73" i="13" s="1"/>
  <c r="DD71" i="13"/>
  <c r="DE7" i="13"/>
  <c r="DG13" i="11"/>
  <c r="DF23" i="11"/>
  <c r="DG9" i="11"/>
  <c r="DH6" i="11" s="1"/>
  <c r="DF45" i="11"/>
  <c r="DF13" i="8"/>
  <c r="DD5" i="13"/>
  <c r="DF28" i="11"/>
  <c r="DF43" i="8"/>
  <c r="DF44" i="8" s="1"/>
  <c r="DF46" i="11"/>
  <c r="DF28" i="8"/>
  <c r="DC57" i="13"/>
  <c r="DC72" i="13" s="1"/>
  <c r="DC56" i="13"/>
  <c r="DC55" i="13"/>
  <c r="DC58" i="13"/>
  <c r="DD26" i="13"/>
  <c r="DJ32" i="13"/>
  <c r="DJ62" i="13" s="1"/>
  <c r="DJ70" i="13" s="1"/>
  <c r="DP38" i="13"/>
  <c r="DB58" i="13"/>
  <c r="DB57" i="13"/>
  <c r="DB72" i="13" s="1"/>
  <c r="DB56" i="13"/>
  <c r="DB55" i="13"/>
  <c r="DD25" i="13" l="1"/>
  <c r="DJ31" i="13"/>
  <c r="DJ59" i="13" s="1"/>
  <c r="DP37" i="13"/>
  <c r="DE6" i="13"/>
  <c r="DG34" i="11"/>
  <c r="DG33" i="11"/>
  <c r="DG22" i="11"/>
  <c r="DG27" i="11"/>
  <c r="DE27" i="13"/>
  <c r="DK33" i="13"/>
  <c r="DK65" i="13" s="1"/>
  <c r="DQ39" i="13"/>
  <c r="DD60" i="13"/>
  <c r="DD74" i="13" s="1"/>
  <c r="DD61" i="13"/>
  <c r="DD69" i="13"/>
  <c r="DH8" i="11"/>
  <c r="DH12" i="11" s="1"/>
  <c r="DH9" i="11" l="1"/>
  <c r="DI6" i="11" s="1"/>
  <c r="DG46" i="11"/>
  <c r="DG28" i="8"/>
  <c r="DE64" i="13"/>
  <c r="DE63" i="13"/>
  <c r="DE73" i="13" s="1"/>
  <c r="DE71" i="13"/>
  <c r="DG45" i="11"/>
  <c r="DG13" i="8"/>
  <c r="DF7" i="13"/>
  <c r="DH13" i="11"/>
  <c r="DE26" i="13"/>
  <c r="DK32" i="13"/>
  <c r="DK62" i="13" s="1"/>
  <c r="DK70" i="13" s="1"/>
  <c r="DQ38" i="13"/>
  <c r="DG23" i="11"/>
  <c r="DE5" i="13"/>
  <c r="DG28" i="11"/>
  <c r="DG43" i="8"/>
  <c r="DG44" i="8" s="1"/>
  <c r="DI8" i="11"/>
  <c r="DI12" i="11" s="1"/>
  <c r="DD57" i="13"/>
  <c r="DD72" i="13" s="1"/>
  <c r="DD56" i="13"/>
  <c r="DD55" i="13"/>
  <c r="DD58" i="13"/>
  <c r="DF27" i="13" l="1"/>
  <c r="DL33" i="13"/>
  <c r="DL65" i="13" s="1"/>
  <c r="DR39" i="13"/>
  <c r="DG7" i="13"/>
  <c r="DI13" i="11"/>
  <c r="DF6" i="13"/>
  <c r="DH34" i="11"/>
  <c r="DH33" i="11"/>
  <c r="DH22" i="11"/>
  <c r="DH27" i="11"/>
  <c r="DE61" i="13"/>
  <c r="DE69" i="13"/>
  <c r="DE60" i="13"/>
  <c r="DE74" i="13" s="1"/>
  <c r="DE25" i="13"/>
  <c r="DK31" i="13"/>
  <c r="DK59" i="13" s="1"/>
  <c r="DQ37" i="13"/>
  <c r="DI9" i="11"/>
  <c r="DJ6" i="11" s="1"/>
  <c r="DF5" i="13" l="1"/>
  <c r="DH28" i="11"/>
  <c r="DH43" i="8"/>
  <c r="DH44" i="8" s="1"/>
  <c r="DJ8" i="11"/>
  <c r="DJ12" i="11" s="1"/>
  <c r="DH23" i="11"/>
  <c r="DH45" i="11"/>
  <c r="DH13" i="8"/>
  <c r="DH46" i="11"/>
  <c r="DH28" i="8"/>
  <c r="DF26" i="13"/>
  <c r="DL32" i="13"/>
  <c r="DL62" i="13" s="1"/>
  <c r="DL70" i="13" s="1"/>
  <c r="DR38" i="13"/>
  <c r="DG6" i="13"/>
  <c r="DI34" i="11"/>
  <c r="DI33" i="11"/>
  <c r="DI22" i="11"/>
  <c r="DI27" i="11"/>
  <c r="DG27" i="13"/>
  <c r="DM33" i="13"/>
  <c r="DM65" i="13" s="1"/>
  <c r="DE57" i="13"/>
  <c r="DE72" i="13" s="1"/>
  <c r="DE56" i="13"/>
  <c r="DE55" i="13"/>
  <c r="DE58" i="13"/>
  <c r="DF64" i="13"/>
  <c r="DF63" i="13"/>
  <c r="DF73" i="13" s="1"/>
  <c r="K84" i="13" s="1"/>
  <c r="K85" i="13" s="1"/>
  <c r="DF71" i="13"/>
  <c r="DJ9" i="11" l="1"/>
  <c r="DK6" i="11" s="1"/>
  <c r="DK8" i="11" s="1"/>
  <c r="DK12" i="11" s="1"/>
  <c r="DH7" i="13"/>
  <c r="DJ13" i="11"/>
  <c r="DG64" i="13"/>
  <c r="DG63" i="13"/>
  <c r="DG73" i="13" s="1"/>
  <c r="DG71" i="13"/>
  <c r="DF61" i="13"/>
  <c r="DF69" i="13"/>
  <c r="DF60" i="13"/>
  <c r="DF74" i="13" s="1"/>
  <c r="B62" i="14" s="1"/>
  <c r="DG5" i="13"/>
  <c r="DI28" i="11"/>
  <c r="DI43" i="8"/>
  <c r="DI44" i="8" s="1"/>
  <c r="DI23" i="11"/>
  <c r="DI45" i="11"/>
  <c r="DI13" i="8"/>
  <c r="DI46" i="11"/>
  <c r="DI28" i="8"/>
  <c r="B77" i="14"/>
  <c r="B121" i="13"/>
  <c r="L121" i="13"/>
  <c r="K86" i="13"/>
  <c r="D77" i="14" s="1"/>
  <c r="K121" i="13"/>
  <c r="DG26" i="13"/>
  <c r="DM32" i="13"/>
  <c r="DM62" i="13" s="1"/>
  <c r="DM70" i="13" s="1"/>
  <c r="DF25" i="13"/>
  <c r="DL31" i="13"/>
  <c r="DL59" i="13" s="1"/>
  <c r="DR37" i="13"/>
  <c r="K124" i="13" l="1"/>
  <c r="K134" i="13" s="1"/>
  <c r="F77" i="14" s="1"/>
  <c r="K122" i="13"/>
  <c r="K132" i="13" s="1"/>
  <c r="K131" i="13"/>
  <c r="DG61" i="13"/>
  <c r="DG60" i="13"/>
  <c r="DG74" i="13" s="1"/>
  <c r="DG69" i="13"/>
  <c r="L124" i="13"/>
  <c r="L122" i="13"/>
  <c r="L123" i="13"/>
  <c r="K123" i="13"/>
  <c r="K133" i="13" s="1"/>
  <c r="DI7" i="13"/>
  <c r="DK13" i="11"/>
  <c r="DK9" i="11"/>
  <c r="DL6" i="11" s="1"/>
  <c r="DF57" i="13"/>
  <c r="DF56" i="13"/>
  <c r="O62" i="14" s="1"/>
  <c r="DF55" i="13"/>
  <c r="N62" i="14" s="1"/>
  <c r="DF58" i="13"/>
  <c r="DG25" i="13"/>
  <c r="DM31" i="13"/>
  <c r="DM59" i="13" s="1"/>
  <c r="DH6" i="13"/>
  <c r="DJ34" i="11"/>
  <c r="DJ33" i="11"/>
  <c r="DJ22" i="11"/>
  <c r="DJ27" i="11"/>
  <c r="C62" i="14"/>
  <c r="D62" i="14" s="1"/>
  <c r="DH27" i="13"/>
  <c r="DN33" i="13"/>
  <c r="DN65" i="13" s="1"/>
  <c r="DH64" i="13" l="1"/>
  <c r="DH63" i="13"/>
  <c r="DH73" i="13" s="1"/>
  <c r="DH71" i="13"/>
  <c r="H62" i="14"/>
  <c r="G62" i="14"/>
  <c r="C36" i="15" s="1"/>
  <c r="F62" i="14"/>
  <c r="DJ46" i="11"/>
  <c r="DJ28" i="8"/>
  <c r="DH26" i="13"/>
  <c r="DN32" i="13"/>
  <c r="DN62" i="13" s="1"/>
  <c r="DN70" i="13" s="1"/>
  <c r="DG58" i="13"/>
  <c r="DG57" i="13"/>
  <c r="DG55" i="13"/>
  <c r="DG56" i="13"/>
  <c r="DF72" i="13"/>
  <c r="P62" i="14"/>
  <c r="Q62" i="14" s="1"/>
  <c r="E62" i="14"/>
  <c r="DH5" i="13"/>
  <c r="DJ28" i="11"/>
  <c r="DJ43" i="8"/>
  <c r="DJ44" i="8" s="1"/>
  <c r="DL8" i="11"/>
  <c r="DL12" i="11" s="1"/>
  <c r="K136" i="13"/>
  <c r="DJ23" i="11"/>
  <c r="DI6" i="13"/>
  <c r="DK33" i="11"/>
  <c r="DK34" i="11"/>
  <c r="DK22" i="11"/>
  <c r="DK27" i="11"/>
  <c r="C77" i="14"/>
  <c r="K135" i="13"/>
  <c r="DJ45" i="11"/>
  <c r="DJ13" i="8"/>
  <c r="DI27" i="13"/>
  <c r="DO33" i="13"/>
  <c r="DO65" i="13" s="1"/>
  <c r="DL9" i="11" l="1"/>
  <c r="DM6" i="11" s="1"/>
  <c r="DI26" i="13"/>
  <c r="DO32" i="13"/>
  <c r="DO62" i="13" s="1"/>
  <c r="DO70" i="13" s="1"/>
  <c r="O21" i="15"/>
  <c r="DG72" i="13"/>
  <c r="DI64" i="13"/>
  <c r="DI63" i="13"/>
  <c r="DI73" i="13" s="1"/>
  <c r="DI71" i="13"/>
  <c r="C21" i="15"/>
  <c r="I62" i="14"/>
  <c r="DH61" i="13"/>
  <c r="DH60" i="13"/>
  <c r="DH74" i="13" s="1"/>
  <c r="DH69" i="13"/>
  <c r="DH25" i="13"/>
  <c r="DN31" i="13"/>
  <c r="DN59" i="13" s="1"/>
  <c r="DI5" i="13"/>
  <c r="DK28" i="11"/>
  <c r="DK43" i="8"/>
  <c r="DK44" i="8" s="1"/>
  <c r="G77" i="14"/>
  <c r="W62" i="14"/>
  <c r="D21" i="15"/>
  <c r="E21" i="15" s="1"/>
  <c r="DK23" i="11"/>
  <c r="DJ7" i="13"/>
  <c r="DL13" i="11"/>
  <c r="DM8" i="11"/>
  <c r="DM12" i="11" s="1"/>
  <c r="P21" i="15"/>
  <c r="Q21" i="15" s="1"/>
  <c r="E77" i="14"/>
  <c r="V62" i="14"/>
  <c r="K137" i="13"/>
  <c r="DK46" i="11"/>
  <c r="DK28" i="8"/>
  <c r="DK45" i="11"/>
  <c r="DK13" i="8"/>
  <c r="N21" i="15"/>
  <c r="B21" i="15"/>
  <c r="DH58" i="13" l="1"/>
  <c r="DH57" i="13"/>
  <c r="DH55" i="13"/>
  <c r="DH56" i="13"/>
  <c r="X62" i="14"/>
  <c r="Y62" i="14" s="1"/>
  <c r="H77" i="14"/>
  <c r="DJ27" i="13"/>
  <c r="DP33" i="13"/>
  <c r="DP65" i="13" s="1"/>
  <c r="DI25" i="13"/>
  <c r="DO31" i="13"/>
  <c r="DO59" i="13" s="1"/>
  <c r="DM9" i="11"/>
  <c r="DN6" i="11" s="1"/>
  <c r="DI61" i="13"/>
  <c r="DI60" i="13"/>
  <c r="DI74" i="13" s="1"/>
  <c r="DI69" i="13"/>
  <c r="DK7" i="13"/>
  <c r="DM13" i="11"/>
  <c r="DJ6" i="13"/>
  <c r="DL34" i="11"/>
  <c r="DL33" i="11"/>
  <c r="DL22" i="11"/>
  <c r="DL27" i="11"/>
  <c r="DJ64" i="13" l="1"/>
  <c r="DJ63" i="13"/>
  <c r="DJ73" i="13" s="1"/>
  <c r="DJ71" i="13"/>
  <c r="DK6" i="13"/>
  <c r="DM34" i="11"/>
  <c r="DM33" i="11"/>
  <c r="DM22" i="11"/>
  <c r="DM27" i="11"/>
  <c r="DL46" i="11"/>
  <c r="DL28" i="8"/>
  <c r="DL31" i="8" s="1"/>
  <c r="DJ26" i="13"/>
  <c r="DP32" i="13"/>
  <c r="DP62" i="13" s="1"/>
  <c r="DP70" i="13" s="1"/>
  <c r="DK27" i="13"/>
  <c r="DQ33" i="13"/>
  <c r="DQ65" i="13" s="1"/>
  <c r="DH72" i="13"/>
  <c r="DI58" i="13"/>
  <c r="DI57" i="13"/>
  <c r="DI72" i="13" s="1"/>
  <c r="DI56" i="13"/>
  <c r="DI55" i="13"/>
  <c r="DN8" i="11"/>
  <c r="DN12" i="11" s="1"/>
  <c r="DJ5" i="13"/>
  <c r="DL28" i="11"/>
  <c r="DL43" i="8"/>
  <c r="DL44" i="8" s="1"/>
  <c r="DL23" i="11"/>
  <c r="DL45" i="11"/>
  <c r="DL13" i="8"/>
  <c r="DL15" i="8" s="1"/>
  <c r="DN9" i="11" l="1"/>
  <c r="DO6" i="11" s="1"/>
  <c r="DK35" i="4"/>
  <c r="DK23" i="4"/>
  <c r="DL7" i="5" s="1"/>
  <c r="DK47" i="4"/>
  <c r="DK29" i="4"/>
  <c r="DR9" i="5" s="1"/>
  <c r="DK41" i="4"/>
  <c r="DK5" i="13"/>
  <c r="DM28" i="11"/>
  <c r="DM43" i="8"/>
  <c r="DM44" i="8" s="1"/>
  <c r="DJ61" i="13"/>
  <c r="DJ60" i="13"/>
  <c r="DJ74" i="13" s="1"/>
  <c r="DJ69" i="13"/>
  <c r="DM23" i="11"/>
  <c r="DM45" i="11"/>
  <c r="DM13" i="8"/>
  <c r="DM15" i="8" s="1"/>
  <c r="DM46" i="11"/>
  <c r="DM28" i="8"/>
  <c r="DM31" i="8" s="1"/>
  <c r="DJ25" i="13"/>
  <c r="DP31" i="13"/>
  <c r="DP59" i="13" s="1"/>
  <c r="DL7" i="13"/>
  <c r="DN13" i="11"/>
  <c r="DK26" i="13"/>
  <c r="DQ32" i="13"/>
  <c r="DQ62" i="13" s="1"/>
  <c r="DQ70" i="13" s="1"/>
  <c r="DO8" i="11"/>
  <c r="DO12" i="11" s="1"/>
  <c r="DK64" i="13"/>
  <c r="DK63" i="13"/>
  <c r="DK73" i="13" s="1"/>
  <c r="DK71" i="13"/>
  <c r="DL35" i="4" l="1"/>
  <c r="DL23" i="4"/>
  <c r="DM7" i="5" s="1"/>
  <c r="DL41" i="4"/>
  <c r="DL29" i="4"/>
  <c r="DS9" i="5" s="1"/>
  <c r="DL47" i="4"/>
  <c r="DK25" i="13"/>
  <c r="DQ31" i="13"/>
  <c r="DQ59" i="13" s="1"/>
  <c r="DM7" i="13"/>
  <c r="DM27" i="13" s="1"/>
  <c r="DO13" i="11"/>
  <c r="DO9" i="11"/>
  <c r="DP6" i="11" s="1"/>
  <c r="DL6" i="13"/>
  <c r="DN34" i="11"/>
  <c r="DN33" i="11"/>
  <c r="DN22" i="11"/>
  <c r="DN27" i="11"/>
  <c r="DL27" i="13"/>
  <c r="DR33" i="13"/>
  <c r="DR65" i="13" s="1"/>
  <c r="DK61" i="13"/>
  <c r="DK60" i="13"/>
  <c r="DK74" i="13" s="1"/>
  <c r="DK69" i="13"/>
  <c r="DJ58" i="13"/>
  <c r="DJ57" i="13"/>
  <c r="DJ56" i="13"/>
  <c r="DJ55" i="13"/>
  <c r="DM64" i="13" l="1"/>
  <c r="DM63" i="13"/>
  <c r="DM73" i="13" s="1"/>
  <c r="DM71" i="13"/>
  <c r="DK57" i="13"/>
  <c r="DK72" i="13" s="1"/>
  <c r="DK56" i="13"/>
  <c r="DK55" i="13"/>
  <c r="DK58" i="13"/>
  <c r="DL64" i="13"/>
  <c r="DL63" i="13"/>
  <c r="DL73" i="13" s="1"/>
  <c r="DL71" i="13"/>
  <c r="DL5" i="13"/>
  <c r="DN28" i="11"/>
  <c r="DN43" i="8"/>
  <c r="DN44" i="8" s="1"/>
  <c r="DN45" i="11"/>
  <c r="DN13" i="8"/>
  <c r="DN15" i="8" s="1"/>
  <c r="DM6" i="13"/>
  <c r="DM26" i="13" s="1"/>
  <c r="DO34" i="11"/>
  <c r="DO33" i="11"/>
  <c r="DO22" i="11"/>
  <c r="DO27" i="11"/>
  <c r="DN23" i="11"/>
  <c r="DL26" i="13"/>
  <c r="DR32" i="13"/>
  <c r="DR62" i="13" s="1"/>
  <c r="DR70" i="13" s="1"/>
  <c r="J63" i="14" s="1"/>
  <c r="DP8" i="11"/>
  <c r="DP12" i="11" s="1"/>
  <c r="DN46" i="11"/>
  <c r="DN28" i="8"/>
  <c r="DN31" i="8" s="1"/>
  <c r="DJ72" i="13"/>
  <c r="DM61" i="13" l="1"/>
  <c r="DM60" i="13"/>
  <c r="DM74" i="13" s="1"/>
  <c r="DM69" i="13"/>
  <c r="DM47" i="4"/>
  <c r="DM35" i="4"/>
  <c r="DM23" i="4"/>
  <c r="DN7" i="5" s="1"/>
  <c r="DM41" i="4"/>
  <c r="DM29" i="4"/>
  <c r="DT9" i="5" s="1"/>
  <c r="DN7" i="13"/>
  <c r="DN27" i="13" s="1"/>
  <c r="DP13" i="11"/>
  <c r="DP9" i="11"/>
  <c r="DQ6" i="11" s="1"/>
  <c r="DM5" i="13"/>
  <c r="DM25" i="13" s="1"/>
  <c r="DO28" i="11"/>
  <c r="DO43" i="8"/>
  <c r="DO44" i="8" s="1"/>
  <c r="K63" i="14"/>
  <c r="K64" i="14" s="1"/>
  <c r="D46" i="14" s="1"/>
  <c r="J64" i="14"/>
  <c r="D45" i="14" s="1"/>
  <c r="DO23" i="11"/>
  <c r="DL61" i="13"/>
  <c r="DL60" i="13"/>
  <c r="DL74" i="13" s="1"/>
  <c r="DL69" i="13"/>
  <c r="DO45" i="11"/>
  <c r="DO13" i="8"/>
  <c r="DO15" i="8" s="1"/>
  <c r="DL25" i="13"/>
  <c r="DR31" i="13"/>
  <c r="DR59" i="13" s="1"/>
  <c r="DO46" i="11"/>
  <c r="DO28" i="8"/>
  <c r="DO31" i="8" s="1"/>
  <c r="L63" i="14" l="1"/>
  <c r="DL58" i="13"/>
  <c r="DL57" i="13"/>
  <c r="DL55" i="13"/>
  <c r="DL56" i="13"/>
  <c r="DN41" i="4"/>
  <c r="DN29" i="4"/>
  <c r="DU9" i="5" s="1"/>
  <c r="DN47" i="4"/>
  <c r="DN23" i="4"/>
  <c r="DO7" i="5" s="1"/>
  <c r="DN35" i="4"/>
  <c r="DM58" i="13"/>
  <c r="DM57" i="13"/>
  <c r="DM72" i="13" s="1"/>
  <c r="DM55" i="13"/>
  <c r="DM56" i="13"/>
  <c r="DQ8" i="11"/>
  <c r="DQ12" i="11" s="1"/>
  <c r="DN6" i="13"/>
  <c r="DN26" i="13" s="1"/>
  <c r="DP34" i="11"/>
  <c r="DP33" i="11"/>
  <c r="DP22" i="11"/>
  <c r="DP27" i="11"/>
  <c r="DN64" i="13"/>
  <c r="DN63" i="13"/>
  <c r="DN73" i="13" s="1"/>
  <c r="DN71" i="13"/>
  <c r="DP45" i="11" l="1"/>
  <c r="DP13" i="8"/>
  <c r="DP15" i="8" s="1"/>
  <c r="DP23" i="11"/>
  <c r="DN61" i="13"/>
  <c r="DN60" i="13"/>
  <c r="DN74" i="13" s="1"/>
  <c r="DN69" i="13"/>
  <c r="DO7" i="13"/>
  <c r="DO27" i="13" s="1"/>
  <c r="DQ13" i="11"/>
  <c r="DQ9" i="11"/>
  <c r="DR6" i="11" s="1"/>
  <c r="DP46" i="11"/>
  <c r="DP28" i="8"/>
  <c r="DP31" i="8" s="1"/>
  <c r="DL72" i="13"/>
  <c r="DN5" i="13"/>
  <c r="DN25" i="13" s="1"/>
  <c r="DP28" i="11"/>
  <c r="DP43" i="8"/>
  <c r="DP44" i="8" s="1"/>
  <c r="L64" i="14"/>
  <c r="D47" i="14" s="1"/>
  <c r="M63" i="14"/>
  <c r="DO47" i="4" l="1"/>
  <c r="DO41" i="4"/>
  <c r="DO29" i="4"/>
  <c r="DO23" i="4"/>
  <c r="DP7" i="5" s="1"/>
  <c r="DO35" i="4"/>
  <c r="M64" i="14"/>
  <c r="D48" i="14"/>
  <c r="DR8" i="11"/>
  <c r="DR12" i="11" s="1"/>
  <c r="DO6" i="13"/>
  <c r="DO26" i="13" s="1"/>
  <c r="DQ34" i="11"/>
  <c r="DQ33" i="11"/>
  <c r="DQ22" i="11"/>
  <c r="DQ27" i="11"/>
  <c r="DO64" i="13"/>
  <c r="DO63" i="13"/>
  <c r="DO73" i="13" s="1"/>
  <c r="DO71" i="13"/>
  <c r="DN58" i="13"/>
  <c r="DN57" i="13"/>
  <c r="DN72" i="13" s="1"/>
  <c r="DN55" i="13"/>
  <c r="DN56" i="13"/>
  <c r="DR9" i="11" l="1"/>
  <c r="DS6" i="11" s="1"/>
  <c r="DS8" i="11" s="1"/>
  <c r="DS12" i="11" s="1"/>
  <c r="DP7" i="13"/>
  <c r="DP27" i="13" s="1"/>
  <c r="DR13" i="11"/>
  <c r="DQ46" i="11"/>
  <c r="DQ28" i="8"/>
  <c r="DQ31" i="8" s="1"/>
  <c r="DO60" i="13"/>
  <c r="DO74" i="13" s="1"/>
  <c r="DO61" i="13"/>
  <c r="DO69" i="13"/>
  <c r="DO5" i="13"/>
  <c r="DO25" i="13" s="1"/>
  <c r="DQ28" i="11"/>
  <c r="DQ43" i="8"/>
  <c r="DQ44" i="8" s="1"/>
  <c r="DQ23" i="11"/>
  <c r="DQ45" i="11"/>
  <c r="DQ13" i="8"/>
  <c r="DQ15" i="8" s="1"/>
  <c r="DQ7" i="13" l="1"/>
  <c r="DQ27" i="13" s="1"/>
  <c r="DS13" i="11"/>
  <c r="DS9" i="11"/>
  <c r="DT6" i="11" s="1"/>
  <c r="DP41" i="4"/>
  <c r="DP29" i="4"/>
  <c r="DP35" i="4"/>
  <c r="DP47" i="4"/>
  <c r="DP23" i="4"/>
  <c r="DQ7" i="5" s="1"/>
  <c r="DP6" i="13"/>
  <c r="DP26" i="13" s="1"/>
  <c r="DR34" i="11"/>
  <c r="DR33" i="11"/>
  <c r="DR22" i="11"/>
  <c r="DR27" i="11"/>
  <c r="DO57" i="13"/>
  <c r="DO72" i="13" s="1"/>
  <c r="DO56" i="13"/>
  <c r="DO55" i="13"/>
  <c r="DO58" i="13"/>
  <c r="DP64" i="13"/>
  <c r="DP63" i="13"/>
  <c r="DP73" i="13" s="1"/>
  <c r="DP71" i="13"/>
  <c r="DR46" i="11" l="1"/>
  <c r="DR28" i="8"/>
  <c r="DR31" i="8" s="1"/>
  <c r="DP5" i="13"/>
  <c r="DP25" i="13" s="1"/>
  <c r="DR28" i="11"/>
  <c r="DR43" i="8"/>
  <c r="DR44" i="8" s="1"/>
  <c r="DT8" i="11"/>
  <c r="DT12" i="11" s="1"/>
  <c r="DP60" i="13"/>
  <c r="DP74" i="13" s="1"/>
  <c r="DP61" i="13"/>
  <c r="DP69" i="13"/>
  <c r="DR23" i="11"/>
  <c r="DQ6" i="13"/>
  <c r="DQ26" i="13" s="1"/>
  <c r="DS33" i="11"/>
  <c r="DS22" i="11"/>
  <c r="DS34" i="11"/>
  <c r="DS27" i="11"/>
  <c r="DR45" i="11"/>
  <c r="DR13" i="8"/>
  <c r="DR15" i="8" s="1"/>
  <c r="DQ64" i="13"/>
  <c r="DQ63" i="13"/>
  <c r="DQ73" i="13" s="1"/>
  <c r="DQ71" i="13"/>
  <c r="DP57" i="13" l="1"/>
  <c r="DP72" i="13" s="1"/>
  <c r="DP56" i="13"/>
  <c r="DP55" i="13"/>
  <c r="DP58" i="13"/>
  <c r="DQ41" i="4"/>
  <c r="DQ29" i="4"/>
  <c r="DQ47" i="4"/>
  <c r="DQ23" i="4"/>
  <c r="DR7" i="5" s="1"/>
  <c r="DQ35" i="4"/>
  <c r="DQ61" i="13"/>
  <c r="DQ60" i="13"/>
  <c r="DQ74" i="13" s="1"/>
  <c r="DQ69" i="13"/>
  <c r="DQ5" i="13"/>
  <c r="DQ25" i="13" s="1"/>
  <c r="DS28" i="11"/>
  <c r="DS43" i="8"/>
  <c r="DS44" i="8" s="1"/>
  <c r="DS46" i="11"/>
  <c r="DS28" i="8"/>
  <c r="DS31" i="8" s="1"/>
  <c r="DS23" i="11"/>
  <c r="DR7" i="13"/>
  <c r="DR27" i="13" s="1"/>
  <c r="DT13" i="11"/>
  <c r="DS45" i="11"/>
  <c r="DS13" i="8"/>
  <c r="DS15" i="8" s="1"/>
  <c r="DT9" i="11"/>
  <c r="DU6" i="11" s="1"/>
  <c r="DR41" i="4" l="1"/>
  <c r="DR29" i="4"/>
  <c r="DR47" i="4"/>
  <c r="DR35" i="4"/>
  <c r="DR23" i="4"/>
  <c r="DS7" i="5" s="1"/>
  <c r="DQ58" i="13"/>
  <c r="DQ57" i="13"/>
  <c r="DQ72" i="13" s="1"/>
  <c r="DQ56" i="13"/>
  <c r="DQ55" i="13"/>
  <c r="DR64" i="13"/>
  <c r="DR63" i="13"/>
  <c r="DR73" i="13" s="1"/>
  <c r="L84" i="13" s="1"/>
  <c r="L85" i="13" s="1"/>
  <c r="DR71" i="13"/>
  <c r="DU8" i="11"/>
  <c r="DU9" i="11" s="1"/>
  <c r="DR6" i="13"/>
  <c r="DR26" i="13" s="1"/>
  <c r="DT34" i="11"/>
  <c r="DT33" i="11"/>
  <c r="DT22" i="11"/>
  <c r="DT27" i="11"/>
  <c r="DT23" i="11" l="1"/>
  <c r="DT45" i="11"/>
  <c r="DT13" i="8"/>
  <c r="DT15" i="8" s="1"/>
  <c r="DT46" i="11"/>
  <c r="DT28" i="8"/>
  <c r="DT31" i="8" s="1"/>
  <c r="DR61" i="13"/>
  <c r="DR60" i="13"/>
  <c r="DR74" i="13" s="1"/>
  <c r="B63" i="14" s="1"/>
  <c r="DR69" i="13"/>
  <c r="DU12" i="11"/>
  <c r="D8" i="11"/>
  <c r="BW6" i="12"/>
  <c r="BY6" i="12"/>
  <c r="BZ6" i="12"/>
  <c r="CA6" i="12"/>
  <c r="CB6" i="12"/>
  <c r="CC6" i="12"/>
  <c r="CD6" i="12"/>
  <c r="CE6" i="12"/>
  <c r="CF6" i="12"/>
  <c r="CI6" i="12"/>
  <c r="CH6" i="12"/>
  <c r="CJ6" i="12"/>
  <c r="CM6" i="12"/>
  <c r="CL6" i="12"/>
  <c r="CK6" i="12"/>
  <c r="CO6" i="12"/>
  <c r="CN6" i="12"/>
  <c r="CR6" i="12"/>
  <c r="CP6" i="12"/>
  <c r="CQ6" i="12"/>
  <c r="CS6" i="12"/>
  <c r="CT6" i="12"/>
  <c r="CU6" i="12"/>
  <c r="CW6" i="12"/>
  <c r="CV6" i="12"/>
  <c r="CX6" i="12"/>
  <c r="CZ6" i="12"/>
  <c r="DA6" i="12"/>
  <c r="CY6" i="12"/>
  <c r="DD6" i="12"/>
  <c r="DB6" i="12"/>
  <c r="DC6" i="12"/>
  <c r="DE6" i="12"/>
  <c r="DG6" i="12"/>
  <c r="DF6" i="12"/>
  <c r="DH6" i="12"/>
  <c r="DJ6" i="12"/>
  <c r="DI6" i="12"/>
  <c r="DK6" i="12"/>
  <c r="DL6" i="12"/>
  <c r="DQ6" i="12"/>
  <c r="DM6" i="12"/>
  <c r="DN6" i="12"/>
  <c r="DO6" i="12"/>
  <c r="DP6" i="12"/>
  <c r="DR6" i="12"/>
  <c r="DU6" i="12"/>
  <c r="DU12" i="12" s="1"/>
  <c r="DS6" i="12"/>
  <c r="DT6" i="12"/>
  <c r="DR5" i="13"/>
  <c r="DR25" i="13" s="1"/>
  <c r="DT28" i="11"/>
  <c r="DT43" i="8"/>
  <c r="DT44" i="8" s="1"/>
  <c r="B78" i="14"/>
  <c r="B79" i="14" s="1"/>
  <c r="L125" i="13"/>
  <c r="L86" i="13"/>
  <c r="D78" i="14" s="1"/>
  <c r="D79" i="14" s="1"/>
  <c r="B125" i="13"/>
  <c r="L127" i="13" l="1"/>
  <c r="L133" i="13" s="1"/>
  <c r="CL138" i="13"/>
  <c r="CN8" i="12"/>
  <c r="CN10" i="12"/>
  <c r="CN21" i="12" s="1"/>
  <c r="CN23" i="12" s="1"/>
  <c r="CN24" i="12" s="1"/>
  <c r="CN9" i="12"/>
  <c r="CN27" i="12" s="1"/>
  <c r="BZ138" i="13"/>
  <c r="CB10" i="12"/>
  <c r="CB21" i="12" s="1"/>
  <c r="CB23" i="12" s="1"/>
  <c r="CB24" i="12" s="1"/>
  <c r="CB9" i="12"/>
  <c r="CB27" i="12" s="1"/>
  <c r="CB8" i="12"/>
  <c r="DJ138" i="13"/>
  <c r="DL12" i="12"/>
  <c r="CY138" i="13"/>
  <c r="DA9" i="12"/>
  <c r="DA27" i="12" s="1"/>
  <c r="DA8" i="12"/>
  <c r="DA10" i="12"/>
  <c r="DA21" i="12" s="1"/>
  <c r="DA23" i="12" s="1"/>
  <c r="DA24" i="12" s="1"/>
  <c r="CM138" i="13"/>
  <c r="CO9" i="12"/>
  <c r="CO27" i="12" s="1"/>
  <c r="CO8" i="12"/>
  <c r="CO10" i="12"/>
  <c r="CO21" i="12" s="1"/>
  <c r="CO23" i="12" s="1"/>
  <c r="CO24" i="12" s="1"/>
  <c r="BY138" i="13"/>
  <c r="CA8" i="12"/>
  <c r="CA9" i="12"/>
  <c r="CA27" i="12" s="1"/>
  <c r="CA10" i="12"/>
  <c r="CA21" i="12" s="1"/>
  <c r="CA23" i="12" s="1"/>
  <c r="CA24" i="12" s="1"/>
  <c r="CX138" i="13"/>
  <c r="CZ8" i="12"/>
  <c r="CZ9" i="12"/>
  <c r="CZ27" i="12" s="1"/>
  <c r="CZ10" i="12"/>
  <c r="CZ21" i="12" s="1"/>
  <c r="CZ23" i="12" s="1"/>
  <c r="CZ24" i="12" s="1"/>
  <c r="CI138" i="13"/>
  <c r="CK9" i="12"/>
  <c r="CK27" i="12" s="1"/>
  <c r="CK8" i="12"/>
  <c r="CK10" i="12"/>
  <c r="CK21" i="12" s="1"/>
  <c r="CK23" i="12" s="1"/>
  <c r="CK24" i="12" s="1"/>
  <c r="BX138" i="13"/>
  <c r="BZ8" i="12"/>
  <c r="BZ10" i="12"/>
  <c r="BZ21" i="12" s="1"/>
  <c r="BZ23" i="12" s="1"/>
  <c r="BZ24" i="12" s="1"/>
  <c r="BZ9" i="12"/>
  <c r="BZ27" i="12" s="1"/>
  <c r="DK138" i="13"/>
  <c r="DM12" i="12"/>
  <c r="DS47" i="4"/>
  <c r="DS41" i="4"/>
  <c r="DS29" i="4"/>
  <c r="DS35" i="4"/>
  <c r="DS23" i="4"/>
  <c r="DT7" i="5" s="1"/>
  <c r="DI138" i="13"/>
  <c r="DK9" i="12"/>
  <c r="DK27" i="12" s="1"/>
  <c r="DK10" i="12"/>
  <c r="DK21" i="12" s="1"/>
  <c r="DK23" i="12" s="1"/>
  <c r="DK24" i="12" s="1"/>
  <c r="DK8" i="12"/>
  <c r="DR58" i="13"/>
  <c r="DR57" i="13"/>
  <c r="DR56" i="13"/>
  <c r="O63" i="14" s="1"/>
  <c r="O64" i="14" s="1"/>
  <c r="E46" i="14" s="1"/>
  <c r="DR55" i="13"/>
  <c r="N63" i="14" s="1"/>
  <c r="N64" i="14" s="1"/>
  <c r="E45" i="14" s="1"/>
  <c r="DG138" i="13"/>
  <c r="DI10" i="12"/>
  <c r="DI21" i="12" s="1"/>
  <c r="DI23" i="12" s="1"/>
  <c r="DI24" i="12" s="1"/>
  <c r="DI9" i="12"/>
  <c r="DI27" i="12" s="1"/>
  <c r="DI8" i="12"/>
  <c r="CV138" i="13"/>
  <c r="CX8" i="12"/>
  <c r="CX9" i="12"/>
  <c r="CX27" i="12" s="1"/>
  <c r="CX10" i="12"/>
  <c r="CX21" i="12" s="1"/>
  <c r="CX23" i="12" s="1"/>
  <c r="CX24" i="12" s="1"/>
  <c r="CJ138" i="13"/>
  <c r="CL9" i="12"/>
  <c r="CL27" i="12" s="1"/>
  <c r="CL10" i="12"/>
  <c r="CL21" i="12" s="1"/>
  <c r="CL23" i="12" s="1"/>
  <c r="CL24" i="12" s="1"/>
  <c r="CL8" i="12"/>
  <c r="BW138" i="13"/>
  <c r="BY9" i="12"/>
  <c r="BY27" i="12" s="1"/>
  <c r="BY10" i="12"/>
  <c r="BY21" i="12" s="1"/>
  <c r="BY23" i="12" s="1"/>
  <c r="BY24" i="12" s="1"/>
  <c r="BY8" i="12"/>
  <c r="DO138" i="13"/>
  <c r="DO139" i="13" s="1"/>
  <c r="DQ12" i="12"/>
  <c r="DR138" i="13"/>
  <c r="DR139" i="13" s="1"/>
  <c r="DT12" i="12"/>
  <c r="DH138" i="13"/>
  <c r="DJ10" i="12"/>
  <c r="DJ21" i="12" s="1"/>
  <c r="DJ23" i="12" s="1"/>
  <c r="DJ24" i="12" s="1"/>
  <c r="DJ8" i="12"/>
  <c r="DJ9" i="12"/>
  <c r="DJ27" i="12" s="1"/>
  <c r="CT138" i="13"/>
  <c r="CV10" i="12"/>
  <c r="CV21" i="12" s="1"/>
  <c r="CV23" i="12" s="1"/>
  <c r="CV24" i="12" s="1"/>
  <c r="CV9" i="12"/>
  <c r="CV27" i="12" s="1"/>
  <c r="CV8" i="12"/>
  <c r="CK138" i="13"/>
  <c r="CM8" i="12"/>
  <c r="CM9" i="12"/>
  <c r="CM27" i="12" s="1"/>
  <c r="CM10" i="12"/>
  <c r="CM21" i="12" s="1"/>
  <c r="CM23" i="12" s="1"/>
  <c r="CM24" i="12" s="1"/>
  <c r="BU138" i="13"/>
  <c r="BW10" i="12"/>
  <c r="BW9" i="12"/>
  <c r="BW8" i="12"/>
  <c r="DQ138" i="13"/>
  <c r="DQ139" i="13" s="1"/>
  <c r="DS12" i="12"/>
  <c r="DF138" i="13"/>
  <c r="DH8" i="12"/>
  <c r="DH10" i="12"/>
  <c r="DH21" i="12" s="1"/>
  <c r="DH23" i="12" s="1"/>
  <c r="DH24" i="12" s="1"/>
  <c r="DH9" i="12"/>
  <c r="DH27" i="12" s="1"/>
  <c r="CU138" i="13"/>
  <c r="CW10" i="12"/>
  <c r="CW21" i="12" s="1"/>
  <c r="CW23" i="12" s="1"/>
  <c r="CW24" i="12" s="1"/>
  <c r="CW8" i="12"/>
  <c r="CW9" i="12"/>
  <c r="CW27" i="12" s="1"/>
  <c r="CH138" i="13"/>
  <c r="CJ9" i="12"/>
  <c r="CJ27" i="12" s="1"/>
  <c r="CJ8" i="12"/>
  <c r="CJ10" i="12"/>
  <c r="CJ21" i="12" s="1"/>
  <c r="CJ23" i="12" s="1"/>
  <c r="CJ24" i="12" s="1"/>
  <c r="CP138" i="13"/>
  <c r="CR10" i="12"/>
  <c r="CR21" i="12" s="1"/>
  <c r="CR23" i="12" s="1"/>
  <c r="CR24" i="12" s="1"/>
  <c r="CR9" i="12"/>
  <c r="CR27" i="12" s="1"/>
  <c r="CR8" i="12"/>
  <c r="L126" i="13"/>
  <c r="L132" i="13" s="1"/>
  <c r="L128" i="13"/>
  <c r="L134" i="13" s="1"/>
  <c r="F78" i="14" s="1"/>
  <c r="F79" i="14" s="1"/>
  <c r="L131" i="13"/>
  <c r="DD138" i="13"/>
  <c r="DF9" i="12"/>
  <c r="DF27" i="12" s="1"/>
  <c r="DF10" i="12"/>
  <c r="DF21" i="12" s="1"/>
  <c r="DF23" i="12" s="1"/>
  <c r="DF24" i="12" s="1"/>
  <c r="DF8" i="12"/>
  <c r="CS138" i="13"/>
  <c r="CU10" i="12"/>
  <c r="CU21" i="12" s="1"/>
  <c r="CU23" i="12" s="1"/>
  <c r="CU24" i="12" s="1"/>
  <c r="CU9" i="12"/>
  <c r="CU27" i="12" s="1"/>
  <c r="CU8" i="12"/>
  <c r="CF138" i="13"/>
  <c r="CH10" i="12"/>
  <c r="CH21" i="12" s="1"/>
  <c r="CH23" i="12" s="1"/>
  <c r="CH24" i="12" s="1"/>
  <c r="CH9" i="12"/>
  <c r="CH27" i="12" s="1"/>
  <c r="CH8" i="12"/>
  <c r="D12" i="11"/>
  <c r="DU13" i="11"/>
  <c r="CW138" i="13"/>
  <c r="CY9" i="12"/>
  <c r="CY27" i="12" s="1"/>
  <c r="CY10" i="12"/>
  <c r="CY21" i="12" s="1"/>
  <c r="CY23" i="12" s="1"/>
  <c r="CY24" i="12" s="1"/>
  <c r="CY8" i="12"/>
  <c r="DP138" i="13"/>
  <c r="DP139" i="13" s="1"/>
  <c r="DR12" i="12"/>
  <c r="DE138" i="13"/>
  <c r="DG9" i="12"/>
  <c r="DG27" i="12" s="1"/>
  <c r="DG10" i="12"/>
  <c r="DG21" i="12" s="1"/>
  <c r="DG23" i="12" s="1"/>
  <c r="DG24" i="12" s="1"/>
  <c r="DG8" i="12"/>
  <c r="CR138" i="13"/>
  <c r="CT10" i="12"/>
  <c r="CT21" i="12" s="1"/>
  <c r="CT23" i="12" s="1"/>
  <c r="CT24" i="12" s="1"/>
  <c r="CT9" i="12"/>
  <c r="CT27" i="12" s="1"/>
  <c r="CT8" i="12"/>
  <c r="CG138" i="13"/>
  <c r="CI8" i="12"/>
  <c r="CI10" i="12"/>
  <c r="CI21" i="12" s="1"/>
  <c r="CI23" i="12" s="1"/>
  <c r="CI24" i="12" s="1"/>
  <c r="CI9" i="12"/>
  <c r="CI27" i="12" s="1"/>
  <c r="DB138" i="13"/>
  <c r="DD10" i="12"/>
  <c r="DD21" i="12" s="1"/>
  <c r="DD23" i="12" s="1"/>
  <c r="DD24" i="12" s="1"/>
  <c r="DD9" i="12"/>
  <c r="DD27" i="12" s="1"/>
  <c r="DD8" i="12"/>
  <c r="DN138" i="13"/>
  <c r="DN139" i="13" s="1"/>
  <c r="DP12" i="12"/>
  <c r="DC138" i="13"/>
  <c r="DE9" i="12"/>
  <c r="DE27" i="12" s="1"/>
  <c r="DE10" i="12"/>
  <c r="DE21" i="12" s="1"/>
  <c r="DE23" i="12" s="1"/>
  <c r="DE24" i="12" s="1"/>
  <c r="DE8" i="12"/>
  <c r="CQ138" i="13"/>
  <c r="CS10" i="12"/>
  <c r="CS21" i="12" s="1"/>
  <c r="CS23" i="12" s="1"/>
  <c r="CS24" i="12" s="1"/>
  <c r="CS9" i="12"/>
  <c r="CS27" i="12" s="1"/>
  <c r="CS8" i="12"/>
  <c r="CD138" i="13"/>
  <c r="CF8" i="12"/>
  <c r="CF10" i="12"/>
  <c r="CF21" i="12" s="1"/>
  <c r="CF23" i="12" s="1"/>
  <c r="CF24" i="12" s="1"/>
  <c r="CF9" i="12"/>
  <c r="CF27" i="12" s="1"/>
  <c r="C63" i="14"/>
  <c r="D63" i="14" s="1"/>
  <c r="B64" i="14"/>
  <c r="B45" i="14" s="1"/>
  <c r="DM138" i="13"/>
  <c r="DM139" i="13" s="1"/>
  <c r="DO12" i="12"/>
  <c r="DA138" i="13"/>
  <c r="DC9" i="12"/>
  <c r="DC27" i="12" s="1"/>
  <c r="DC10" i="12"/>
  <c r="DC21" i="12" s="1"/>
  <c r="DC23" i="12" s="1"/>
  <c r="DC24" i="12" s="1"/>
  <c r="DC8" i="12"/>
  <c r="CO138" i="13"/>
  <c r="CQ10" i="12"/>
  <c r="CQ21" i="12" s="1"/>
  <c r="CQ23" i="12" s="1"/>
  <c r="CQ24" i="12" s="1"/>
  <c r="CQ8" i="12"/>
  <c r="CQ9" i="12"/>
  <c r="CQ27" i="12" s="1"/>
  <c r="CC138" i="13"/>
  <c r="CE10" i="12"/>
  <c r="CE21" i="12" s="1"/>
  <c r="CE23" i="12" s="1"/>
  <c r="CE24" i="12" s="1"/>
  <c r="CE9" i="12"/>
  <c r="CE27" i="12" s="1"/>
  <c r="CE8" i="12"/>
  <c r="CA138" i="13"/>
  <c r="CC10" i="12"/>
  <c r="CC21" i="12" s="1"/>
  <c r="CC23" i="12" s="1"/>
  <c r="CC24" i="12" s="1"/>
  <c r="CC9" i="12"/>
  <c r="CC27" i="12" s="1"/>
  <c r="CC8" i="12"/>
  <c r="DL138" i="13"/>
  <c r="DN12" i="12"/>
  <c r="CZ138" i="13"/>
  <c r="DB9" i="12"/>
  <c r="DB27" i="12" s="1"/>
  <c r="DB10" i="12"/>
  <c r="DB21" i="12" s="1"/>
  <c r="DB23" i="12" s="1"/>
  <c r="DB24" i="12" s="1"/>
  <c r="DB8" i="12"/>
  <c r="CN138" i="13"/>
  <c r="CP8" i="12"/>
  <c r="CP10" i="12"/>
  <c r="CP21" i="12" s="1"/>
  <c r="CP23" i="12" s="1"/>
  <c r="CP24" i="12" s="1"/>
  <c r="CP9" i="12"/>
  <c r="CP27" i="12" s="1"/>
  <c r="CB138" i="13"/>
  <c r="CD10" i="12"/>
  <c r="CD21" i="12" s="1"/>
  <c r="CD23" i="12" s="1"/>
  <c r="CD24" i="12" s="1"/>
  <c r="CD9" i="12"/>
  <c r="CD27" i="12" s="1"/>
  <c r="CD8" i="12"/>
  <c r="L136" i="13" l="1"/>
  <c r="DK139" i="13"/>
  <c r="DQ141" i="13"/>
  <c r="DD28" i="12"/>
  <c r="DD14" i="8"/>
  <c r="CN139" i="13"/>
  <c r="CT141" i="13"/>
  <c r="CZ143" i="13"/>
  <c r="DF145" i="13"/>
  <c r="DL147" i="13"/>
  <c r="CS15" i="12"/>
  <c r="CS11" i="12"/>
  <c r="CS12" i="12" s="1"/>
  <c r="DG28" i="12"/>
  <c r="DG14" i="8"/>
  <c r="C78" i="14"/>
  <c r="C79" i="14" s="1"/>
  <c r="L135" i="13"/>
  <c r="CU139" i="13"/>
  <c r="DA141" i="13"/>
  <c r="DG143" i="13"/>
  <c r="DM145" i="13"/>
  <c r="CM28" i="12"/>
  <c r="CM14" i="8"/>
  <c r="CX28" i="12"/>
  <c r="CX14" i="8"/>
  <c r="CX139" i="13"/>
  <c r="DD141" i="13"/>
  <c r="DJ143" i="13"/>
  <c r="DP145" i="13"/>
  <c r="CH28" i="12"/>
  <c r="CH14" i="8"/>
  <c r="DK15" i="12"/>
  <c r="DK11" i="12"/>
  <c r="DK12" i="12" s="1"/>
  <c r="CY139" i="13"/>
  <c r="DE141" i="13"/>
  <c r="DK143" i="13"/>
  <c r="DQ145" i="13"/>
  <c r="CS28" i="12"/>
  <c r="CS14" i="8"/>
  <c r="DB139" i="13"/>
  <c r="DH141" i="13"/>
  <c r="DN143" i="13"/>
  <c r="DE139" i="13"/>
  <c r="DK141" i="13"/>
  <c r="DQ143" i="13"/>
  <c r="CF139" i="13"/>
  <c r="CL141" i="13"/>
  <c r="CR143" i="13"/>
  <c r="CX145" i="13"/>
  <c r="DD147" i="13"/>
  <c r="CR15" i="12"/>
  <c r="CR11" i="12"/>
  <c r="CR12" i="12" s="1"/>
  <c r="DH28" i="12"/>
  <c r="DH14" i="8"/>
  <c r="CM15" i="12"/>
  <c r="CM11" i="12"/>
  <c r="CM12" i="12" s="1"/>
  <c r="CX15" i="12"/>
  <c r="CX11" i="12"/>
  <c r="CX12" i="12" s="1"/>
  <c r="DK28" i="12"/>
  <c r="DK14" i="8"/>
  <c r="BZ15" i="12"/>
  <c r="BZ11" i="12"/>
  <c r="BZ12" i="12" s="1"/>
  <c r="CA28" i="12"/>
  <c r="CA14" i="8"/>
  <c r="DJ139" i="13"/>
  <c r="DP141" i="13"/>
  <c r="CH15" i="12"/>
  <c r="CH11" i="12"/>
  <c r="CH12" i="12" s="1"/>
  <c r="CD139" i="13"/>
  <c r="CJ141" i="13"/>
  <c r="CP143" i="13"/>
  <c r="CV145" i="13"/>
  <c r="DB147" i="13"/>
  <c r="BZ28" i="12"/>
  <c r="BZ14" i="8"/>
  <c r="CE28" i="12"/>
  <c r="CE14" i="8"/>
  <c r="DB15" i="12"/>
  <c r="DB11" i="12"/>
  <c r="DB12" i="12" s="1"/>
  <c r="CC139" i="13"/>
  <c r="CI141" i="13"/>
  <c r="CO143" i="13"/>
  <c r="CU145" i="13"/>
  <c r="DA147" i="13"/>
  <c r="CI28" i="12"/>
  <c r="CI14" i="8"/>
  <c r="CU15" i="12"/>
  <c r="CU11" i="12"/>
  <c r="CU12" i="12" s="1"/>
  <c r="CR28" i="12"/>
  <c r="CR14" i="8"/>
  <c r="CK139" i="13"/>
  <c r="CQ141" i="13"/>
  <c r="CW143" i="13"/>
  <c r="DC145" i="13"/>
  <c r="DI147" i="13"/>
  <c r="CV139" i="13"/>
  <c r="DB141" i="13"/>
  <c r="DH143" i="13"/>
  <c r="DN145" i="13"/>
  <c r="DI139" i="13"/>
  <c r="DO141" i="13"/>
  <c r="BX139" i="13"/>
  <c r="BX150" i="13" s="1"/>
  <c r="BX151" i="13" s="1"/>
  <c r="CD141" i="13"/>
  <c r="CJ143" i="13"/>
  <c r="CP145" i="13"/>
  <c r="CV147" i="13"/>
  <c r="CA15" i="12"/>
  <c r="CA11" i="12"/>
  <c r="CA12" i="12" s="1"/>
  <c r="CB15" i="12"/>
  <c r="CB11" i="12"/>
  <c r="CB12" i="12" s="1"/>
  <c r="BU139" i="13"/>
  <c r="BU150" i="13" s="1"/>
  <c r="BU151" i="13" s="1"/>
  <c r="CA141" i="13"/>
  <c r="CG143" i="13"/>
  <c r="CM145" i="13"/>
  <c r="CS147" i="13"/>
  <c r="CE15" i="12"/>
  <c r="CE11" i="12"/>
  <c r="CE12" i="12" s="1"/>
  <c r="CU28" i="12"/>
  <c r="CU14" i="8"/>
  <c r="DH15" i="12"/>
  <c r="DH11" i="12"/>
  <c r="DH12" i="12" s="1"/>
  <c r="CV15" i="12"/>
  <c r="CV11" i="12"/>
  <c r="CV12" i="12" s="1"/>
  <c r="BY15" i="12"/>
  <c r="BY11" i="12"/>
  <c r="BY12" i="12" s="1"/>
  <c r="DI15" i="12"/>
  <c r="DI11" i="12"/>
  <c r="DI12" i="12" s="1"/>
  <c r="BY139" i="13"/>
  <c r="BY150" i="13" s="1"/>
  <c r="BY151" i="13" s="1"/>
  <c r="CE141" i="13"/>
  <c r="CE150" i="13" s="1"/>
  <c r="CE151" i="13" s="1"/>
  <c r="CK143" i="13"/>
  <c r="CQ145" i="13"/>
  <c r="CW147" i="13"/>
  <c r="CB28" i="12"/>
  <c r="CB14" i="8"/>
  <c r="DD15" i="12"/>
  <c r="DD11" i="12"/>
  <c r="DD12" i="12" s="1"/>
  <c r="CJ139" i="13"/>
  <c r="CP141" i="13"/>
  <c r="CV143" i="13"/>
  <c r="DB145" i="13"/>
  <c r="DH147" i="13"/>
  <c r="DB28" i="12"/>
  <c r="DB14" i="8"/>
  <c r="CQ28" i="12"/>
  <c r="CQ14" i="8"/>
  <c r="CQ139" i="13"/>
  <c r="CW141" i="13"/>
  <c r="DC143" i="13"/>
  <c r="DI145" i="13"/>
  <c r="DO147" i="13"/>
  <c r="DE15" i="12"/>
  <c r="DE11" i="12"/>
  <c r="DE12" i="12" s="1"/>
  <c r="CI15" i="12"/>
  <c r="CI11" i="12"/>
  <c r="CI12" i="12" s="1"/>
  <c r="CY11" i="12"/>
  <c r="CY12" i="12" s="1"/>
  <c r="CY15" i="12"/>
  <c r="CP139" i="13"/>
  <c r="CV141" i="13"/>
  <c r="DB143" i="13"/>
  <c r="DH145" i="13"/>
  <c r="DN147" i="13"/>
  <c r="DF139" i="13"/>
  <c r="DL141" i="13"/>
  <c r="DR143" i="13"/>
  <c r="CV28" i="12"/>
  <c r="CV14" i="8"/>
  <c r="DI28" i="12"/>
  <c r="DI14" i="8"/>
  <c r="CK15" i="12"/>
  <c r="CK11" i="12"/>
  <c r="CK12" i="12" s="1"/>
  <c r="DA139" i="13"/>
  <c r="DG141" i="13"/>
  <c r="DM143" i="13"/>
  <c r="CW15" i="12"/>
  <c r="CW11" i="12"/>
  <c r="CW12" i="12" s="1"/>
  <c r="CZ139" i="13"/>
  <c r="DF141" i="13"/>
  <c r="DL143" i="13"/>
  <c r="DR145" i="13"/>
  <c r="CQ15" i="12"/>
  <c r="CQ11" i="12"/>
  <c r="CQ12" i="12" s="1"/>
  <c r="CD15" i="12"/>
  <c r="CD11" i="12"/>
  <c r="CD12" i="12" s="1"/>
  <c r="C64" i="14"/>
  <c r="B46" i="14" s="1"/>
  <c r="CG139" i="13"/>
  <c r="CM141" i="13"/>
  <c r="CS143" i="13"/>
  <c r="CY145" i="13"/>
  <c r="DE147" i="13"/>
  <c r="CS139" i="13"/>
  <c r="CY141" i="13"/>
  <c r="DE143" i="13"/>
  <c r="DK145" i="13"/>
  <c r="DQ147" i="13"/>
  <c r="BY28" i="12"/>
  <c r="BY14" i="8"/>
  <c r="CK28" i="12"/>
  <c r="CK14" i="8"/>
  <c r="CO11" i="12"/>
  <c r="CO12" i="12" s="1"/>
  <c r="CO15" i="12"/>
  <c r="BZ139" i="13"/>
  <c r="BZ150" i="13" s="1"/>
  <c r="BZ151" i="13" s="1"/>
  <c r="CF141" i="13"/>
  <c r="CL143" i="13"/>
  <c r="CR145" i="13"/>
  <c r="CX147" i="13"/>
  <c r="G78" i="14"/>
  <c r="G79" i="14" s="1"/>
  <c r="W63" i="14"/>
  <c r="W64" i="14" s="1"/>
  <c r="G46" i="14" s="1"/>
  <c r="DH139" i="13"/>
  <c r="DN141" i="13"/>
  <c r="CO139" i="13"/>
  <c r="CU141" i="13"/>
  <c r="DA143" i="13"/>
  <c r="DG145" i="13"/>
  <c r="DM147" i="13"/>
  <c r="CJ15" i="12"/>
  <c r="CJ11" i="12"/>
  <c r="CJ12" i="12" s="1"/>
  <c r="CT139" i="13"/>
  <c r="CZ141" i="13"/>
  <c r="DF143" i="13"/>
  <c r="DL145" i="13"/>
  <c r="DR147" i="13"/>
  <c r="BW139" i="13"/>
  <c r="BW150" i="13" s="1"/>
  <c r="BW151" i="13" s="1"/>
  <c r="CC141" i="13"/>
  <c r="CI143" i="13"/>
  <c r="CO145" i="13"/>
  <c r="CU147" i="13"/>
  <c r="DG139" i="13"/>
  <c r="DM141" i="13"/>
  <c r="CI139" i="13"/>
  <c r="CO141" i="13"/>
  <c r="CU143" i="13"/>
  <c r="DA145" i="13"/>
  <c r="DG147" i="13"/>
  <c r="CO28" i="12"/>
  <c r="CO14" i="8"/>
  <c r="CN28" i="12"/>
  <c r="CN14" i="8"/>
  <c r="CF15" i="12"/>
  <c r="CF11" i="12"/>
  <c r="CF12" i="12" s="1"/>
  <c r="DL139" i="13"/>
  <c r="DR141" i="13"/>
  <c r="DE28" i="12"/>
  <c r="DE14" i="8"/>
  <c r="CT15" i="12"/>
  <c r="CT11" i="12"/>
  <c r="CT12" i="12" s="1"/>
  <c r="CY28" i="12"/>
  <c r="CY14" i="8"/>
  <c r="DF15" i="12"/>
  <c r="DF11" i="12"/>
  <c r="DF12" i="12" s="1"/>
  <c r="CC15" i="12"/>
  <c r="CC11" i="12"/>
  <c r="CC12" i="12" s="1"/>
  <c r="DC15" i="12"/>
  <c r="DC11" i="12"/>
  <c r="DC12" i="12" s="1"/>
  <c r="DC139" i="13"/>
  <c r="DI141" i="13"/>
  <c r="DO143" i="13"/>
  <c r="CT28" i="12"/>
  <c r="CT14" i="8"/>
  <c r="CW139" i="13"/>
  <c r="DC141" i="13"/>
  <c r="DI143" i="13"/>
  <c r="DO145" i="13"/>
  <c r="CJ28" i="12"/>
  <c r="CJ14" i="8"/>
  <c r="BW15" i="12"/>
  <c r="BW11" i="12"/>
  <c r="D8" i="12"/>
  <c r="DJ28" i="12"/>
  <c r="DJ14" i="8"/>
  <c r="CL15" i="12"/>
  <c r="CL11" i="12"/>
  <c r="CL12" i="12" s="1"/>
  <c r="CM139" i="13"/>
  <c r="CS141" i="13"/>
  <c r="CY143" i="13"/>
  <c r="DE145" i="13"/>
  <c r="DK147" i="13"/>
  <c r="H63" i="14"/>
  <c r="D22" i="15" s="1"/>
  <c r="G63" i="14"/>
  <c r="C22" i="15" s="1"/>
  <c r="C23" i="15" s="1"/>
  <c r="E5" i="15" s="1"/>
  <c r="F63" i="14"/>
  <c r="CP15" i="12"/>
  <c r="CP11" i="12"/>
  <c r="CP12" i="12" s="1"/>
  <c r="D64" i="14"/>
  <c r="B47" i="14" s="1"/>
  <c r="E63" i="14"/>
  <c r="CF28" i="12"/>
  <c r="CF14" i="8"/>
  <c r="DU34" i="11"/>
  <c r="DU33" i="11"/>
  <c r="DU22" i="11"/>
  <c r="D13" i="11"/>
  <c r="DU27" i="11"/>
  <c r="DF28" i="12"/>
  <c r="DF14" i="8"/>
  <c r="CH139" i="13"/>
  <c r="CN141" i="13"/>
  <c r="CT143" i="13"/>
  <c r="CZ145" i="13"/>
  <c r="DF147" i="13"/>
  <c r="BW27" i="12"/>
  <c r="D9" i="12"/>
  <c r="DJ15" i="12"/>
  <c r="DJ11" i="12"/>
  <c r="DJ12" i="12" s="1"/>
  <c r="CZ28" i="12"/>
  <c r="CZ14" i="8"/>
  <c r="CN11" i="12"/>
  <c r="CN12" i="12" s="1"/>
  <c r="CN15" i="12"/>
  <c r="CA139" i="13"/>
  <c r="CG141" i="13"/>
  <c r="CM143" i="13"/>
  <c r="CS145" i="13"/>
  <c r="CY147" i="13"/>
  <c r="DG15" i="12"/>
  <c r="DG11" i="12"/>
  <c r="DG12" i="12" s="1"/>
  <c r="DA28" i="12"/>
  <c r="DA14" i="8"/>
  <c r="CD28" i="12"/>
  <c r="CD14" i="8"/>
  <c r="CB139" i="13"/>
  <c r="CB150" i="13" s="1"/>
  <c r="CB151" i="13" s="1"/>
  <c r="CH141" i="13"/>
  <c r="CN143" i="13"/>
  <c r="CT145" i="13"/>
  <c r="CZ147" i="13"/>
  <c r="CC28" i="12"/>
  <c r="CC14" i="8"/>
  <c r="CP28" i="12"/>
  <c r="CP14" i="8"/>
  <c r="DC28" i="12"/>
  <c r="DC14" i="8"/>
  <c r="CR139" i="13"/>
  <c r="CX141" i="13"/>
  <c r="DD143" i="13"/>
  <c r="DJ145" i="13"/>
  <c r="DP147" i="13"/>
  <c r="DD139" i="13"/>
  <c r="DJ141" i="13"/>
  <c r="DP143" i="13"/>
  <c r="CW28" i="12"/>
  <c r="CW14" i="8"/>
  <c r="BW21" i="12"/>
  <c r="BW23" i="12" s="1"/>
  <c r="D10" i="12"/>
  <c r="D21" i="12" s="1"/>
  <c r="CL28" i="12"/>
  <c r="CL14" i="8"/>
  <c r="DR72" i="13"/>
  <c r="P63" i="14"/>
  <c r="CZ11" i="12"/>
  <c r="CZ12" i="12" s="1"/>
  <c r="CZ15" i="12"/>
  <c r="DA11" i="12"/>
  <c r="DA12" i="12" s="1"/>
  <c r="DA15" i="12"/>
  <c r="CL139" i="13"/>
  <c r="CR141" i="13"/>
  <c r="CX143" i="13"/>
  <c r="DD145" i="13"/>
  <c r="DJ147" i="13"/>
  <c r="CA150" i="13" l="1"/>
  <c r="CA151" i="13" s="1"/>
  <c r="DR150" i="13"/>
  <c r="DR151" i="13" s="1"/>
  <c r="DR152" i="13" s="1"/>
  <c r="DR153" i="13" s="1"/>
  <c r="CI150" i="13"/>
  <c r="CI151" i="13" s="1"/>
  <c r="DG150" i="13"/>
  <c r="DG151" i="13" s="1"/>
  <c r="CD150" i="13"/>
  <c r="CD151" i="13" s="1"/>
  <c r="CD152" i="13" s="1"/>
  <c r="CD153" i="13" s="1"/>
  <c r="DN150" i="13"/>
  <c r="DN151" i="13" s="1"/>
  <c r="DN152" i="13" s="1"/>
  <c r="DN153" i="13" s="1"/>
  <c r="CL150" i="13"/>
  <c r="CL151" i="13" s="1"/>
  <c r="CW150" i="13"/>
  <c r="CW151" i="13" s="1"/>
  <c r="DQ150" i="13"/>
  <c r="DQ151" i="13" s="1"/>
  <c r="DQ152" i="13" s="1"/>
  <c r="DQ153" i="13" s="1"/>
  <c r="CQ150" i="13"/>
  <c r="CQ151" i="13" s="1"/>
  <c r="DP150" i="13"/>
  <c r="DP151" i="13" s="1"/>
  <c r="DP152" i="13" s="1"/>
  <c r="DP153" i="13" s="1"/>
  <c r="DM150" i="13"/>
  <c r="DM151" i="13" s="1"/>
  <c r="DM152" i="13" s="1"/>
  <c r="DM153" i="13" s="1"/>
  <c r="CZ150" i="13"/>
  <c r="CZ151" i="13" s="1"/>
  <c r="CZ152" i="13" s="1"/>
  <c r="CZ153" i="13" s="1"/>
  <c r="CM150" i="13"/>
  <c r="CM151" i="13" s="1"/>
  <c r="CM152" i="13" s="1"/>
  <c r="CM153" i="13" s="1"/>
  <c r="CG150" i="13"/>
  <c r="CG151" i="13" s="1"/>
  <c r="CG152" i="13" s="1"/>
  <c r="CG153" i="13" s="1"/>
  <c r="DO150" i="13"/>
  <c r="DO151" i="13" s="1"/>
  <c r="DO152" i="13" s="1"/>
  <c r="DO153" i="13" s="1"/>
  <c r="DG17" i="12"/>
  <c r="DG18" i="12" s="1"/>
  <c r="DG29" i="8"/>
  <c r="DG31" i="8" s="1"/>
  <c r="F64" i="14"/>
  <c r="C45" i="14" s="1"/>
  <c r="N22" i="15"/>
  <c r="N23" i="15" s="1"/>
  <c r="D7" i="15" s="1"/>
  <c r="B22" i="15"/>
  <c r="B23" i="15" s="1"/>
  <c r="D5" i="15" s="1"/>
  <c r="DE16" i="8"/>
  <c r="DE15" i="8"/>
  <c r="DH150" i="13"/>
  <c r="DH151" i="13" s="1"/>
  <c r="BY15" i="8"/>
  <c r="BY16" i="8"/>
  <c r="BY152" i="13"/>
  <c r="BY153" i="13" s="1"/>
  <c r="CS17" i="12"/>
  <c r="CS18" i="12" s="1"/>
  <c r="CS29" i="8"/>
  <c r="CS31" i="8" s="1"/>
  <c r="CZ17" i="12"/>
  <c r="CZ18" i="12" s="1"/>
  <c r="CZ29" i="8"/>
  <c r="CZ31" i="8" s="1"/>
  <c r="DD150" i="13"/>
  <c r="DD151" i="13" s="1"/>
  <c r="BW28" i="12"/>
  <c r="D28" i="12" s="1"/>
  <c r="BW14" i="8"/>
  <c r="DU46" i="11"/>
  <c r="D46" i="11" s="1"/>
  <c r="DU28" i="8"/>
  <c r="D34" i="11"/>
  <c r="C37" i="15"/>
  <c r="C38" i="15" s="1"/>
  <c r="E8" i="15" s="1"/>
  <c r="G64" i="14"/>
  <c r="C46" i="14" s="1"/>
  <c r="BW12" i="12"/>
  <c r="D11" i="12"/>
  <c r="DC150" i="13"/>
  <c r="DC151" i="13" s="1"/>
  <c r="DE17" i="12"/>
  <c r="DE18" i="12" s="1"/>
  <c r="DE29" i="8"/>
  <c r="DE31" i="8" s="1"/>
  <c r="CF150" i="13"/>
  <c r="CF151" i="13" s="1"/>
  <c r="CY150" i="13"/>
  <c r="CY151" i="13" s="1"/>
  <c r="CM15" i="8"/>
  <c r="CM16" i="8"/>
  <c r="DA17" i="12"/>
  <c r="DA18" i="12" s="1"/>
  <c r="DA29" i="8"/>
  <c r="DA31" i="8" s="1"/>
  <c r="CE152" i="13"/>
  <c r="CE153" i="13" s="1"/>
  <c r="CA17" i="12"/>
  <c r="CA18" i="12" s="1"/>
  <c r="CA29" i="8"/>
  <c r="CA31" i="8" s="1"/>
  <c r="CC15" i="8"/>
  <c r="CC16" i="8"/>
  <c r="DU45" i="11"/>
  <c r="D45" i="11" s="1"/>
  <c r="DU13" i="8"/>
  <c r="D33" i="11"/>
  <c r="CI152" i="13"/>
  <c r="DF150" i="13"/>
  <c r="DF151" i="13" s="1"/>
  <c r="CE17" i="12"/>
  <c r="CE18" i="12" s="1"/>
  <c r="CE29" i="8"/>
  <c r="CE31" i="8" s="1"/>
  <c r="CX17" i="12"/>
  <c r="CX18" i="12" s="1"/>
  <c r="CX29" i="8"/>
  <c r="CX31" i="8" s="1"/>
  <c r="DJ17" i="12"/>
  <c r="DJ18" i="12" s="1"/>
  <c r="DJ29" i="8"/>
  <c r="DJ31" i="8" s="1"/>
  <c r="CF15" i="8"/>
  <c r="CF16" i="8"/>
  <c r="H64" i="14"/>
  <c r="C47" i="14" s="1"/>
  <c r="I63" i="14"/>
  <c r="BW17" i="12"/>
  <c r="BW29" i="8"/>
  <c r="D15" i="12"/>
  <c r="D27" i="12" s="1"/>
  <c r="CT150" i="13"/>
  <c r="CT151" i="13" s="1"/>
  <c r="CW17" i="12"/>
  <c r="CW18" i="12" s="1"/>
  <c r="CW29" i="8"/>
  <c r="CW31" i="8" s="1"/>
  <c r="P64" i="14"/>
  <c r="E47" i="14" s="1"/>
  <c r="Q63" i="14"/>
  <c r="CJ15" i="8"/>
  <c r="CJ16" i="8"/>
  <c r="DC17" i="12"/>
  <c r="DC18" i="12" s="1"/>
  <c r="DC29" i="8"/>
  <c r="DC31" i="8" s="1"/>
  <c r="DL150" i="13"/>
  <c r="DL151" i="13" s="1"/>
  <c r="O22" i="15"/>
  <c r="O23" i="15" s="1"/>
  <c r="E7" i="15" s="1"/>
  <c r="CJ150" i="13"/>
  <c r="CJ151" i="13" s="1"/>
  <c r="DI17" i="12"/>
  <c r="DI18" i="12" s="1"/>
  <c r="DI29" i="8"/>
  <c r="DI31" i="8" s="1"/>
  <c r="CC150" i="13"/>
  <c r="CC151" i="13" s="1"/>
  <c r="DK17" i="12"/>
  <c r="DK18" i="12" s="1"/>
  <c r="DK29" i="8"/>
  <c r="DK31" i="8" s="1"/>
  <c r="DU24" i="11"/>
  <c r="DU23" i="11"/>
  <c r="D23" i="11" s="1"/>
  <c r="K24" i="11"/>
  <c r="J24" i="11"/>
  <c r="N24" i="11"/>
  <c r="H24" i="11"/>
  <c r="G24" i="11"/>
  <c r="I24" i="11"/>
  <c r="F24" i="11"/>
  <c r="M24" i="11"/>
  <c r="E24" i="11"/>
  <c r="L24" i="11"/>
  <c r="O24" i="11"/>
  <c r="P24" i="11"/>
  <c r="Q24" i="11"/>
  <c r="D22" i="11"/>
  <c r="D25" i="11" s="1"/>
  <c r="S24" i="11"/>
  <c r="R24" i="11"/>
  <c r="U24" i="11"/>
  <c r="T24" i="11"/>
  <c r="V24" i="11"/>
  <c r="W24" i="11"/>
  <c r="AB24" i="11"/>
  <c r="X24" i="11"/>
  <c r="Z24" i="11"/>
  <c r="Y24" i="11"/>
  <c r="AA24" i="11"/>
  <c r="AD24" i="11"/>
  <c r="AC24" i="11"/>
  <c r="AE24" i="11"/>
  <c r="AF24" i="11"/>
  <c r="AJ24" i="11"/>
  <c r="AG24" i="11"/>
  <c r="AK24" i="11"/>
  <c r="AI24" i="11"/>
  <c r="AH24" i="11"/>
  <c r="AM24" i="11"/>
  <c r="AL24" i="11"/>
  <c r="AN24" i="11"/>
  <c r="AO24" i="11"/>
  <c r="AP24" i="11"/>
  <c r="AQ24" i="11"/>
  <c r="AS24" i="11"/>
  <c r="AR24" i="11"/>
  <c r="AU24" i="11"/>
  <c r="AT24" i="11"/>
  <c r="AV24" i="11"/>
  <c r="AW24" i="11"/>
  <c r="AX24" i="11"/>
  <c r="BA24" i="11"/>
  <c r="AZ24" i="11"/>
  <c r="BC24" i="11"/>
  <c r="AY24" i="11"/>
  <c r="BD24" i="11"/>
  <c r="BB24" i="11"/>
  <c r="BE24" i="11"/>
  <c r="BF24" i="11"/>
  <c r="BG24" i="11"/>
  <c r="BH24" i="11"/>
  <c r="BI24" i="11"/>
  <c r="BJ24" i="11"/>
  <c r="BK24" i="11"/>
  <c r="BL24" i="11"/>
  <c r="BM24" i="11"/>
  <c r="BO24" i="11"/>
  <c r="BN24" i="11"/>
  <c r="BP24" i="11"/>
  <c r="BR24" i="11"/>
  <c r="BQ24" i="11"/>
  <c r="BS24" i="11"/>
  <c r="BT24" i="11"/>
  <c r="BU24" i="11"/>
  <c r="BW24" i="11"/>
  <c r="BV24" i="11"/>
  <c r="BX24" i="11"/>
  <c r="BY24" i="11"/>
  <c r="CA24" i="11"/>
  <c r="BZ24" i="11"/>
  <c r="CB24" i="11"/>
  <c r="CC24" i="11"/>
  <c r="CD24" i="11"/>
  <c r="CE24" i="11"/>
  <c r="CG24" i="11"/>
  <c r="CF24" i="11"/>
  <c r="CH24" i="11"/>
  <c r="CK24" i="11"/>
  <c r="CI24" i="11"/>
  <c r="CJ24" i="11"/>
  <c r="CL24" i="11"/>
  <c r="CM24" i="11"/>
  <c r="CN24" i="11"/>
  <c r="CO24" i="11"/>
  <c r="CP24" i="11"/>
  <c r="CQ24" i="11"/>
  <c r="CR24" i="11"/>
  <c r="CS24" i="11"/>
  <c r="CT24" i="11"/>
  <c r="CU24" i="11"/>
  <c r="CV24" i="11"/>
  <c r="CW24" i="11"/>
  <c r="CX24" i="11"/>
  <c r="CZ24" i="11"/>
  <c r="CY24" i="11"/>
  <c r="DA24" i="11"/>
  <c r="DB24" i="11"/>
  <c r="DD24" i="11"/>
  <c r="DE24" i="11"/>
  <c r="DC24" i="11"/>
  <c r="DF24" i="11"/>
  <c r="DG24" i="11"/>
  <c r="DL24" i="11"/>
  <c r="DH24" i="11"/>
  <c r="DI24" i="11"/>
  <c r="DJ24" i="11"/>
  <c r="DM24" i="11"/>
  <c r="DK24" i="11"/>
  <c r="DT24" i="11"/>
  <c r="DN24" i="11"/>
  <c r="DR24" i="11"/>
  <c r="DQ24" i="11"/>
  <c r="DP24" i="11"/>
  <c r="DO24" i="11"/>
  <c r="DS24" i="11"/>
  <c r="CT17" i="12"/>
  <c r="CT18" i="12" s="1"/>
  <c r="CT29" i="8"/>
  <c r="CT31" i="8" s="1"/>
  <c r="DG152" i="13"/>
  <c r="BX152" i="13"/>
  <c r="BX153" i="13" s="1"/>
  <c r="CK150" i="13"/>
  <c r="CK151" i="13" s="1"/>
  <c r="CH17" i="12"/>
  <c r="CH18" i="12" s="1"/>
  <c r="CH29" i="8"/>
  <c r="CH31" i="8" s="1"/>
  <c r="CM17" i="12"/>
  <c r="CM18" i="12" s="1"/>
  <c r="CM29" i="8"/>
  <c r="CM31" i="8" s="1"/>
  <c r="DE150" i="13"/>
  <c r="DE151" i="13" s="1"/>
  <c r="CH15" i="8"/>
  <c r="CH16" i="8"/>
  <c r="DK16" i="8"/>
  <c r="DK15" i="8"/>
  <c r="CA152" i="13"/>
  <c r="CA153" i="13" s="1"/>
  <c r="CC17" i="12"/>
  <c r="CC18" i="12" s="1"/>
  <c r="CC29" i="8"/>
  <c r="CC31" i="8" s="1"/>
  <c r="CF17" i="12"/>
  <c r="CF18" i="12" s="1"/>
  <c r="CF29" i="8"/>
  <c r="CF31" i="8" s="1"/>
  <c r="CJ17" i="12"/>
  <c r="CJ18" i="12" s="1"/>
  <c r="CJ29" i="8"/>
  <c r="CJ31" i="8" s="1"/>
  <c r="DA150" i="13"/>
  <c r="DA151" i="13" s="1"/>
  <c r="DD17" i="12"/>
  <c r="DD18" i="12" s="1"/>
  <c r="DD29" i="8"/>
  <c r="DD31" i="8" s="1"/>
  <c r="BY17" i="12"/>
  <c r="BY18" i="12" s="1"/>
  <c r="BY29" i="8"/>
  <c r="BY31" i="8" s="1"/>
  <c r="CR15" i="8"/>
  <c r="CR16" i="8"/>
  <c r="DB17" i="12"/>
  <c r="DB18" i="12" s="1"/>
  <c r="DB29" i="8"/>
  <c r="DB31" i="8" s="1"/>
  <c r="DH16" i="8"/>
  <c r="DH15" i="8"/>
  <c r="CP17" i="12"/>
  <c r="CP18" i="12" s="1"/>
  <c r="CP29" i="8"/>
  <c r="CP31" i="8" s="1"/>
  <c r="CR150" i="13"/>
  <c r="CR151" i="13" s="1"/>
  <c r="CN15" i="8"/>
  <c r="CN16" i="8"/>
  <c r="CS150" i="13"/>
  <c r="CS151" i="13" s="1"/>
  <c r="CD17" i="12"/>
  <c r="CD18" i="12" s="1"/>
  <c r="CD29" i="8"/>
  <c r="CD31" i="8" s="1"/>
  <c r="CQ152" i="13"/>
  <c r="CQ153" i="13" s="1"/>
  <c r="CB15" i="8"/>
  <c r="CB16" i="8"/>
  <c r="DI150" i="13"/>
  <c r="DI151" i="13" s="1"/>
  <c r="CE15" i="8"/>
  <c r="CE16" i="8"/>
  <c r="DJ150" i="13"/>
  <c r="DJ151" i="13" s="1"/>
  <c r="CU150" i="13"/>
  <c r="CU151" i="13" s="1"/>
  <c r="CN150" i="13"/>
  <c r="CN151" i="13" s="1"/>
  <c r="E64" i="14"/>
  <c r="B48" i="14"/>
  <c r="CL15" i="8"/>
  <c r="CL16" i="8"/>
  <c r="DF16" i="8"/>
  <c r="DF15" i="8"/>
  <c r="DF17" i="12"/>
  <c r="DF18" i="12" s="1"/>
  <c r="DF29" i="8"/>
  <c r="DF31" i="8" s="1"/>
  <c r="BZ152" i="13"/>
  <c r="BZ153" i="13" s="1"/>
  <c r="CK17" i="12"/>
  <c r="CK18" i="12" s="1"/>
  <c r="CK29" i="8"/>
  <c r="CK31" i="8" s="1"/>
  <c r="CP150" i="13"/>
  <c r="CP151" i="13" s="1"/>
  <c r="CQ15" i="8"/>
  <c r="CQ16" i="8"/>
  <c r="CV17" i="12"/>
  <c r="CV18" i="12" s="1"/>
  <c r="CV29" i="8"/>
  <c r="CV31" i="8" s="1"/>
  <c r="BU152" i="13"/>
  <c r="BU153" i="13" s="1"/>
  <c r="H33" i="15"/>
  <c r="CA15" i="8"/>
  <c r="CA16" i="8"/>
  <c r="DB150" i="13"/>
  <c r="DB151" i="13" s="1"/>
  <c r="V63" i="14"/>
  <c r="V64" i="14" s="1"/>
  <c r="G45" i="14" s="1"/>
  <c r="E78" i="14"/>
  <c r="E79" i="14" s="1"/>
  <c r="L137" i="13"/>
  <c r="DD16" i="8"/>
  <c r="DD15" i="8"/>
  <c r="CB152" i="13"/>
  <c r="CB153" i="13" s="1"/>
  <c r="CN17" i="12"/>
  <c r="CN18" i="12" s="1"/>
  <c r="CN29" i="8"/>
  <c r="CN31" i="8" s="1"/>
  <c r="D23" i="15"/>
  <c r="F5" i="15" s="1"/>
  <c r="E22" i="15"/>
  <c r="BW24" i="12"/>
  <c r="D24" i="12" s="1"/>
  <c r="D23" i="12"/>
  <c r="DC16" i="8"/>
  <c r="DC15" i="8"/>
  <c r="CZ16" i="8"/>
  <c r="CZ15" i="8"/>
  <c r="CW152" i="13"/>
  <c r="CW153" i="13" s="1"/>
  <c r="CY15" i="8"/>
  <c r="CY16" i="8"/>
  <c r="CO15" i="8"/>
  <c r="CO16" i="8"/>
  <c r="CO17" i="12"/>
  <c r="CO18" i="12" s="1"/>
  <c r="CO29" i="8"/>
  <c r="CO31" i="8" s="1"/>
  <c r="CQ17" i="12"/>
  <c r="CQ18" i="12" s="1"/>
  <c r="CQ29" i="8"/>
  <c r="CQ31" i="8" s="1"/>
  <c r="DI16" i="8"/>
  <c r="DI15" i="8"/>
  <c r="CY17" i="12"/>
  <c r="CY18" i="12" s="1"/>
  <c r="CY29" i="8"/>
  <c r="CY31" i="8" s="1"/>
  <c r="CU17" i="12"/>
  <c r="CU18" i="12" s="1"/>
  <c r="CU29" i="8"/>
  <c r="CU31" i="8" s="1"/>
  <c r="BZ15" i="8"/>
  <c r="BZ16" i="8"/>
  <c r="CR17" i="12"/>
  <c r="CR18" i="12" s="1"/>
  <c r="CR29" i="8"/>
  <c r="CR31" i="8" s="1"/>
  <c r="CS15" i="8"/>
  <c r="CS16" i="8"/>
  <c r="CD15" i="8"/>
  <c r="CD16" i="8"/>
  <c r="CW15" i="8"/>
  <c r="CW16" i="8"/>
  <c r="DA16" i="8"/>
  <c r="DA15" i="8"/>
  <c r="DU29" i="11"/>
  <c r="DU28" i="11"/>
  <c r="D28" i="11" s="1"/>
  <c r="DU43" i="8"/>
  <c r="G29" i="11"/>
  <c r="J29" i="11"/>
  <c r="K29" i="11"/>
  <c r="N29" i="11"/>
  <c r="M29" i="11"/>
  <c r="O29" i="11"/>
  <c r="H29" i="11"/>
  <c r="F29" i="11"/>
  <c r="I29" i="11"/>
  <c r="L29" i="11"/>
  <c r="D27" i="11"/>
  <c r="D30" i="11" s="1"/>
  <c r="D46" i="8" s="1"/>
  <c r="Q29" i="11"/>
  <c r="E29" i="11"/>
  <c r="R29" i="11"/>
  <c r="P29" i="11"/>
  <c r="S29" i="11"/>
  <c r="T29" i="11"/>
  <c r="V29" i="11"/>
  <c r="W29" i="11"/>
  <c r="U29" i="11"/>
  <c r="X29" i="11"/>
  <c r="Z29" i="11"/>
  <c r="Y29" i="11"/>
  <c r="AA29" i="11"/>
  <c r="AB29" i="11"/>
  <c r="AC29" i="11"/>
  <c r="AE29" i="11"/>
  <c r="AD29" i="11"/>
  <c r="AG29" i="11"/>
  <c r="AF29" i="11"/>
  <c r="AH29" i="11"/>
  <c r="AI29" i="11"/>
  <c r="AK29" i="11"/>
  <c r="AJ29" i="11"/>
  <c r="AL29" i="11"/>
  <c r="AM29" i="11"/>
  <c r="AN29" i="11"/>
  <c r="AO29" i="11"/>
  <c r="AP29" i="11"/>
  <c r="AQ29" i="11"/>
  <c r="AR29" i="11"/>
  <c r="AT29" i="11"/>
  <c r="AU29" i="11"/>
  <c r="AS29" i="11"/>
  <c r="AV29" i="11"/>
  <c r="AW29" i="11"/>
  <c r="AX29" i="11"/>
  <c r="AY29" i="11"/>
  <c r="AZ29" i="11"/>
  <c r="BA29" i="11"/>
  <c r="BC29" i="11"/>
  <c r="BB29" i="11"/>
  <c r="BE29" i="11"/>
  <c r="BD29" i="11"/>
  <c r="BF29" i="11"/>
  <c r="BG29" i="11"/>
  <c r="BH29" i="11"/>
  <c r="BI29" i="11"/>
  <c r="BJ29" i="11"/>
  <c r="BK29" i="11"/>
  <c r="BL29" i="11"/>
  <c r="BQ29" i="11"/>
  <c r="BM29" i="11"/>
  <c r="BN29" i="11"/>
  <c r="BO29" i="11"/>
  <c r="BP29" i="11"/>
  <c r="BR29" i="11"/>
  <c r="BS29" i="11"/>
  <c r="BT29" i="11"/>
  <c r="BU29" i="11"/>
  <c r="BV29" i="11"/>
  <c r="BW29" i="11"/>
  <c r="BX29" i="11"/>
  <c r="BY29" i="11"/>
  <c r="BZ29" i="11"/>
  <c r="CB29" i="11"/>
  <c r="CA29" i="11"/>
  <c r="CC29" i="11"/>
  <c r="CD29" i="11"/>
  <c r="CG29" i="11"/>
  <c r="CE29" i="11"/>
  <c r="CI29" i="11"/>
  <c r="CF29" i="11"/>
  <c r="CH29" i="11"/>
  <c r="CJ29" i="11"/>
  <c r="CL29" i="11"/>
  <c r="CN29" i="11"/>
  <c r="CM29" i="11"/>
  <c r="CK29" i="11"/>
  <c r="CO29" i="11"/>
  <c r="CP29" i="11"/>
  <c r="CQ29" i="11"/>
  <c r="CR29" i="11"/>
  <c r="CS29" i="11"/>
  <c r="CU29" i="11"/>
  <c r="CT29" i="11"/>
  <c r="CV29" i="11"/>
  <c r="CW29" i="11"/>
  <c r="CX29" i="11"/>
  <c r="CY29" i="11"/>
  <c r="DA29" i="11"/>
  <c r="DB29" i="11"/>
  <c r="DC29" i="11"/>
  <c r="CZ29" i="11"/>
  <c r="DD29" i="11"/>
  <c r="DE29" i="11"/>
  <c r="DF29" i="11"/>
  <c r="DG29" i="11"/>
  <c r="DI29" i="11"/>
  <c r="DJ29" i="11"/>
  <c r="DH29" i="11"/>
  <c r="DL29" i="11"/>
  <c r="DK29" i="11"/>
  <c r="DM29" i="11"/>
  <c r="DN29" i="11"/>
  <c r="DO29" i="11"/>
  <c r="DR29" i="11"/>
  <c r="DS29" i="11"/>
  <c r="DQ29" i="11"/>
  <c r="DP29" i="11"/>
  <c r="DT29" i="11"/>
  <c r="P22" i="15"/>
  <c r="CL17" i="12"/>
  <c r="CL18" i="12" s="1"/>
  <c r="CL29" i="8"/>
  <c r="CL31" i="8" s="1"/>
  <c r="CT15" i="8"/>
  <c r="CT16" i="8"/>
  <c r="BW152" i="13"/>
  <c r="BW153" i="13" s="1"/>
  <c r="DB16" i="8"/>
  <c r="DB15" i="8"/>
  <c r="DH17" i="12"/>
  <c r="DH18" i="12" s="1"/>
  <c r="DH29" i="8"/>
  <c r="DH31" i="8" s="1"/>
  <c r="CB17" i="12"/>
  <c r="CB18" i="12" s="1"/>
  <c r="CB29" i="8"/>
  <c r="CB31" i="8" s="1"/>
  <c r="CI15" i="8"/>
  <c r="CI16" i="8"/>
  <c r="CX150" i="13"/>
  <c r="CX151" i="13" s="1"/>
  <c r="DG16" i="8"/>
  <c r="DG15" i="8"/>
  <c r="CI17" i="12"/>
  <c r="CI18" i="12" s="1"/>
  <c r="CI29" i="8"/>
  <c r="CI31" i="8" s="1"/>
  <c r="CH150" i="13"/>
  <c r="CH151" i="13" s="1"/>
  <c r="CL152" i="13"/>
  <c r="CL153" i="13" s="1"/>
  <c r="CP15" i="8"/>
  <c r="CP16" i="8"/>
  <c r="DJ16" i="8"/>
  <c r="DJ15" i="8"/>
  <c r="CO150" i="13"/>
  <c r="CO151" i="13" s="1"/>
  <c r="CK15" i="8"/>
  <c r="CK16" i="8"/>
  <c r="CV15" i="8"/>
  <c r="CV16" i="8"/>
  <c r="CU15" i="8"/>
  <c r="CU16" i="8"/>
  <c r="CV150" i="13"/>
  <c r="CV151" i="13" s="1"/>
  <c r="BZ17" i="12"/>
  <c r="BZ18" i="12" s="1"/>
  <c r="BZ29" i="8"/>
  <c r="BZ31" i="8" s="1"/>
  <c r="CX15" i="8"/>
  <c r="CX16" i="8"/>
  <c r="DK150" i="13"/>
  <c r="DK151" i="13" s="1"/>
  <c r="H37" i="15" l="1"/>
  <c r="P23" i="15"/>
  <c r="F7" i="15" s="1"/>
  <c r="Q22" i="15"/>
  <c r="CQ47" i="4"/>
  <c r="DP15" i="5" s="1"/>
  <c r="CQ41" i="4"/>
  <c r="DJ13" i="5" s="1"/>
  <c r="CQ29" i="4"/>
  <c r="CX9" i="5" s="1"/>
  <c r="CQ23" i="4"/>
  <c r="CR7" i="5" s="1"/>
  <c r="CQ35" i="4"/>
  <c r="DD11" i="5" s="1"/>
  <c r="CP152" i="13"/>
  <c r="CP153" i="13" s="1"/>
  <c r="CH152" i="13"/>
  <c r="CH153" i="13" s="1"/>
  <c r="CC152" i="13"/>
  <c r="CC153" i="13" s="1"/>
  <c r="CV47" i="4"/>
  <c r="DU15" i="5" s="1"/>
  <c r="CV35" i="4"/>
  <c r="DI11" i="5" s="1"/>
  <c r="CV23" i="4"/>
  <c r="CW7" i="5" s="1"/>
  <c r="CV41" i="4"/>
  <c r="DO13" i="5" s="1"/>
  <c r="CV29" i="4"/>
  <c r="DC9" i="5" s="1"/>
  <c r="D28" i="8"/>
  <c r="DU31" i="8"/>
  <c r="CH47" i="4"/>
  <c r="DG15" i="5" s="1"/>
  <c r="CH41" i="4"/>
  <c r="DA13" i="5" s="1"/>
  <c r="CH29" i="4"/>
  <c r="CO9" i="5" s="1"/>
  <c r="CH35" i="4"/>
  <c r="CU11" i="5" s="1"/>
  <c r="CH23" i="4"/>
  <c r="CI7" i="5" s="1"/>
  <c r="D29" i="11"/>
  <c r="CN152" i="13"/>
  <c r="CN153" i="13" s="1"/>
  <c r="CS152" i="13"/>
  <c r="CS153" i="13" s="1"/>
  <c r="BX35" i="4"/>
  <c r="CK11" i="5" s="1"/>
  <c r="BX23" i="4"/>
  <c r="BY7" i="5" s="1"/>
  <c r="BY17" i="5" s="1"/>
  <c r="BX47" i="4"/>
  <c r="CW15" i="5" s="1"/>
  <c r="BX29" i="4"/>
  <c r="CE9" i="5" s="1"/>
  <c r="BX41" i="4"/>
  <c r="CQ13" i="5" s="1"/>
  <c r="DH35" i="4"/>
  <c r="DU11" i="5" s="1"/>
  <c r="DH23" i="4"/>
  <c r="DI7" i="5" s="1"/>
  <c r="DH41" i="4"/>
  <c r="DH29" i="4"/>
  <c r="DO9" i="5" s="1"/>
  <c r="DH47" i="4"/>
  <c r="DI47" i="4"/>
  <c r="DI35" i="4"/>
  <c r="DI23" i="4"/>
  <c r="DJ7" i="5" s="1"/>
  <c r="DI29" i="4"/>
  <c r="DP9" i="5" s="1"/>
  <c r="DI41" i="4"/>
  <c r="DH152" i="13"/>
  <c r="DH153" i="13" s="1"/>
  <c r="H34" i="15"/>
  <c r="CT152" i="13"/>
  <c r="CT153" i="13" s="1"/>
  <c r="D13" i="8"/>
  <c r="DU15" i="8"/>
  <c r="CY152" i="13"/>
  <c r="CY153" i="13" s="1"/>
  <c r="BW15" i="8"/>
  <c r="BW17" i="8" s="1"/>
  <c r="BX17" i="8" s="1"/>
  <c r="BY17" i="8" s="1"/>
  <c r="BZ17" i="8" s="1"/>
  <c r="CA17" i="8" s="1"/>
  <c r="CB17" i="8" s="1"/>
  <c r="CC17" i="8" s="1"/>
  <c r="CD17" i="8" s="1"/>
  <c r="CE17" i="8" s="1"/>
  <c r="CF17" i="8" s="1"/>
  <c r="CG17" i="8" s="1"/>
  <c r="CH17" i="8" s="1"/>
  <c r="CI17" i="8" s="1"/>
  <c r="CJ17" i="8" s="1"/>
  <c r="CK17" i="8" s="1"/>
  <c r="CL17" i="8" s="1"/>
  <c r="CM17" i="8" s="1"/>
  <c r="CN17" i="8" s="1"/>
  <c r="CO17" i="8" s="1"/>
  <c r="CP17" i="8" s="1"/>
  <c r="CQ17" i="8" s="1"/>
  <c r="CR17" i="8" s="1"/>
  <c r="CS17" i="8" s="1"/>
  <c r="CT17" i="8" s="1"/>
  <c r="CU17" i="8" s="1"/>
  <c r="CV17" i="8" s="1"/>
  <c r="CW17" i="8" s="1"/>
  <c r="CX17" i="8" s="1"/>
  <c r="CY17" i="8" s="1"/>
  <c r="CZ17" i="8" s="1"/>
  <c r="DA17" i="8" s="1"/>
  <c r="DB17" i="8" s="1"/>
  <c r="DC17" i="8" s="1"/>
  <c r="DD17" i="8" s="1"/>
  <c r="DE17" i="8" s="1"/>
  <c r="DF17" i="8" s="1"/>
  <c r="DG17" i="8" s="1"/>
  <c r="DH17" i="8" s="1"/>
  <c r="DI17" i="8" s="1"/>
  <c r="DJ17" i="8" s="1"/>
  <c r="DK17" i="8" s="1"/>
  <c r="DL17" i="8" s="1"/>
  <c r="DM17" i="8" s="1"/>
  <c r="DN17" i="8" s="1"/>
  <c r="DO17" i="8" s="1"/>
  <c r="DP17" i="8" s="1"/>
  <c r="DQ17" i="8" s="1"/>
  <c r="DR17" i="8" s="1"/>
  <c r="DS17" i="8" s="1"/>
  <c r="DT17" i="8" s="1"/>
  <c r="D14" i="8"/>
  <c r="BW16" i="8"/>
  <c r="D16" i="8" s="1"/>
  <c r="CM35" i="4"/>
  <c r="CZ11" i="5" s="1"/>
  <c r="CM23" i="4"/>
  <c r="CN7" i="5" s="1"/>
  <c r="CM41" i="4"/>
  <c r="DF13" i="5" s="1"/>
  <c r="CM29" i="4"/>
  <c r="CT9" i="5" s="1"/>
  <c r="CM47" i="4"/>
  <c r="DL15" i="5" s="1"/>
  <c r="I45" i="14"/>
  <c r="DE47" i="4"/>
  <c r="DE41" i="4"/>
  <c r="DE29" i="4"/>
  <c r="DL9" i="5" s="1"/>
  <c r="DE23" i="4"/>
  <c r="DF7" i="5" s="1"/>
  <c r="DE35" i="4"/>
  <c r="DR11" i="5" s="1"/>
  <c r="DJ152" i="13"/>
  <c r="DJ153" i="13" s="1"/>
  <c r="DC47" i="4"/>
  <c r="DC41" i="4"/>
  <c r="DC29" i="4"/>
  <c r="DJ9" i="5" s="1"/>
  <c r="DC23" i="4"/>
  <c r="DD7" i="5" s="1"/>
  <c r="DC35" i="4"/>
  <c r="DP11" i="5" s="1"/>
  <c r="CJ152" i="13"/>
  <c r="CJ153" i="13" s="1"/>
  <c r="CW47" i="4"/>
  <c r="CW35" i="4"/>
  <c r="DJ11" i="5" s="1"/>
  <c r="CW23" i="4"/>
  <c r="CX7" i="5" s="1"/>
  <c r="CW41" i="4"/>
  <c r="DP13" i="5" s="1"/>
  <c r="CW29" i="4"/>
  <c r="DD9" i="5" s="1"/>
  <c r="CF152" i="13"/>
  <c r="CF153" i="13" s="1"/>
  <c r="CV152" i="13"/>
  <c r="CV153" i="13" s="1"/>
  <c r="DG47" i="4"/>
  <c r="DG41" i="4"/>
  <c r="DG29" i="4"/>
  <c r="DN9" i="5" s="1"/>
  <c r="DG35" i="4"/>
  <c r="DT11" i="5" s="1"/>
  <c r="DG23" i="4"/>
  <c r="DH7" i="5" s="1"/>
  <c r="CT41" i="4"/>
  <c r="DM13" i="5" s="1"/>
  <c r="CT29" i="4"/>
  <c r="DA9" i="5" s="1"/>
  <c r="CT47" i="4"/>
  <c r="DS15" i="5" s="1"/>
  <c r="CT35" i="4"/>
  <c r="DG11" i="5" s="1"/>
  <c r="CT23" i="4"/>
  <c r="CU7" i="5" s="1"/>
  <c r="CX47" i="4"/>
  <c r="CX35" i="4"/>
  <c r="DK11" i="5" s="1"/>
  <c r="CX23" i="4"/>
  <c r="CY7" i="5" s="1"/>
  <c r="CX41" i="4"/>
  <c r="DQ13" i="5" s="1"/>
  <c r="CX29" i="4"/>
  <c r="DE9" i="5" s="1"/>
  <c r="I33" i="15"/>
  <c r="I18" i="15"/>
  <c r="CR152" i="13"/>
  <c r="CR153" i="13" s="1"/>
  <c r="DG153" i="13"/>
  <c r="BW31" i="8"/>
  <c r="D29" i="8"/>
  <c r="DD47" i="4"/>
  <c r="DD41" i="4"/>
  <c r="DD29" i="4"/>
  <c r="DK9" i="5" s="1"/>
  <c r="DD23" i="4"/>
  <c r="DE7" i="5" s="1"/>
  <c r="DD35" i="4"/>
  <c r="DQ11" i="5" s="1"/>
  <c r="DD152" i="13"/>
  <c r="DD153" i="13" s="1"/>
  <c r="DL152" i="13"/>
  <c r="DL153" i="13" s="1"/>
  <c r="BW18" i="12"/>
  <c r="D18" i="12" s="1"/>
  <c r="D17" i="12"/>
  <c r="CY29" i="4"/>
  <c r="DF9" i="5" s="1"/>
  <c r="CY35" i="4"/>
  <c r="DL11" i="5" s="1"/>
  <c r="CY23" i="4"/>
  <c r="CZ7" i="5" s="1"/>
  <c r="CY47" i="4"/>
  <c r="CY41" i="4"/>
  <c r="DR13" i="5" s="1"/>
  <c r="DA47" i="4"/>
  <c r="DA35" i="4"/>
  <c r="DN11" i="5" s="1"/>
  <c r="DA23" i="4"/>
  <c r="DB7" i="5" s="1"/>
  <c r="DA41" i="4"/>
  <c r="DT13" i="5" s="1"/>
  <c r="DA29" i="4"/>
  <c r="DH9" i="5" s="1"/>
  <c r="CG47" i="4"/>
  <c r="DF15" i="5" s="1"/>
  <c r="CG41" i="4"/>
  <c r="CZ13" i="5" s="1"/>
  <c r="CG29" i="4"/>
  <c r="CN9" i="5" s="1"/>
  <c r="CG23" i="4"/>
  <c r="CH7" i="5" s="1"/>
  <c r="CG35" i="4"/>
  <c r="CT11" i="5" s="1"/>
  <c r="DK152" i="13"/>
  <c r="DK153" i="13" s="1"/>
  <c r="CO152" i="13"/>
  <c r="CO153" i="13" s="1"/>
  <c r="CX152" i="13"/>
  <c r="CX153" i="13" s="1"/>
  <c r="J33" i="15"/>
  <c r="BU154" i="13"/>
  <c r="CO47" i="4"/>
  <c r="DN15" i="5" s="1"/>
  <c r="CO35" i="4"/>
  <c r="DB11" i="5" s="1"/>
  <c r="CO23" i="4"/>
  <c r="CP7" i="5" s="1"/>
  <c r="CO41" i="4"/>
  <c r="DH13" i="5" s="1"/>
  <c r="CO29" i="4"/>
  <c r="CV9" i="5" s="1"/>
  <c r="DA152" i="13"/>
  <c r="DA153" i="13" s="1"/>
  <c r="CS41" i="4"/>
  <c r="DL13" i="5" s="1"/>
  <c r="CS29" i="4"/>
  <c r="CZ9" i="5" s="1"/>
  <c r="CS23" i="4"/>
  <c r="CT7" i="5" s="1"/>
  <c r="CS35" i="4"/>
  <c r="DF11" i="5" s="1"/>
  <c r="CS47" i="4"/>
  <c r="DR15" i="5" s="1"/>
  <c r="CU47" i="4"/>
  <c r="DT15" i="5" s="1"/>
  <c r="CU41" i="4"/>
  <c r="DN13" i="5" s="1"/>
  <c r="CU29" i="4"/>
  <c r="DB9" i="5" s="1"/>
  <c r="CU35" i="4"/>
  <c r="DH11" i="5" s="1"/>
  <c r="CU23" i="4"/>
  <c r="CV7" i="5" s="1"/>
  <c r="DI152" i="13"/>
  <c r="DI153" i="13" s="1"/>
  <c r="CI47" i="4"/>
  <c r="DH15" i="5" s="1"/>
  <c r="CI41" i="4"/>
  <c r="DB13" i="5" s="1"/>
  <c r="CI29" i="4"/>
  <c r="CP9" i="5" s="1"/>
  <c r="CI35" i="4"/>
  <c r="CV11" i="5" s="1"/>
  <c r="CI23" i="4"/>
  <c r="CJ7" i="5" s="1"/>
  <c r="DE152" i="13"/>
  <c r="DE153" i="13" s="1"/>
  <c r="DB47" i="4"/>
  <c r="DB41" i="4"/>
  <c r="DU13" i="5" s="1"/>
  <c r="DB29" i="4"/>
  <c r="DI9" i="5" s="1"/>
  <c r="DB23" i="4"/>
  <c r="DC7" i="5" s="1"/>
  <c r="DB35" i="4"/>
  <c r="DO11" i="5" s="1"/>
  <c r="I64" i="14"/>
  <c r="C48" i="14"/>
  <c r="BZ47" i="4"/>
  <c r="CY15" i="5" s="1"/>
  <c r="BZ41" i="4"/>
  <c r="CS13" i="5" s="1"/>
  <c r="BZ35" i="4"/>
  <c r="CM11" i="5" s="1"/>
  <c r="BZ23" i="4"/>
  <c r="CA7" i="5" s="1"/>
  <c r="CA17" i="5" s="1"/>
  <c r="CA21" i="5" s="1"/>
  <c r="BZ29" i="4"/>
  <c r="CG9" i="5" s="1"/>
  <c r="CG17" i="5" s="1"/>
  <c r="CG21" i="5" s="1"/>
  <c r="DC152" i="13"/>
  <c r="DC153" i="13" s="1"/>
  <c r="E23" i="15"/>
  <c r="H5" i="15"/>
  <c r="G5" i="15"/>
  <c r="CU152" i="13"/>
  <c r="CU153" i="13" s="1"/>
  <c r="H36" i="15"/>
  <c r="CK47" i="4"/>
  <c r="DJ15" i="5" s="1"/>
  <c r="CK35" i="4"/>
  <c r="CX11" i="5" s="1"/>
  <c r="CK23" i="4"/>
  <c r="CL7" i="5" s="1"/>
  <c r="CK41" i="4"/>
  <c r="DD13" i="5" s="1"/>
  <c r="CK29" i="4"/>
  <c r="CR9" i="5" s="1"/>
  <c r="CL47" i="4"/>
  <c r="DK15" i="5" s="1"/>
  <c r="CL23" i="4"/>
  <c r="CM7" i="5" s="1"/>
  <c r="CL35" i="4"/>
  <c r="CY11" i="5" s="1"/>
  <c r="CL29" i="4"/>
  <c r="CS9" i="5" s="1"/>
  <c r="CL41" i="4"/>
  <c r="DE13" i="5" s="1"/>
  <c r="CD47" i="4"/>
  <c r="DC15" i="5" s="1"/>
  <c r="CD41" i="4"/>
  <c r="CW13" i="5" s="1"/>
  <c r="CD29" i="4"/>
  <c r="CK9" i="5" s="1"/>
  <c r="CD35" i="4"/>
  <c r="CQ11" i="5" s="1"/>
  <c r="CD23" i="4"/>
  <c r="CE7" i="5" s="1"/>
  <c r="CR23" i="4"/>
  <c r="CS7" i="5" s="1"/>
  <c r="CR41" i="4"/>
  <c r="DK13" i="5" s="1"/>
  <c r="CR29" i="4"/>
  <c r="CY9" i="5" s="1"/>
  <c r="CR35" i="4"/>
  <c r="DE11" i="5" s="1"/>
  <c r="CR47" i="4"/>
  <c r="DQ15" i="5" s="1"/>
  <c r="CP41" i="4"/>
  <c r="DI13" i="5" s="1"/>
  <c r="CP29" i="4"/>
  <c r="CW9" i="5" s="1"/>
  <c r="CP47" i="4"/>
  <c r="DO15" i="5" s="1"/>
  <c r="CP35" i="4"/>
  <c r="DC11" i="5" s="1"/>
  <c r="CP23" i="4"/>
  <c r="CQ7" i="5" s="1"/>
  <c r="H78" i="14"/>
  <c r="H79" i="14" s="1"/>
  <c r="X63" i="14"/>
  <c r="CE47" i="4"/>
  <c r="DD15" i="5" s="1"/>
  <c r="CE41" i="4"/>
  <c r="CX13" i="5" s="1"/>
  <c r="CE29" i="4"/>
  <c r="CL9" i="5" s="1"/>
  <c r="CE35" i="4"/>
  <c r="CR11" i="5" s="1"/>
  <c r="CE23" i="4"/>
  <c r="CF7" i="5" s="1"/>
  <c r="DF41" i="4"/>
  <c r="DF29" i="4"/>
  <c r="DM9" i="5" s="1"/>
  <c r="DF35" i="4"/>
  <c r="DS11" i="5" s="1"/>
  <c r="DF23" i="4"/>
  <c r="DG7" i="5" s="1"/>
  <c r="DF47" i="4"/>
  <c r="BY47" i="4"/>
  <c r="CX15" i="5" s="1"/>
  <c r="BY35" i="4"/>
  <c r="CL11" i="5" s="1"/>
  <c r="BY23" i="4"/>
  <c r="BZ7" i="5" s="1"/>
  <c r="BZ17" i="5" s="1"/>
  <c r="BZ21" i="5" s="1"/>
  <c r="BY41" i="4"/>
  <c r="CR13" i="5" s="1"/>
  <c r="BY29" i="4"/>
  <c r="CF9" i="5" s="1"/>
  <c r="CA35" i="4"/>
  <c r="CN11" i="5" s="1"/>
  <c r="CA23" i="4"/>
  <c r="CB7" i="5" s="1"/>
  <c r="CB17" i="5" s="1"/>
  <c r="CB21" i="5" s="1"/>
  <c r="CA47" i="4"/>
  <c r="CZ15" i="5" s="1"/>
  <c r="CA29" i="4"/>
  <c r="CH9" i="5" s="1"/>
  <c r="CA41" i="4"/>
  <c r="CT13" i="5" s="1"/>
  <c r="D24" i="11"/>
  <c r="DF152" i="13"/>
  <c r="DF153" i="13" s="1"/>
  <c r="DJ47" i="4"/>
  <c r="DJ29" i="4"/>
  <c r="DQ9" i="5" s="1"/>
  <c r="DJ35" i="4"/>
  <c r="DJ23" i="4"/>
  <c r="DK7" i="5" s="1"/>
  <c r="DJ41" i="4"/>
  <c r="Q64" i="14"/>
  <c r="E48" i="14"/>
  <c r="H35" i="15"/>
  <c r="CZ23" i="4"/>
  <c r="DA7" i="5" s="1"/>
  <c r="CZ35" i="4"/>
  <c r="DM11" i="5" s="1"/>
  <c r="CZ47" i="4"/>
  <c r="CZ41" i="4"/>
  <c r="DS13" i="5" s="1"/>
  <c r="CZ29" i="4"/>
  <c r="DG9" i="5" s="1"/>
  <c r="CN35" i="4"/>
  <c r="DA11" i="5" s="1"/>
  <c r="CN23" i="4"/>
  <c r="CO7" i="5" s="1"/>
  <c r="CN41" i="4"/>
  <c r="DG13" i="5" s="1"/>
  <c r="CN29" i="4"/>
  <c r="CU9" i="5" s="1"/>
  <c r="CN47" i="4"/>
  <c r="DM15" i="5" s="1"/>
  <c r="CB35" i="4"/>
  <c r="CO11" i="5" s="1"/>
  <c r="CB23" i="4"/>
  <c r="CC7" i="5" s="1"/>
  <c r="CB47" i="4"/>
  <c r="DA15" i="5" s="1"/>
  <c r="CB41" i="4"/>
  <c r="CU13" i="5" s="1"/>
  <c r="CB29" i="4"/>
  <c r="CI9" i="5" s="1"/>
  <c r="DU44" i="8"/>
  <c r="D44" i="8" s="1"/>
  <c r="D43" i="8"/>
  <c r="DB152" i="13"/>
  <c r="DB153" i="13" s="1"/>
  <c r="CJ47" i="4"/>
  <c r="DI15" i="5" s="1"/>
  <c r="CJ35" i="4"/>
  <c r="CW11" i="5" s="1"/>
  <c r="CJ23" i="4"/>
  <c r="CK7" i="5" s="1"/>
  <c r="CJ41" i="4"/>
  <c r="DC13" i="5" s="1"/>
  <c r="CJ29" i="4"/>
  <c r="CQ9" i="5" s="1"/>
  <c r="CC47" i="4"/>
  <c r="DB15" i="5" s="1"/>
  <c r="CC35" i="4"/>
  <c r="CP11" i="5" s="1"/>
  <c r="CC23" i="4"/>
  <c r="CD7" i="5" s="1"/>
  <c r="CD17" i="5" s="1"/>
  <c r="CD21" i="5" s="1"/>
  <c r="CC41" i="4"/>
  <c r="CV13" i="5" s="1"/>
  <c r="CC29" i="4"/>
  <c r="CJ9" i="5" s="1"/>
  <c r="CK152" i="13"/>
  <c r="CK153" i="13" s="1"/>
  <c r="CI153" i="13"/>
  <c r="CE17" i="5" l="1"/>
  <c r="CE21" i="5" s="1"/>
  <c r="CK17" i="5"/>
  <c r="CK21" i="5" s="1"/>
  <c r="DS17" i="5"/>
  <c r="DS21" i="5" s="1"/>
  <c r="CM17" i="5"/>
  <c r="CM21" i="5" s="1"/>
  <c r="CJ17" i="5"/>
  <c r="CJ21" i="5" s="1"/>
  <c r="DI17" i="5"/>
  <c r="DI21" i="5" s="1"/>
  <c r="DD17" i="5"/>
  <c r="DD21" i="5" s="1"/>
  <c r="I35" i="15"/>
  <c r="I37" i="15"/>
  <c r="H38" i="15"/>
  <c r="D9" i="15" s="1"/>
  <c r="DC17" i="5"/>
  <c r="DC21" i="5" s="1"/>
  <c r="CX17" i="5"/>
  <c r="CX21" i="5" s="1"/>
  <c r="I47" i="14"/>
  <c r="J34" i="15"/>
  <c r="DM17" i="5"/>
  <c r="DM21" i="5" s="1"/>
  <c r="CV17" i="5"/>
  <c r="CV21" i="5" s="1"/>
  <c r="DT17" i="5"/>
  <c r="DU17" i="8"/>
  <c r="D17" i="8" s="1"/>
  <c r="D18" i="8"/>
  <c r="D15" i="8"/>
  <c r="DP17" i="5"/>
  <c r="DP21" i="5" s="1"/>
  <c r="D45" i="8"/>
  <c r="AN9" i="2"/>
  <c r="DT47" i="4"/>
  <c r="DT35" i="4"/>
  <c r="DT23" i="4"/>
  <c r="DT29" i="4"/>
  <c r="DT41" i="4"/>
  <c r="D31" i="8"/>
  <c r="I46" i="14"/>
  <c r="DH17" i="5"/>
  <c r="DH21" i="5" s="1"/>
  <c r="I20" i="15"/>
  <c r="CQ17" i="5"/>
  <c r="CQ21" i="5" s="1"/>
  <c r="CT17" i="5"/>
  <c r="CT21" i="5" s="1"/>
  <c r="I19" i="15"/>
  <c r="CY17" i="5"/>
  <c r="CY21" i="5" s="1"/>
  <c r="DJ17" i="5"/>
  <c r="DJ21" i="5" s="1"/>
  <c r="CR17" i="5"/>
  <c r="CR21" i="5" s="1"/>
  <c r="DG17" i="5"/>
  <c r="DG21" i="5" s="1"/>
  <c r="CZ17" i="5"/>
  <c r="CZ21" i="5" s="1"/>
  <c r="I34" i="15"/>
  <c r="DB17" i="5"/>
  <c r="DB21" i="5" s="1"/>
  <c r="DN17" i="5"/>
  <c r="DN21" i="5" s="1"/>
  <c r="BY21" i="5"/>
  <c r="CW17" i="5"/>
  <c r="CF17" i="5"/>
  <c r="CF21" i="5" s="1"/>
  <c r="I36" i="15"/>
  <c r="I21" i="15"/>
  <c r="BV154" i="13"/>
  <c r="BW154" i="13" s="1"/>
  <c r="BX154" i="13" s="1"/>
  <c r="BY154" i="13" s="1"/>
  <c r="BZ154" i="13" s="1"/>
  <c r="CA154" i="13" s="1"/>
  <c r="CB154" i="13" s="1"/>
  <c r="CC154" i="13" s="1"/>
  <c r="CD154" i="13" s="1"/>
  <c r="CE154" i="13" s="1"/>
  <c r="CF154" i="13" s="1"/>
  <c r="CG154" i="13" s="1"/>
  <c r="CH154" i="13" s="1"/>
  <c r="CI154" i="13" s="1"/>
  <c r="CJ154" i="13" s="1"/>
  <c r="CK154" i="13" s="1"/>
  <c r="CL154" i="13" s="1"/>
  <c r="CM154" i="13" s="1"/>
  <c r="CN154" i="13" s="1"/>
  <c r="CO154" i="13" s="1"/>
  <c r="CP154" i="13" s="1"/>
  <c r="CQ154" i="13" s="1"/>
  <c r="CR154" i="13" s="1"/>
  <c r="CS154" i="13" s="1"/>
  <c r="CT154" i="13" s="1"/>
  <c r="CU154" i="13" s="1"/>
  <c r="CV154" i="13" s="1"/>
  <c r="CW154" i="13" s="1"/>
  <c r="CX154" i="13" s="1"/>
  <c r="CY154" i="13" s="1"/>
  <c r="CZ154" i="13" s="1"/>
  <c r="DA154" i="13" s="1"/>
  <c r="DB154" i="13" s="1"/>
  <c r="DC154" i="13" s="1"/>
  <c r="DD154" i="13" s="1"/>
  <c r="DE154" i="13" s="1"/>
  <c r="DF154" i="13" s="1"/>
  <c r="DG154" i="13" s="1"/>
  <c r="DH154" i="13" s="1"/>
  <c r="DI154" i="13" s="1"/>
  <c r="DJ154" i="13" s="1"/>
  <c r="DK154" i="13" s="1"/>
  <c r="DL154" i="13" s="1"/>
  <c r="DM154" i="13" s="1"/>
  <c r="DN154" i="13" s="1"/>
  <c r="DO154" i="13" s="1"/>
  <c r="DP154" i="13" s="1"/>
  <c r="DQ154" i="13" s="1"/>
  <c r="DR154" i="13" s="1"/>
  <c r="CN17" i="5"/>
  <c r="CN21" i="5" s="1"/>
  <c r="DE17" i="5"/>
  <c r="DE21" i="5" s="1"/>
  <c r="J35" i="15"/>
  <c r="BW32" i="8"/>
  <c r="BX32" i="8" s="1"/>
  <c r="BY32" i="8" s="1"/>
  <c r="BZ32" i="8" s="1"/>
  <c r="CA32" i="8" s="1"/>
  <c r="CB32" i="8" s="1"/>
  <c r="CC32" i="8" s="1"/>
  <c r="CD32" i="8" s="1"/>
  <c r="CE32" i="8" s="1"/>
  <c r="CF32" i="8" s="1"/>
  <c r="CG32" i="8" s="1"/>
  <c r="CH32" i="8" s="1"/>
  <c r="CI32" i="8" s="1"/>
  <c r="CJ32" i="8" s="1"/>
  <c r="CK32" i="8" s="1"/>
  <c r="CL32" i="8" s="1"/>
  <c r="CM32" i="8" s="1"/>
  <c r="CN32" i="8" s="1"/>
  <c r="CO32" i="8" s="1"/>
  <c r="CP32" i="8" s="1"/>
  <c r="CQ32" i="8" s="1"/>
  <c r="CR32" i="8" s="1"/>
  <c r="CS32" i="8" s="1"/>
  <c r="CT32" i="8" s="1"/>
  <c r="CU32" i="8" s="1"/>
  <c r="CV32" i="8" s="1"/>
  <c r="CW32" i="8" s="1"/>
  <c r="CX32" i="8" s="1"/>
  <c r="CY32" i="8" s="1"/>
  <c r="CZ32" i="8" s="1"/>
  <c r="DA32" i="8" s="1"/>
  <c r="DB32" i="8" s="1"/>
  <c r="DC32" i="8" s="1"/>
  <c r="DD32" i="8" s="1"/>
  <c r="DE32" i="8" s="1"/>
  <c r="DF32" i="8" s="1"/>
  <c r="DG32" i="8" s="1"/>
  <c r="DH32" i="8" s="1"/>
  <c r="DI32" i="8" s="1"/>
  <c r="DJ32" i="8" s="1"/>
  <c r="DK32" i="8" s="1"/>
  <c r="DL32" i="8" s="1"/>
  <c r="DM32" i="8" s="1"/>
  <c r="DN32" i="8" s="1"/>
  <c r="DO32" i="8" s="1"/>
  <c r="DP32" i="8" s="1"/>
  <c r="DQ32" i="8" s="1"/>
  <c r="DR32" i="8" s="1"/>
  <c r="DS32" i="8" s="1"/>
  <c r="DT32" i="8" s="1"/>
  <c r="DU32" i="8" s="1"/>
  <c r="D32" i="8" s="1"/>
  <c r="BV41" i="4"/>
  <c r="CO13" i="5" s="1"/>
  <c r="CO17" i="5" s="1"/>
  <c r="CO21" i="5" s="1"/>
  <c r="BV29" i="4"/>
  <c r="CC9" i="5" s="1"/>
  <c r="D9" i="5" s="1"/>
  <c r="BV35" i="4"/>
  <c r="CI11" i="5" s="1"/>
  <c r="D11" i="5" s="1"/>
  <c r="BV23" i="4"/>
  <c r="BW7" i="5" s="1"/>
  <c r="BW17" i="5" s="1"/>
  <c r="BV47" i="4"/>
  <c r="CU15" i="5" s="1"/>
  <c r="D15" i="5" s="1"/>
  <c r="DR17" i="5"/>
  <c r="DR21" i="5" s="1"/>
  <c r="DK17" i="5"/>
  <c r="DK21" i="5" s="1"/>
  <c r="K33" i="15"/>
  <c r="J37" i="15"/>
  <c r="I22" i="15"/>
  <c r="DF17" i="5"/>
  <c r="DF21" i="5" s="1"/>
  <c r="CP17" i="5"/>
  <c r="CP21" i="5" s="1"/>
  <c r="J36" i="15"/>
  <c r="DL17" i="5"/>
  <c r="DL21" i="5" s="1"/>
  <c r="DO17" i="5"/>
  <c r="DO21" i="5" s="1"/>
  <c r="Q23" i="15"/>
  <c r="G7" i="15"/>
  <c r="H7" i="15"/>
  <c r="X64" i="14"/>
  <c r="G47" i="14" s="1"/>
  <c r="Y63" i="14"/>
  <c r="CS17" i="5"/>
  <c r="CS21" i="5" s="1"/>
  <c r="DQ17" i="5"/>
  <c r="DQ21" i="5" s="1"/>
  <c r="DA17" i="5"/>
  <c r="DA21" i="5" s="1"/>
  <c r="CL17" i="5"/>
  <c r="CL21" i="5" s="1"/>
  <c r="CH17" i="5"/>
  <c r="CH21" i="5" s="1"/>
  <c r="I49" i="14" l="1"/>
  <c r="D19" i="8"/>
  <c r="I48" i="14"/>
  <c r="J38" i="15"/>
  <c r="F9" i="15" s="1"/>
  <c r="I23" i="15"/>
  <c r="E6" i="15" s="1"/>
  <c r="I38" i="15"/>
  <c r="E9" i="15" s="1"/>
  <c r="K34" i="15"/>
  <c r="K35" i="15" s="1"/>
  <c r="K36" i="15" s="1"/>
  <c r="K37" i="15" s="1"/>
  <c r="K38" i="15" s="1"/>
  <c r="CU17" i="5"/>
  <c r="CU21" i="5" s="1"/>
  <c r="D35" i="15" s="1"/>
  <c r="CW21" i="5"/>
  <c r="H21" i="15"/>
  <c r="B36" i="15"/>
  <c r="CI17" i="5"/>
  <c r="CI21" i="5" s="1"/>
  <c r="C41" i="4"/>
  <c r="C29" i="4"/>
  <c r="DT21" i="5"/>
  <c r="J22" i="15" s="1"/>
  <c r="D13" i="5"/>
  <c r="C35" i="4"/>
  <c r="BW21" i="5"/>
  <c r="B33" i="15"/>
  <c r="H18" i="15"/>
  <c r="CC17" i="5"/>
  <c r="Y64" i="14"/>
  <c r="G48" i="14"/>
  <c r="C23" i="4"/>
  <c r="DU7" i="5"/>
  <c r="B37" i="15"/>
  <c r="H22" i="15"/>
  <c r="C47" i="4"/>
  <c r="H9" i="15" l="1"/>
  <c r="B35" i="15"/>
  <c r="G9" i="15"/>
  <c r="BW23" i="5"/>
  <c r="BX23" i="5" s="1"/>
  <c r="BY23" i="5" s="1"/>
  <c r="BZ23" i="5" s="1"/>
  <c r="CA23" i="5" s="1"/>
  <c r="CB23" i="5" s="1"/>
  <c r="D33" i="15"/>
  <c r="E33" i="15" s="1"/>
  <c r="J18" i="15"/>
  <c r="J20" i="15"/>
  <c r="D37" i="15"/>
  <c r="J21" i="15"/>
  <c r="D36" i="15"/>
  <c r="CC21" i="5"/>
  <c r="H47" i="14" s="1"/>
  <c r="H19" i="15"/>
  <c r="B34" i="15"/>
  <c r="H20" i="15"/>
  <c r="H45" i="14"/>
  <c r="DU17" i="5"/>
  <c r="D7" i="5"/>
  <c r="B38" i="15" l="1"/>
  <c r="D8" i="15" s="1"/>
  <c r="H23" i="15"/>
  <c r="D6" i="15" s="1"/>
  <c r="CC23" i="5"/>
  <c r="CD23" i="5" s="1"/>
  <c r="CE23" i="5" s="1"/>
  <c r="CF23" i="5" s="1"/>
  <c r="CG23" i="5" s="1"/>
  <c r="CH23" i="5" s="1"/>
  <c r="CI23" i="5" s="1"/>
  <c r="CJ23" i="5" s="1"/>
  <c r="CK23" i="5" s="1"/>
  <c r="CL23" i="5" s="1"/>
  <c r="CM23" i="5" s="1"/>
  <c r="CN23" i="5" s="1"/>
  <c r="CO23" i="5" s="1"/>
  <c r="CP23" i="5" s="1"/>
  <c r="CQ23" i="5" s="1"/>
  <c r="CR23" i="5" s="1"/>
  <c r="CS23" i="5" s="1"/>
  <c r="CT23" i="5" s="1"/>
  <c r="CU23" i="5" s="1"/>
  <c r="CV23" i="5" s="1"/>
  <c r="CW23" i="5" s="1"/>
  <c r="CX23" i="5" s="1"/>
  <c r="CY23" i="5" s="1"/>
  <c r="CZ23" i="5" s="1"/>
  <c r="DA23" i="5" s="1"/>
  <c r="DB23" i="5" s="1"/>
  <c r="DC23" i="5" s="1"/>
  <c r="DD23" i="5" s="1"/>
  <c r="DE23" i="5" s="1"/>
  <c r="DF23" i="5" s="1"/>
  <c r="DG23" i="5" s="1"/>
  <c r="DH23" i="5" s="1"/>
  <c r="DI23" i="5" s="1"/>
  <c r="DJ23" i="5" s="1"/>
  <c r="DK23" i="5" s="1"/>
  <c r="DL23" i="5" s="1"/>
  <c r="DM23" i="5" s="1"/>
  <c r="DN23" i="5" s="1"/>
  <c r="DO23" i="5" s="1"/>
  <c r="DP23" i="5" s="1"/>
  <c r="DQ23" i="5" s="1"/>
  <c r="DR23" i="5" s="1"/>
  <c r="DS23" i="5" s="1"/>
  <c r="DT23" i="5" s="1"/>
  <c r="H48" i="14" s="1"/>
  <c r="D34" i="15"/>
  <c r="D38" i="15" s="1"/>
  <c r="F8" i="15" s="1"/>
  <c r="J19" i="15"/>
  <c r="J23" i="15" s="1"/>
  <c r="F6" i="15" s="1"/>
  <c r="DU21" i="5"/>
  <c r="D17" i="5"/>
  <c r="G7" i="2" s="1"/>
  <c r="K18" i="15"/>
  <c r="E34" i="15" l="1"/>
  <c r="E35" i="15" s="1"/>
  <c r="E36" i="15" s="1"/>
  <c r="E37" i="15" s="1"/>
  <c r="E38" i="15" s="1"/>
  <c r="DU23" i="5"/>
  <c r="D21" i="5"/>
  <c r="I7" i="2" s="1"/>
  <c r="K19" i="15"/>
  <c r="K20" i="15" s="1"/>
  <c r="K21" i="15" s="1"/>
  <c r="K22" i="15" s="1"/>
  <c r="K23" i="15" s="1"/>
  <c r="H6" i="15" l="1"/>
  <c r="H8" i="15"/>
  <c r="G8" i="15"/>
  <c r="G6" i="15"/>
</calcChain>
</file>

<file path=xl/sharedStrings.xml><?xml version="1.0" encoding="utf-8"?>
<sst xmlns="http://schemas.openxmlformats.org/spreadsheetml/2006/main" count="888" uniqueCount="656">
  <si>
    <t>EP PROJECT</t>
  </si>
  <si>
    <t>Platform Model</t>
  </si>
  <si>
    <t>Version 1</t>
  </si>
  <si>
    <t>Author</t>
  </si>
  <si>
    <t>Tom</t>
  </si>
  <si>
    <t>Production Date</t>
  </si>
  <si>
    <t>Lets go back to the future and create lives people can afford to live</t>
  </si>
  <si>
    <t>Your future is whatever you make it. So make it a good one.</t>
  </si>
  <si>
    <t>-Doc Brown - Back to the Future Part III</t>
  </si>
  <si>
    <t>A capital-light coordination platform for building intentional communities</t>
  </si>
  <si>
    <t>THE COMMONS DASHBOARD</t>
  </si>
  <si>
    <t>The Commons Key Metrics (Portfolio View)</t>
  </si>
  <si>
    <t>Risk-Adjusted Investor Returns</t>
  </si>
  <si>
    <t>Single Project Key Metrics</t>
  </si>
  <si>
    <t>Day 1 Yield</t>
  </si>
  <si>
    <t>Number of Projects</t>
  </si>
  <si>
    <t>Successful Entitlements</t>
  </si>
  <si>
    <t>10 Year Platform Revenue</t>
  </si>
  <si>
    <t>10 Year EBITDA</t>
  </si>
  <si>
    <t>Number of Units</t>
  </si>
  <si>
    <t>Total Development Cost</t>
  </si>
  <si>
    <t>Gross Development Value</t>
  </si>
  <si>
    <t>Profit on Cost</t>
  </si>
  <si>
    <t>Stabilized Yield</t>
  </si>
  <si>
    <t>Entitlement Investor IRR</t>
  </si>
  <si>
    <t>Development Investor IRR</t>
  </si>
  <si>
    <t>Day 1 Landowner Economics</t>
  </si>
  <si>
    <t>Sale Assumptions</t>
  </si>
  <si>
    <t>Day 1 Land Value</t>
  </si>
  <si>
    <t>Farming Yield</t>
  </si>
  <si>
    <t>Farming Income</t>
  </si>
  <si>
    <t>Farming Risk</t>
  </si>
  <si>
    <t>Sale Period</t>
  </si>
  <si>
    <t>Velocity Units / Month</t>
  </si>
  <si>
    <t>Deposit Assumed</t>
  </si>
  <si>
    <t>Paid On Completion</t>
  </si>
  <si>
    <t>Land Stewardship Fee
(Landowner)</t>
  </si>
  <si>
    <t>High</t>
  </si>
  <si>
    <t>Operations Fee 
(Commons)</t>
  </si>
  <si>
    <t>Service Charges 
(Community)</t>
  </si>
  <si>
    <t>Very poor day 1 economics with high farming risks and potential for negative yields</t>
  </si>
  <si>
    <t>Total Fees</t>
  </si>
  <si>
    <t>Stabilized Landowner Economics (The Commons Targets)</t>
  </si>
  <si>
    <t>Total Annual Fees Paid By End Residents</t>
  </si>
  <si>
    <t>KEY MODEL EXCLUSIONS TO NOTE</t>
  </si>
  <si>
    <t>Target Yield</t>
  </si>
  <si>
    <t>Stewardship Income</t>
  </si>
  <si>
    <t>Operational Risk</t>
  </si>
  <si>
    <t xml:space="preserve">It is important to note that this is a v1 model that makes several key exclusions in the spriit of simplicity. Additional functionality can be added in at a later stage as required. </t>
  </si>
  <si>
    <t>Low</t>
  </si>
  <si>
    <t>External Debt Financing</t>
  </si>
  <si>
    <t>Growth and Inflation</t>
  </si>
  <si>
    <t>Development Phasing</t>
  </si>
  <si>
    <t>Detailed Development Budgets</t>
  </si>
  <si>
    <t>Taxes</t>
  </si>
  <si>
    <t>Developer Incentives 
(e.g. Carried Interest)</t>
  </si>
  <si>
    <t>The Commons is a capital-light coordination platform that aligns landowners, entitlement capital, developers, and residents through repeatable project structures.</t>
  </si>
  <si>
    <t xml:space="preserve">Description </t>
  </si>
  <si>
    <t xml:space="preserve">This section rolls up multiple Commons projects into a single platform-level cash flow. Some projects succeed, some fail — that’s the point. By toggling entitlement outcomes on and off, we can see how The Commons performs as a portfolio rather than a one-off development bet. Central overhead is included to reflect the reality of running the platform. </t>
  </si>
  <si>
    <t>PLATFORM ASSUMPTIONS</t>
  </si>
  <si>
    <t>Project Number</t>
  </si>
  <si>
    <t>Months Lag</t>
  </si>
  <si>
    <t>Start Date</t>
  </si>
  <si>
    <t>Entitlement Success</t>
  </si>
  <si>
    <t>Central Overhead Costs</t>
  </si>
  <si>
    <t>Yes</t>
  </si>
  <si>
    <t>Costs / Year</t>
  </si>
  <si>
    <t>No</t>
  </si>
  <si>
    <t>Costs / Month</t>
  </si>
  <si>
    <t>PROJECT STAGGERED CASH FLOWS</t>
  </si>
  <si>
    <t>Project Cash Flows</t>
  </si>
  <si>
    <t>Project 1</t>
  </si>
  <si>
    <t>Total</t>
  </si>
  <si>
    <t>Cash Flow</t>
  </si>
  <si>
    <t>Project 2</t>
  </si>
  <si>
    <t>Project 3</t>
  </si>
  <si>
    <t>Project 4</t>
  </si>
  <si>
    <t>Project 5</t>
  </si>
  <si>
    <t>Project 6</t>
  </si>
  <si>
    <t>Project 7</t>
  </si>
  <si>
    <t>Project 8</t>
  </si>
  <si>
    <t>Project 9</t>
  </si>
  <si>
    <t>Project 10</t>
  </si>
  <si>
    <t>Year</t>
  </si>
  <si>
    <t>The Commons Platform Cash Flow</t>
  </si>
  <si>
    <t>Project Level Cash Flows</t>
  </si>
  <si>
    <t>Total Project Level Cash Flows</t>
  </si>
  <si>
    <t>Net Cash Flows</t>
  </si>
  <si>
    <t>This model sets out the economics for a single “Commons” project and illustrates how a multi-stakeholder development can be structured without The Commons owning land or funding construction. The project follows a four-stage process designed to align landowners, entitlement capital, developers and future residents.</t>
  </si>
  <si>
    <t>1 - Option Phase: The Commons enters into an option agreement with a farmer, allowing the land to remain in agricultural use while the project is explored. The farmer continues to earn farming income during this period. The Commons’ role is to articulate the vision, align incentives, and secure an Entitlement Investor to take the project forward.</t>
  </si>
  <si>
    <t>2 - Entitlement Phase: The Entitlement Investor funds and manages the planning and entitlement process. Importantly, they do not acquire the land upfront and do not pay a traditional option fee. Instead, their economic upside is back-ended and capped, realised through the uplift in land value once entitlements are secured. This limits capital at risk while preserving strong returns if successful.</t>
  </si>
  <si>
    <t>3 - Development Phase: Following successful entitlement, a developer steps in and pays out the Entitlement Investor. The residual uplift in land value (net of this payment) is contributed as equity by the landowner and The Commons. The developer funds construction, sells the homes, and earns a development return. The Commons and the landowner receive capital formation and delivery fees to ensure alignment and oversight during build-out.</t>
  </si>
  <si>
    <t>4 - Operations Phase: Once occupied, residents pay three transparent, ongoing charges:
(i) a stewardship fee to The Commons,
(ii) service charges covering shared operating costs, and
(iii) a land payment to the landowner.
These payments support long-term community management and provide the landowner with a stable, inflation-linked income that materially exceeds traditional agricultural yields.</t>
  </si>
  <si>
    <t>TIMING ASSUMPTIONS</t>
  </si>
  <si>
    <t>Model Timing</t>
  </si>
  <si>
    <t>Key</t>
  </si>
  <si>
    <t>Model Start Date</t>
  </si>
  <si>
    <t>INPUTS</t>
  </si>
  <si>
    <t>Exit Date</t>
  </si>
  <si>
    <t>OUTPUTS</t>
  </si>
  <si>
    <t>Hold Period (years)</t>
  </si>
  <si>
    <t>Land Option</t>
  </si>
  <si>
    <t>Entitlement Phase</t>
  </si>
  <si>
    <t>Development Phase</t>
  </si>
  <si>
    <t>Residential Sales</t>
  </si>
  <si>
    <t>Operational Phase</t>
  </si>
  <si>
    <t>Option Date</t>
  </si>
  <si>
    <t>Entitement Investor Step In Date</t>
  </si>
  <si>
    <t>Developer Step In Date</t>
  </si>
  <si>
    <t>Months to Sales Start (from const. start)</t>
  </si>
  <si>
    <t>Operational Start Date</t>
  </si>
  <si>
    <t>Option Duration (months)</t>
  </si>
  <si>
    <t>Entltlement Period</t>
  </si>
  <si>
    <t>Months to Development Start</t>
  </si>
  <si>
    <t>Sales Start Date</t>
  </si>
  <si>
    <t>Hold Period</t>
  </si>
  <si>
    <t>Option Expiration Date</t>
  </si>
  <si>
    <t>Entitlements Obtained</t>
  </si>
  <si>
    <t>Development Start Date</t>
  </si>
  <si>
    <t>Sell Out Months</t>
  </si>
  <si>
    <t>Months to Engage Entitlement Investor</t>
  </si>
  <si>
    <t>Months to Engage Developer</t>
  </si>
  <si>
    <t>Development Period</t>
  </si>
  <si>
    <t>Sales End Date</t>
  </si>
  <si>
    <t>Entitlement Investor Step In Date</t>
  </si>
  <si>
    <t>Developer Step In / Entitlement Exit</t>
  </si>
  <si>
    <t>Development Completion Date</t>
  </si>
  <si>
    <t>Sales Velocity (units / month)</t>
  </si>
  <si>
    <t>PROJECT AND COST ASSUMPTIONS</t>
  </si>
  <si>
    <t>Residential Units and Areas</t>
  </si>
  <si>
    <t>Entitlement Costs</t>
  </si>
  <si>
    <t>Developer Costs</t>
  </si>
  <si>
    <t>Ownership Split at Development</t>
  </si>
  <si>
    <t>Land Area (acres)</t>
  </si>
  <si>
    <t>Entitlment Costs / Unit</t>
  </si>
  <si>
    <t>Land Entry Value</t>
  </si>
  <si>
    <t>Land (Farmer)</t>
  </si>
  <si>
    <t>Total Entitlement Costs</t>
  </si>
  <si>
    <t>Acquisition Costs %</t>
  </si>
  <si>
    <t>Land (The Commons)</t>
  </si>
  <si>
    <t>Average Unit Size sq ft</t>
  </si>
  <si>
    <t>Acquisition Costs</t>
  </si>
  <si>
    <t>Construction (Developer)</t>
  </si>
  <si>
    <t>Total Residential Area sq ft</t>
  </si>
  <si>
    <t>Infrastructure / Unit</t>
  </si>
  <si>
    <t>Total Ownership</t>
  </si>
  <si>
    <t>Hard Costs / Unit</t>
  </si>
  <si>
    <t>Amenities</t>
  </si>
  <si>
    <t>Soft Costs %</t>
  </si>
  <si>
    <t>Amenity Area sq ft</t>
  </si>
  <si>
    <t>Soft Costs</t>
  </si>
  <si>
    <t>Sales Costs</t>
  </si>
  <si>
    <t>Contingency %</t>
  </si>
  <si>
    <t>Marketing % of GDV</t>
  </si>
  <si>
    <t>The Commons Controlled / Management</t>
  </si>
  <si>
    <t xml:space="preserve">Contingency  </t>
  </si>
  <si>
    <t>Marketing Costs</t>
  </si>
  <si>
    <t>Total Area sq ft</t>
  </si>
  <si>
    <t>Total Costs Per Unit</t>
  </si>
  <si>
    <t>Agents Fees % of GDV</t>
  </si>
  <si>
    <t>Total Development Costs</t>
  </si>
  <si>
    <t>Agents Fees</t>
  </si>
  <si>
    <t xml:space="preserve">All-In Cost Basis </t>
  </si>
  <si>
    <t>All-In Costs Basis / Unit</t>
  </si>
  <si>
    <t>PRIICNG AND OPERATING ASSUMPTIONS</t>
  </si>
  <si>
    <t>Entitled Land Value</t>
  </si>
  <si>
    <t>Residential Sales Prices</t>
  </si>
  <si>
    <t>Average Sale Price / Unit</t>
  </si>
  <si>
    <t>Day 1 Value / Acre</t>
  </si>
  <si>
    <t>Entitled Land Value / Acre</t>
  </si>
  <si>
    <t>Total Reidential Sales</t>
  </si>
  <si>
    <t>Sale Price / sq ft</t>
  </si>
  <si>
    <t>Entitlement Investor Equity Multiple</t>
  </si>
  <si>
    <t>Entitlement Investor Implied Exit Value</t>
  </si>
  <si>
    <t>Deposit %</t>
  </si>
  <si>
    <t>Deposit / Unit</t>
  </si>
  <si>
    <t>FEE ASSUMPTIONS AND ECONOMICS</t>
  </si>
  <si>
    <t>Farmer Economics</t>
  </si>
  <si>
    <t>The Commons Fees - Options and Entitlement</t>
  </si>
  <si>
    <t>The Commons Fees - Development</t>
  </si>
  <si>
    <t>The Commons Fees - Operational</t>
  </si>
  <si>
    <t>Service Charges</t>
  </si>
  <si>
    <t>Option Stage Fees</t>
  </si>
  <si>
    <t>Development Stage Fees</t>
  </si>
  <si>
    <t>Operational Stage Fees</t>
  </si>
  <si>
    <t>Operational Stage Service Charges</t>
  </si>
  <si>
    <t>Crop Yield</t>
  </si>
  <si>
    <t>Land Access / Structuring Fee</t>
  </si>
  <si>
    <t>Capital Formation (% GDV)</t>
  </si>
  <si>
    <t>Operating Fee (per unit per month)</t>
  </si>
  <si>
    <t>Service Charges (per unit per month)</t>
  </si>
  <si>
    <t>Crop Yield Income</t>
  </si>
  <si>
    <t>Date Paid</t>
  </si>
  <si>
    <t>Capital Formation Fee</t>
  </si>
  <si>
    <t>Operating Fee (per unit per year)</t>
  </si>
  <si>
    <t>Service Charges (per unit per year)</t>
  </si>
  <si>
    <t>Target Yield At Stabilizaton</t>
  </si>
  <si>
    <t>Costs to Secure Entitlement Investor</t>
  </si>
  <si>
    <t>Operating Fee per month</t>
  </si>
  <si>
    <t>Service Charges per month</t>
  </si>
  <si>
    <t>Target income At Stabilization</t>
  </si>
  <si>
    <t>Cost Start Date</t>
  </si>
  <si>
    <t>The Commons Share</t>
  </si>
  <si>
    <t>Operating Fee per year</t>
  </si>
  <si>
    <t>Service Charges Per year</t>
  </si>
  <si>
    <t xml:space="preserve">Per Unit / Year </t>
  </si>
  <si>
    <t>Cost End Date</t>
  </si>
  <si>
    <t>Landowner Share</t>
  </si>
  <si>
    <t>Fee Pay Start</t>
  </si>
  <si>
    <t>Per Unit /  Month</t>
  </si>
  <si>
    <t>Months</t>
  </si>
  <si>
    <t>Fee Pay End</t>
  </si>
  <si>
    <t>vs Crop Yield</t>
  </si>
  <si>
    <t>Delivery Fee (% of dev costs)</t>
  </si>
  <si>
    <t>Entitlement Stage Fees</t>
  </si>
  <si>
    <t xml:space="preserve">Delivery Fee  </t>
  </si>
  <si>
    <t>EBITDA Margin Assumed</t>
  </si>
  <si>
    <t>Entitlement Fee (% of entitled land value)</t>
  </si>
  <si>
    <t xml:space="preserve">EBITDA  </t>
  </si>
  <si>
    <t>Entitlement Fee Total</t>
  </si>
  <si>
    <t>Implied Operating Costs</t>
  </si>
  <si>
    <t>Success Fee (% of entitled land value)</t>
  </si>
  <si>
    <t>Success Fee Total</t>
  </si>
  <si>
    <t>Rolled Up Cash Flows Per Stakeholder</t>
  </si>
  <si>
    <t>Landowner Cash Flows</t>
  </si>
  <si>
    <t>Option Phase - Farming Yield</t>
  </si>
  <si>
    <t>Option Phase - Option Payment</t>
  </si>
  <si>
    <t>Entitlement Phase - Farming Yield</t>
  </si>
  <si>
    <t>Development Phase - Capital Formation Fees</t>
  </si>
  <si>
    <t>Development Phase - Delivery Fees</t>
  </si>
  <si>
    <t>Development Phase - Equity Participation</t>
  </si>
  <si>
    <t>Operational Phase - Stewardship Fees</t>
  </si>
  <si>
    <t>Total Landowner Cash Flows</t>
  </si>
  <si>
    <t>Annualized Yield on Day 1 Land Value</t>
  </si>
  <si>
    <t>Peak Equity</t>
  </si>
  <si>
    <t>IRR</t>
  </si>
  <si>
    <t>Equity Multiple</t>
  </si>
  <si>
    <t>The Commons Cash Flows</t>
  </si>
  <si>
    <t xml:space="preserve">Option Phase - Option Payment </t>
  </si>
  <si>
    <t>Option Phase - Costs to Secure Entitlement Investor</t>
  </si>
  <si>
    <t>Entitlement Phase - Entitlement Fee</t>
  </si>
  <si>
    <t>Entitlement Phase - Entitlement Success Fee</t>
  </si>
  <si>
    <t>Development Phase - Capital Formation Fee</t>
  </si>
  <si>
    <t>Development Phase - Delivery Fee</t>
  </si>
  <si>
    <t>Operational Phase - Operations Fees</t>
  </si>
  <si>
    <t>Operational Phase - Operations Costs</t>
  </si>
  <si>
    <t>c</t>
  </si>
  <si>
    <t>na</t>
  </si>
  <si>
    <t>Entitlement Investor Cash Flow</t>
  </si>
  <si>
    <t>Entitlement Investor Net Cash Flow</t>
  </si>
  <si>
    <t>Development Investor Cash Flow</t>
  </si>
  <si>
    <t>Developer Net Cash Flow</t>
  </si>
  <si>
    <t>The Commons - Abortive Project Cash Flow</t>
  </si>
  <si>
    <t>Option Phase Cash Flow</t>
  </si>
  <si>
    <t>Landonwer</t>
  </si>
  <si>
    <t>Landower (Farming Land)</t>
  </si>
  <si>
    <t>Option Payment (The Commons)</t>
  </si>
  <si>
    <t>Landowner Net Cash Flow</t>
  </si>
  <si>
    <t>The Commons</t>
  </si>
  <si>
    <t>The Commons Net Cash Flow</t>
  </si>
  <si>
    <t>Flag</t>
  </si>
  <si>
    <t>Entitlement Phase Cash Flow</t>
  </si>
  <si>
    <t>Entitlement Fees (The Commons)</t>
  </si>
  <si>
    <t>Entitlement Success Fee (The Commons)</t>
  </si>
  <si>
    <t>Sale Value</t>
  </si>
  <si>
    <t>Sale Costs</t>
  </si>
  <si>
    <t>The Commons Fees Total</t>
  </si>
  <si>
    <t>Landowner (Farming Land)</t>
  </si>
  <si>
    <t>Yield on Original Land Value (annualized)</t>
  </si>
  <si>
    <t>Development Phase Cash Flow</t>
  </si>
  <si>
    <t>Units Sold Opening Balance</t>
  </si>
  <si>
    <t xml:space="preserve">Unit Sales </t>
  </si>
  <si>
    <t>Unit Closings</t>
  </si>
  <si>
    <t>Units Sold Closing Balance</t>
  </si>
  <si>
    <t>Residential Sales - Deposit Payments</t>
  </si>
  <si>
    <t>Residential Sales - Closing Payments</t>
  </si>
  <si>
    <t>Residential Sales - Total</t>
  </si>
  <si>
    <t xml:space="preserve">Land Acquisiton </t>
  </si>
  <si>
    <t>Development Costs</t>
  </si>
  <si>
    <t>Capital Formation (The Commons)</t>
  </si>
  <si>
    <t>Delivery Fee (The Commons)</t>
  </si>
  <si>
    <t>Project Unlevered Cash Flow</t>
  </si>
  <si>
    <t>Developer Cash Flow</t>
  </si>
  <si>
    <t>Equity Participation</t>
  </si>
  <si>
    <t>Capital Formation Fees</t>
  </si>
  <si>
    <t>Delivery Fees</t>
  </si>
  <si>
    <t>Total Fees and Equity</t>
  </si>
  <si>
    <t>Operational Phase CF</t>
  </si>
  <si>
    <t>Cumulative Operating Units</t>
  </si>
  <si>
    <t>Operating Fees (The Commons)</t>
  </si>
  <si>
    <t>Landowner Payments (Landowner)</t>
  </si>
  <si>
    <t>Service Charge Income</t>
  </si>
  <si>
    <t>Total Fees Paid By Residents</t>
  </si>
  <si>
    <t>Per Operating Unit</t>
  </si>
  <si>
    <t xml:space="preserve">The Commons </t>
  </si>
  <si>
    <t>Operating Costs</t>
  </si>
  <si>
    <t>The Commons EBITDA</t>
  </si>
  <si>
    <t>Margin</t>
  </si>
  <si>
    <t>Community</t>
  </si>
  <si>
    <t>Service Charge Costs</t>
  </si>
  <si>
    <t>Landowner Stewardship Payment</t>
  </si>
  <si>
    <t>Calc helper (hidden) — do not edit</t>
  </si>
  <si>
    <t>Global dates (first 120 months)</t>
  </si>
  <si>
    <t>(links to Development Phase timeline)</t>
  </si>
  <si>
    <t>Month #</t>
  </si>
  <si>
    <t>Base Developer CF (single project)</t>
  </si>
  <si>
    <t>Base Sales Revenue (gross)</t>
  </si>
  <si>
    <t>Base Closing Payments (cash at close)</t>
  </si>
  <si>
    <t>Project</t>
  </si>
  <si>
    <t>Entitlement?</t>
  </si>
  <si>
    <t>(from Platform Assumptions)</t>
  </si>
  <si>
    <t>P1 DevCF</t>
  </si>
  <si>
    <t>P1 Sales</t>
  </si>
  <si>
    <t>P1 ClosingPay</t>
  </si>
  <si>
    <t>P2 DevCF</t>
  </si>
  <si>
    <t>P2 Sales</t>
  </si>
  <si>
    <t>P2 ClosingPay</t>
  </si>
  <si>
    <t>P3 DevCF</t>
  </si>
  <si>
    <t>P3 Sales</t>
  </si>
  <si>
    <t>P3 ClosingPay</t>
  </si>
  <si>
    <t>P4 DevCF</t>
  </si>
  <si>
    <t>P4 Sales</t>
  </si>
  <si>
    <t>P4 ClosingPay</t>
  </si>
  <si>
    <t>P5 DevCF</t>
  </si>
  <si>
    <t>P5 Sales</t>
  </si>
  <si>
    <t>P5 ClosingPay</t>
  </si>
  <si>
    <t>P6 DevCF</t>
  </si>
  <si>
    <t>P6 Sales</t>
  </si>
  <si>
    <t>P6 ClosingPay</t>
  </si>
  <si>
    <t>P7 DevCF</t>
  </si>
  <si>
    <t>P7 Sales</t>
  </si>
  <si>
    <t>P7 ClosingPay</t>
  </si>
  <si>
    <t>P8 DevCF</t>
  </si>
  <si>
    <t>P8 Sales</t>
  </si>
  <si>
    <t>P8 ClosingPay</t>
  </si>
  <si>
    <t>P9 DevCF</t>
  </si>
  <si>
    <t>P9 Sales</t>
  </si>
  <si>
    <t>P9 ClosingPay</t>
  </si>
  <si>
    <t>P10 DevCF</t>
  </si>
  <si>
    <t>P10 Sales</t>
  </si>
  <si>
    <t>P10 ClosingPay</t>
  </si>
  <si>
    <t>DevCF_All_Pos</t>
  </si>
  <si>
    <t>DevCF_All_Neg</t>
  </si>
  <si>
    <t>DevCF_All</t>
  </si>
  <si>
    <t>DevCF_P1</t>
  </si>
  <si>
    <t>DevCF_P2Plus</t>
  </si>
  <si>
    <t>Sales_All</t>
  </si>
  <si>
    <t>Sales_P1</t>
  </si>
  <si>
    <t>Sales_P2Plus</t>
  </si>
  <si>
    <t>Closing_All</t>
  </si>
  <si>
    <t>Closing_P1</t>
  </si>
  <si>
    <t>Closing_P2Plus</t>
  </si>
  <si>
    <t>Manual include (1/0) from Results_10yr</t>
  </si>
  <si>
    <t>Sales_ManualSelected</t>
  </si>
  <si>
    <t>Sales_Selected (per royalty dropdown)</t>
  </si>
  <si>
    <t>Closing_ManualSelected</t>
  </si>
  <si>
    <t>DevCF_Selected (per broker scope dropdown)</t>
  </si>
  <si>
    <t>Closing_Selected (per lending dropdown)</t>
  </si>
  <si>
    <t>Sales_BrokerSelected (per broker scope dropdown)</t>
  </si>
  <si>
    <t>Annual lender schedule (Years 1-10) — derived from Closing_Selected_120 (selected projects for lending)</t>
  </si>
  <si>
    <t>Unit closings (count, est.)</t>
  </si>
  <si>
    <t>Principal originated</t>
  </si>
  <si>
    <t>Origination fee income</t>
  </si>
  <si>
    <t>Cohort amortization (each cohort = loans originated in that year)</t>
  </si>
  <si>
    <t>C1 BeginBal</t>
  </si>
  <si>
    <t>C1 Interest</t>
  </si>
  <si>
    <t>C1 Principal</t>
  </si>
  <si>
    <t>C1 EndBal</t>
  </si>
  <si>
    <t>C2 BeginBal</t>
  </si>
  <si>
    <t>C2 Interest</t>
  </si>
  <si>
    <t>C2 Principal</t>
  </si>
  <si>
    <t>C2 EndBal</t>
  </si>
  <si>
    <t>C3 BeginBal</t>
  </si>
  <si>
    <t>C3 Interest</t>
  </si>
  <si>
    <t>C3 Principal</t>
  </si>
  <si>
    <t>C3 EndBal</t>
  </si>
  <si>
    <t>C4 BeginBal</t>
  </si>
  <si>
    <t>C4 Interest</t>
  </si>
  <si>
    <t>C4 Principal</t>
  </si>
  <si>
    <t>C4 EndBal</t>
  </si>
  <si>
    <t>C5 BeginBal</t>
  </si>
  <si>
    <t>C5 Interest</t>
  </si>
  <si>
    <t>C5 Principal</t>
  </si>
  <si>
    <t>C5 EndBal</t>
  </si>
  <si>
    <t>C6 BeginBal</t>
  </si>
  <si>
    <t>C6 Interest</t>
  </si>
  <si>
    <t>C6 Principal</t>
  </si>
  <si>
    <t>C6 EndBal</t>
  </si>
  <si>
    <t>C7 BeginBal</t>
  </si>
  <si>
    <t>C7 Interest</t>
  </si>
  <si>
    <t>C7 Principal</t>
  </si>
  <si>
    <t>C7 EndBal</t>
  </si>
  <si>
    <t>C8 BeginBal</t>
  </si>
  <si>
    <t>C8 Interest</t>
  </si>
  <si>
    <t>C8 Principal</t>
  </si>
  <si>
    <t>C8 EndBal</t>
  </si>
  <si>
    <t>C9 BeginBal</t>
  </si>
  <si>
    <t>C9 Interest</t>
  </si>
  <si>
    <t>C9 Principal</t>
  </si>
  <si>
    <t>C9 EndBal</t>
  </si>
  <si>
    <t>C10 BeginBal</t>
  </si>
  <si>
    <t>C10 Interest</t>
  </si>
  <si>
    <t>C10 Principal</t>
  </si>
  <si>
    <t>C10 EndBal</t>
  </si>
  <si>
    <t>TOTALS (all cohorts)</t>
  </si>
  <si>
    <t>Total begin balance</t>
  </si>
  <si>
    <t>Interest income</t>
  </si>
  <si>
    <t>Principal repayments</t>
  </si>
  <si>
    <t>Ending loan balance</t>
  </si>
  <si>
    <t>Total payments received</t>
  </si>
  <si>
    <t>Cost of funds (expense)</t>
  </si>
  <si>
    <t>Net cashflow to us (incl. principal flows)</t>
  </si>
  <si>
    <t>Base Operating Units (single project)</t>
  </si>
  <si>
    <t>P1 OperatingUnits</t>
  </si>
  <si>
    <t>P2 OperatingUnits</t>
  </si>
  <si>
    <t>P3 OperatingUnits</t>
  </si>
  <si>
    <t>P4 OperatingUnits</t>
  </si>
  <si>
    <t>P5 OperatingUnits</t>
  </si>
  <si>
    <t>P6 OperatingUnits</t>
  </si>
  <si>
    <t>P7 OperatingUnits</t>
  </si>
  <si>
    <t>P8 OperatingUnits</t>
  </si>
  <si>
    <t>P9 OperatingUnits</t>
  </si>
  <si>
    <t>P10 OperatingUnits</t>
  </si>
  <si>
    <t>OperatingUnits_All</t>
  </si>
  <si>
    <t>Scenario h Revenue</t>
  </si>
  <si>
    <t>Scenario h Costs</t>
  </si>
  <si>
    <t>Scenario h Net</t>
  </si>
  <si>
    <t>Scenario h Cumulative</t>
  </si>
  <si>
    <t>The Commons — SCENARIOS Results Dashboard (First 10 Years)</t>
  </si>
  <si>
    <t>Inputs / Controls (editable cells are light yellow)</t>
  </si>
  <si>
    <t>Control</t>
  </si>
  <si>
    <t>Value</t>
  </si>
  <si>
    <t>Units / Notes</t>
  </si>
  <si>
    <t>Model start date (month-end)</t>
  </si>
  <si>
    <t>Pulled from Single Project Assumptions</t>
  </si>
  <si>
    <t># Projects in model</t>
  </si>
  <si>
    <t>From Platform Assumptions (max project number)</t>
  </si>
  <si>
    <t>Units per project (avg)</t>
  </si>
  <si>
    <t>From Single Project Assumptions: Number of Units</t>
  </si>
  <si>
    <t>Scenario a) Broker role (5% of units sold; cash receipts follow developer sales schedule)</t>
  </si>
  <si>
    <t>Equity stake %</t>
  </si>
  <si>
    <t>Default 5% (editable). Treated as 'units equivalent' sold alongside the developer. Cashflows = stake % × gross unit sales cash receipts (scope set below).</t>
  </si>
  <si>
    <t>Stake applies to (scope)</t>
  </si>
  <si>
    <t>All projects</t>
  </si>
  <si>
    <t>Choose whether your stake is in all projects or only Project 1.</t>
  </si>
  <si>
    <t>Scenario c) Master Plan / Architecture / Manifesto royalty</t>
  </si>
  <si>
    <t>Royalty % on gross unit sales</t>
  </si>
  <si>
    <t>Revenue = Royalty % × gross unit sales revenue (selected projects).</t>
  </si>
  <si>
    <t>Which projects count as “future”</t>
  </si>
  <si>
    <t>Projects 2+</t>
  </si>
  <si>
    <t>Dropdown per spec; used to select projects for royalty calculation.</t>
  </si>
  <si>
    <t>Manual selection (if chosen above): include project? (set Yes/No)</t>
  </si>
  <si>
    <t>P1</t>
  </si>
  <si>
    <t>P2</t>
  </si>
  <si>
    <t>P3</t>
  </si>
  <si>
    <t>P4</t>
  </si>
  <si>
    <t>P5</t>
  </si>
  <si>
    <t>P6</t>
  </si>
  <si>
    <t>P7</t>
  </si>
  <si>
    <t>P8</t>
  </si>
  <si>
    <t>P9</t>
  </si>
  <si>
    <t>P10</t>
  </si>
  <si>
    <t>Scenario e) Sell fractionals (weeks)</t>
  </si>
  <si>
    <t>Equity % owned (for fractionals)</t>
  </si>
  <si>
    <t>Defaults to broker stake % above; editable.</t>
  </si>
  <si>
    <t>Total units in scope (override optional)</t>
  </si>
  <si>
    <t>Leave blank to use: Units per project × # projects.</t>
  </si>
  <si>
    <t>Weeks per unit available / year</t>
  </si>
  <si>
    <t>Default 52.</t>
  </si>
  <si>
    <t>% of weeks sold (sell-through)</t>
  </si>
  <si>
    <t>Default 60%.</t>
  </si>
  <si>
    <t>Price per week (Year 1)</t>
  </si>
  <si>
    <t>Default $4,000.</t>
  </si>
  <si>
    <t>Annual price growth</t>
  </si>
  <si>
    <t>Default 5% per year.</t>
  </si>
  <si>
    <t>Start year of fractional sales</t>
  </si>
  <si>
    <t>Default Year 2.</t>
  </si>
  <si>
    <t>Operating cost % of fractional revenue</t>
  </si>
  <si>
    <t>Default 10%.</t>
  </si>
  <si>
    <t>Scenario f) Lender / financial institution (10-year amortizing loans)</t>
  </si>
  <si>
    <t>Scenario h) Platform community fees</t>
  </si>
  <si>
    <t>Loan term (years)</t>
  </si>
  <si>
    <t>Fixed per spec.</t>
  </si>
  <si>
    <t>Annual community fee / unit</t>
  </si>
  <si>
    <t>Recurring annual fee paid by each completed home; modeled monthly.</t>
  </si>
  <si>
    <t>Interest rate (annual)</t>
  </si>
  <si>
    <t>Fixed per spec (editable).</t>
  </si>
  <si>
    <t>Net margin</t>
  </si>
  <si>
    <t>Scenario h costs scale with revenue; 35% net margin assumption.</t>
  </si>
  <si>
    <t>Loan-to-value (LTV) financed</t>
  </si>
  <si>
    <t>Default 80% of unit price.</t>
  </si>
  <si>
    <t>Project scope</t>
  </si>
  <si>
    <t>All successful communities</t>
  </si>
  <si>
    <t>Applies to all successful communities using occupied homes from the platform rollout.</t>
  </si>
  <si>
    <t>% of buyers taking our loan</t>
  </si>
  <si>
    <t>Default 50%.</t>
  </si>
  <si>
    <t>Origination fee %</t>
  </si>
  <si>
    <t>Default 1% of principal originated.</t>
  </si>
  <si>
    <t>Default rate (annual, optional)</t>
  </si>
  <si>
    <t>Default 0%. Not modeled beyond reducing payments (simplified).</t>
  </si>
  <si>
    <t>Cost of funds % (optional)</t>
  </si>
  <si>
    <t>Default 0%. Used to compute net cashflow (interest margin).</t>
  </si>
  <si>
    <t>Projects in scope for lending</t>
  </si>
  <si>
    <t>Same options as royalty selection.</t>
  </si>
  <si>
    <t>Assume loan book sold end of Year 10 (% of par)</t>
  </si>
  <si>
    <t>Used only for lender IRR/MOIC; leave at 100% if sell at par.</t>
  </si>
  <si>
    <t>Other assumptions</t>
  </si>
  <si>
    <t>Broker admin expense % of broker revenue</t>
  </si>
  <si>
    <t>If you want to net out operating expense on broker income.</t>
  </si>
  <si>
    <t>Royalty admin expense % of royalty revenue</t>
  </si>
  <si>
    <t>If you want to net out operating expense on royalties.</t>
  </si>
  <si>
    <t>Broker capital contributions?</t>
  </si>
  <si>
    <t>Not used in current broker logic (broker stake treated as unit-equivalent sales revenue). Leave as-is.</t>
  </si>
  <si>
    <t>Scenario Summary (first 10 years)</t>
  </si>
  <si>
    <t>a) Broker (equity stake)</t>
  </si>
  <si>
    <t>b) Developer (Project 1)</t>
  </si>
  <si>
    <t>c) Royalty (future projects)</t>
  </si>
  <si>
    <t>d) Developer (All projects)</t>
  </si>
  <si>
    <t>e) Fractionals (weeks)</t>
  </si>
  <si>
    <t>f) Lender (10-yr loans)</t>
  </si>
  <si>
    <t>g) Operations</t>
  </si>
  <si>
    <t>h) Platform</t>
  </si>
  <si>
    <t>What we are (business role)</t>
  </si>
  <si>
    <t>Capital-light “revenue share” on home sales (5% stake)</t>
  </si>
  <si>
    <t>Full developer economics for the first project</t>
  </si>
  <si>
    <t>IP/system royalty on sales (5% on Projects 2+)</t>
  </si>
  <si>
    <t>Full developer economics across all modeled projects</t>
  </si>
  <si>
    <t>Monetize our equity via fractional-week sales</t>
  </si>
  <si>
    <t>Originate buyer loans; earn fees + interest; exit via loan book sale</t>
  </si>
  <si>
    <t>Operate as a Community Manager</t>
  </si>
  <si>
    <t>Recurring community fees from occupied homes across all communities</t>
  </si>
  <si>
    <t>10-yr Revenue to us</t>
  </si>
  <si>
    <t>10-yr Cost to us</t>
  </si>
  <si>
    <t>10-yr Net cashflow to us</t>
  </si>
  <si>
    <t>10-yr Capital Requirement</t>
  </si>
  <si>
    <t>Payback (from cumulative)</t>
  </si>
  <si>
    <t>Cash-positive (no drawdown)</t>
  </si>
  <si>
    <t>Year 5</t>
  </si>
  <si>
    <t>Year 7</t>
  </si>
  <si>
    <t>Year 10</t>
  </si>
  <si>
    <t>Year 3</t>
  </si>
  <si>
    <t>10-Year Table (Year 1 – Year 10)</t>
  </si>
  <si>
    <t>Revenue</t>
  </si>
  <si>
    <t>Costs</t>
  </si>
  <si>
    <t>Net CF</t>
  </si>
  <si>
    <t>Cumulative</t>
  </si>
  <si>
    <t>10-Year Total</t>
  </si>
  <si>
    <t>Scenario f Detail — Lender Metrics (Years 1–10)</t>
  </si>
  <si>
    <t>Origination fees</t>
  </si>
  <si>
    <t>Cost of funds</t>
  </si>
  <si>
    <t>Net cashflow (incl. loan book sale in Yr10)</t>
  </si>
  <si>
    <t>10-yr total</t>
  </si>
  <si>
    <t>The Commons — Business Alternatives Summary</t>
  </si>
  <si>
    <t>Alternative Overview</t>
  </si>
  <si>
    <t>Alternative</t>
  </si>
  <si>
    <t>Included scenarios</t>
  </si>
  <si>
    <t>Business model thesis</t>
  </si>
  <si>
    <t>10-yr Revenue</t>
  </si>
  <si>
    <t>10-yr Costs</t>
  </si>
  <si>
    <t>10-yr Net CF</t>
  </si>
  <si>
    <t>Capital Requirement</t>
  </si>
  <si>
    <t>Payback</t>
  </si>
  <si>
    <t>1) Broker + Developer + Royalty</t>
  </si>
  <si>
    <t>a + b + c</t>
  </si>
  <si>
    <t>Capture transaction access, first-project development economics, then scale with IP royalties.</t>
  </si>
  <si>
    <t>2) Operations + Platform + Broker</t>
  </si>
  <si>
    <t>g + h + a</t>
  </si>
  <si>
    <t>Capital-light recurring model built on brokerage, community operations, and platform fees.</t>
  </si>
  <si>
    <t>3) Broker + Developer + Fractionals</t>
  </si>
  <si>
    <t>a + b + e</t>
  </si>
  <si>
    <t>Blend brokerage and development upside with hospitality-style monetisation of owned inventory.</t>
  </si>
  <si>
    <t>4) Developer + Fractionals + Operations</t>
  </si>
  <si>
    <t>b + e + g</t>
  </si>
  <si>
    <t>Pair first-project development upside with fractional monetisation and recurring community operations.</t>
  </si>
  <si>
    <t>5) Broker + Royalty + Platform</t>
  </si>
  <si>
    <t>a + c + h</t>
  </si>
  <si>
    <t>Stay capital-light by combining brokerage access, design/IP royalties, and platform fee streams.</t>
  </si>
  <si>
    <t>Alternative 1 — Broker + Developer + Royalty</t>
  </si>
  <si>
    <t>Alternative 2 — Operations + Platform + Broker</t>
  </si>
  <si>
    <t>Alternative 3 — Broker + Developer + Fractionals</t>
  </si>
  <si>
    <t>Revenue = cash in. Costs = cash out. Capital Requirement = peak cumulative drawdown over the first 10 years.</t>
  </si>
  <si>
    <t>Alternative 4 — Developer + Fractionals + Operations</t>
  </si>
  <si>
    <t>Alternative 5 — Broker + Royalty + Platform</t>
  </si>
  <si>
    <t>The Commons — Results Dashboard (Scenarios a–h)</t>
  </si>
  <si>
    <t>How to read the outputs (applies to every scenario):</t>
  </si>
  <si>
    <t>Revenue to us = cash we receive (money in).</t>
  </si>
  <si>
    <t>Costs/expenses to us = cash we pay out (money out).</t>
  </si>
  <si>
    <t>Net cashflow = Revenue − Costs (what we keep that year).</t>
  </si>
  <si>
    <t>Cumulative net cashflow = running total over time (how much cash we’ve made/lost so far).</t>
  </si>
  <si>
    <t>a) BROKER ROLE (Equity stake → “units equivalent” sold like the developer)</t>
  </si>
  <si>
    <t>How money shows up:</t>
  </si>
  <si>
    <t>Revenue to us = Equity stake % × gross unit sales cash receipts (deposits + closings) for the scope selected.</t>
  </si>
  <si>
    <t>Costs to us = optional Broker admin expense % × broker revenue (default 10%).</t>
  </si>
  <si>
    <t>No developer profit share / capital calls are used in this scenario anymore (it’s “units-equivalent” sales).</t>
  </si>
  <si>
    <t>Key thing to know:</t>
  </si>
  <si>
    <t>This behaves like a revenue-share tied to home sales timing, not like being a co-developer putting cash in.</t>
  </si>
  <si>
    <t>b) DEVELOPER (Project 1 only)</t>
  </si>
  <si>
    <t>We act as the developer for the first project only—we pay the project’s costs and we receive the project’s cash inflows.</t>
  </si>
  <si>
    <t>The dashboard pulls Project 1 developer cashflow from the model.</t>
  </si>
  <si>
    <t>“Revenue” = all positive developer cashflow items.</t>
  </si>
  <si>
    <t>“Costs” = all negative developer cashflow items (cash out).</t>
  </si>
  <si>
    <t>Net = the true developer net cash movement each year.</t>
  </si>
  <si>
    <t>This is the most “real” version of development economics: you spend first, you get paid later (so payback/IRR usually matter).</t>
  </si>
  <si>
    <t>c) MASTER PLAN / ARCHITECTURE / MANIFESTO ROYALTY (on “future” projects)</t>
  </si>
  <si>
    <t>We create the “system” (master plan + design + manifesto) and earn a royalty on home sales in future Commons projects.</t>
  </si>
  <si>
    <t>Royalty revenue = Royalty % × gross unit sales cash receipts (for the selected “future” projects).</t>
  </si>
  <si>
    <t>Costs = optional Royalty admin expense % (default 10%).</t>
  </si>
  <si>
    <t>Royalty % (default 5%)</t>
  </si>
  <si>
    <t>Typically no upfront investment is modeled here, so IRR/MOIC are often N/A (it’s mainly a “cash-in stream”).</t>
  </si>
  <si>
    <t>d) DEVELOPER (All projects in the model)</t>
  </si>
  <si>
    <t>We are the developer for every project included in the platform build-out.</t>
  </si>
  <si>
    <t>The dashboard sums developer cashflows across all projects (based on the model’s platform assumptions and project start timing).</t>
  </si>
  <si>
    <t>Same split: positives as “Revenue”, negatives as “Costs”.</t>
  </si>
  <si>
    <t>This is the “big swing” scenario: it stacks multiple project cashflow cycles (and usually has the biggest early cash needs).</t>
  </si>
  <si>
    <t>e) SELL FRACTIONALS FROM OUR EQUITY (weeks)</t>
  </si>
  <si>
    <t>Instead of waiting for equity value, we turn our stake into “units equivalent” and sell weeks of usage (like fractional time-based occupancy).</t>
  </si>
  <si>
    <t>How money shows up (each year):</t>
  </si>
  <si>
    <t>1. Units equivalent = Equity % owned × Total units in scope</t>
  </si>
  <si>
    <t>2. Weeks available = Units equivalent × Weeks per unit</t>
  </si>
  <si>
    <t>3. Weeks sold = Weeks available × % weeks sold</t>
  </si>
  <si>
    <t>4. Revenue = Weeks sold × Price per week (grows annually)</t>
  </si>
  <si>
    <t>5. Costs = Operating cost % × Revenue</t>
  </si>
  <si>
    <t>6. Net = Revenue − Costs</t>
  </si>
  <si>
    <t>Main inputs:</t>
  </si>
  <si>
    <t>% weeks sold (default 60%)</t>
  </si>
  <si>
    <t>Price per week (Year 1) (default $4,000)</t>
  </si>
  <si>
    <t>Annual price growth (default 5%)</t>
  </si>
  <si>
    <t>Operating cost % of revenue (default 10%)</t>
  </si>
  <si>
    <t>This is not tied to the home-sales schedule—it’s a separate “hospitality-style” revenue stream driven by occupancy and pricing.</t>
  </si>
  <si>
    <t>f) LENDER / FINANCIAL INSTITUTION (10-year loans at 9%)</t>
  </si>
  <si>
    <t>We become the lender for buyers: we pay out loans when homes sell, and buyers repay us over 10 years with interest.</t>
  </si>
  <si>
    <t>Cash out (Costs):</t>
  </si>
  <si>
    <t>New principal originated (the loan amounts we fund)</t>
  </si>
  <si>
    <t>Cash in (Revenue):</t>
  </si>
  <si>
    <t>Origination fees (paid when the loan is made)</t>
  </si>
  <si>
    <t>Loan payments received over time (principal + interest)</t>
  </si>
  <si>
    <t>Ending loan balance is tracked (what buyers still owe us).</t>
  </si>
  <si>
    <t>Loan term (default 10 years)</t>
  </si>
  <si>
    <t>Interest rate (default 9%)</t>
  </si>
  <si>
    <t>LTV financed (default 80%)</t>
  </si>
  <si>
    <t>% buyers taking our loan (default 50%)</t>
  </si>
  <si>
    <t>Origination fee % (default 1%)</t>
  </si>
  <si>
    <t>Default rate (default 0%, simplified)</t>
  </si>
  <si>
    <t>Cost of funds % (default 0%)</t>
  </si>
  <si>
    <t>This scenario is not limited to “our equity buyers.” It lends to all buyers in the selected project scope, scaled by the “% buyers taking our loan” input. Also, it’s normal for net cashflow to be negative early if we’re originating lots of loans before repayments build up.</t>
  </si>
  <si>
    <t>g) OPERATIONS / COMMUNITY MANAGER (all communities)</t>
  </si>
  <si>
    <t>We operate completed communities and collect the operating cashflows already modeled in the platform roll-up, net of central overhead.</t>
  </si>
  <si>
    <t>Revenue = project-level operating cashflows aggregated across all successful communities.</t>
  </si>
  <si>
    <t>Costs = central platform overhead at the holding-company level.</t>
  </si>
  <si>
    <t>This is an asset-light operating model: value comes from managing communities after they come online, rather than from development profit.</t>
  </si>
  <si>
    <t>h) PLATFORM COMMUNITY FEES (all communities)</t>
  </si>
  <si>
    <t>We earn recurring community fees from completed homes across every successful Commons community.</t>
  </si>
  <si>
    <t>Revenue = occupied homes × $15,000 annual fee ÷ 12, aggregated monthly across all successful communities.</t>
  </si>
  <si>
    <t>Costs = 65% of revenue (35% net margin assumption).</t>
  </si>
  <si>
    <t>This is a recurring, subscription-like platform model that scales as more homes are delivered and occupied.</t>
  </si>
  <si>
    <t>We broker the deal (between landowners - developers) and earn an equity-like slice that’s treated as if we “own” 5% of the homes being sold. We get paid as homes are sold, on the same schedule as the project’s sales cash receipts.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</si>
</sst>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Red]\-&quot;$&quot;#,##0"/>
    <numFmt numFmtId="43" formatCode="_-* #,##0.00_-;\-* #,##0.00_-;_-* &quot;-&quot;??_-;_-@_-"/>
    <numFmt numFmtId="164" formatCode="[$-409]dd\-mmm\-yy;@"/>
    <numFmt numFmtId="165" formatCode="[$$-409]#,##0"/>
    <numFmt numFmtId="166" formatCode="0.0%"/>
    <numFmt numFmtId="167" formatCode="[$-409]mmm\-yy;@"/>
    <numFmt numFmtId="168" formatCode="_(* #,##0_);_(* \(#,##0\);_(* &quot;-&quot;??_);_(@_)"/>
    <numFmt numFmtId="169" formatCode="#,##0.0"/>
    <numFmt numFmtId="170" formatCode="[$$-409]#,##0&quot;m&quot;"/>
    <numFmt numFmtId="171" formatCode="[$$-409]#,##0.00&quot;m&quot;"/>
    <numFmt numFmtId="172" formatCode="0.0"/>
    <numFmt numFmtId="173" formatCode="&quot;$&quot;#,##0"/>
  </numFmts>
  <fonts count="42">
    <font>
      <sz val="12"/>
      <color theme="1"/>
      <name val="Calibri"/>
      <family val="2"/>
      <scheme val="minor"/>
    </font>
    <font>
      <sz val="12"/>
      <color theme="1"/>
      <name val="Calibri"/>
      <family val="2"/>
      <scheme val="minor"/>
    </font>
    <font>
      <sz val="10"/>
      <color theme="1"/>
      <name val="Calibri"/>
      <family val="2"/>
      <scheme val="minor"/>
    </font>
    <font>
      <b/>
      <sz val="10"/>
      <color theme="0"/>
      <name val="Calibri"/>
      <scheme val="minor"/>
    </font>
    <font>
      <b/>
      <sz val="10"/>
      <color theme="1"/>
      <name val="Calibri"/>
      <scheme val="minor"/>
    </font>
    <font>
      <i/>
      <sz val="10"/>
      <color theme="2" tint="-0.249977111117893"/>
      <name val="Calibri"/>
      <scheme val="minor"/>
    </font>
    <font>
      <b/>
      <i/>
      <sz val="10"/>
      <color theme="2" tint="-0.249977111117893"/>
      <name val="Calibri"/>
      <scheme val="minor"/>
    </font>
    <font>
      <sz val="12"/>
      <color theme="0"/>
      <name val="Calibri"/>
      <family val="2"/>
      <scheme val="minor"/>
    </font>
    <font>
      <b/>
      <sz val="10"/>
      <color theme="4"/>
      <name val="Calibri"/>
      <scheme val="minor"/>
    </font>
    <font>
      <i/>
      <sz val="10"/>
      <color theme="2" tint="-0.49995422223578601"/>
      <name val="Calibri"/>
      <scheme val="minor"/>
    </font>
    <font>
      <i/>
      <sz val="10"/>
      <color theme="0"/>
      <name val="Calibri"/>
      <scheme val="minor"/>
    </font>
    <font>
      <sz val="10"/>
      <color theme="1"/>
      <name val="Calibri"/>
      <scheme val="minor"/>
    </font>
    <font>
      <sz val="10"/>
      <color theme="0"/>
      <name val="Calibri"/>
      <family val="2"/>
      <scheme val="minor"/>
    </font>
    <font>
      <b/>
      <sz val="12"/>
      <color theme="0"/>
      <name val="Calibri"/>
      <scheme val="minor"/>
    </font>
    <font>
      <sz val="12"/>
      <color theme="0"/>
      <name val="Calibri"/>
      <scheme val="minor"/>
    </font>
    <font>
      <b/>
      <sz val="14"/>
      <color rgb="FF0E0E0E"/>
      <name val="Helvetica Neue"/>
      <family val="2"/>
    </font>
    <font>
      <b/>
      <sz val="10"/>
      <color rgb="FF000000"/>
      <name val="Calibri"/>
      <scheme val="minor"/>
    </font>
    <font>
      <sz val="10"/>
      <color theme="0"/>
      <name val="Calibri"/>
      <scheme val="minor"/>
    </font>
    <font>
      <sz val="12"/>
      <color theme="1"/>
      <name val="Calibri"/>
      <scheme val="minor"/>
    </font>
    <font>
      <sz val="26"/>
      <color theme="4"/>
      <name val="Calibri"/>
      <scheme val="minor"/>
    </font>
    <font>
      <b/>
      <i/>
      <sz val="10"/>
      <color theme="4"/>
      <name val="Calibri"/>
      <scheme val="minor"/>
    </font>
    <font>
      <sz val="14"/>
      <color theme="0"/>
      <name val="Calibri"/>
      <scheme val="minor"/>
    </font>
    <font>
      <b/>
      <sz val="11"/>
      <color theme="4"/>
      <name val="Calibri"/>
      <scheme val="minor"/>
    </font>
    <font>
      <b/>
      <i/>
      <sz val="14"/>
      <color theme="6"/>
      <name val=".AppleSystemUIFont"/>
    </font>
    <font>
      <sz val="12"/>
      <color theme="4"/>
      <name val="Calibri"/>
      <scheme val="minor"/>
    </font>
    <font>
      <i/>
      <sz val="16"/>
      <color theme="0"/>
      <name val=".AppleSystemUIFont"/>
    </font>
    <font>
      <b/>
      <sz val="18"/>
      <color rgb="FF1F4E79"/>
      <name val="Aptos Narrow"/>
    </font>
    <font>
      <i/>
      <sz val="10"/>
      <color rgb="FF404040"/>
      <name val="Aptos Narrow"/>
    </font>
    <font>
      <b/>
      <sz val="12"/>
      <color rgb="FFFFFFFF"/>
      <name val="Aptos Narrow"/>
    </font>
    <font>
      <b/>
      <sz val="10"/>
      <color rgb="FF000000"/>
      <name val="Aptos Narrow"/>
    </font>
    <font>
      <sz val="10"/>
      <color rgb="FF000000"/>
      <name val="Aptos Narrow"/>
    </font>
    <font>
      <b/>
      <sz val="12"/>
      <color rgb="FFFFFFFF"/>
      <name val="Calibri"/>
    </font>
    <font>
      <b/>
      <sz val="12"/>
      <name val="Calibri"/>
    </font>
    <font>
      <i/>
      <sz val="9"/>
      <name val="Calibri"/>
    </font>
    <font>
      <b/>
      <sz val="9"/>
      <name val="Calibri"/>
    </font>
    <font>
      <b/>
      <sz val="10"/>
      <name val="Calibri"/>
    </font>
    <font>
      <b/>
      <sz val="8"/>
      <name val="Calibri"/>
    </font>
    <font>
      <sz val="8"/>
      <name val="Calibri"/>
    </font>
    <font>
      <b/>
      <sz val="18"/>
      <color theme="1"/>
      <name val="Calibri"/>
      <family val="2"/>
      <scheme val="minor"/>
    </font>
    <font>
      <b/>
      <sz val="12"/>
      <color theme="1"/>
      <name val="Calibri"/>
      <family val="2"/>
      <scheme val="minor"/>
    </font>
    <font>
      <b/>
      <sz val="10"/>
      <color rgb="FF000000"/>
      <name val="Aptos Narrow"/>
      <family val="2"/>
    </font>
    <font>
      <sz val="10"/>
      <color rgb="FF000000"/>
      <name val="Aptos Narrow"/>
      <family val="2"/>
    </font>
  </fonts>
  <fills count="20">
    <fill>
      <patternFill patternType="none"/>
    </fill>
    <fill>
      <patternFill patternType="gray125"/>
    </fill>
    <fill>
      <patternFill patternType="solid">
        <fgColor theme="0"/>
      </patternFill>
    </fill>
    <fill>
      <patternFill patternType="solid">
        <fgColor theme="3"/>
      </patternFill>
    </fill>
    <fill>
      <patternFill patternType="solid">
        <fgColor theme="5" tint="0.79995117038483843"/>
        <bgColor indexed="65"/>
      </patternFill>
    </fill>
    <fill>
      <patternFill patternType="solid">
        <fgColor theme="3" tint="0.89996032593768116"/>
        <bgColor indexed="65"/>
      </patternFill>
    </fill>
    <fill>
      <patternFill patternType="solid">
        <fgColor theme="4" tint="0.79995117038483843"/>
        <bgColor indexed="65"/>
      </patternFill>
    </fill>
    <fill>
      <patternFill patternType="solid">
        <fgColor theme="4"/>
      </patternFill>
    </fill>
    <fill>
      <patternFill patternType="solid">
        <fgColor theme="1"/>
      </patternFill>
    </fill>
    <fill>
      <patternFill patternType="solid">
        <fgColor rgb="FFDAE9F8"/>
      </patternFill>
    </fill>
    <fill>
      <patternFill patternType="solid">
        <fgColor theme="2" tint="-9.9978637043366805E-2"/>
        <bgColor indexed="65"/>
      </patternFill>
    </fill>
    <fill>
      <patternFill patternType="solid">
        <fgColor rgb="FF1F4E79"/>
      </patternFill>
    </fill>
    <fill>
      <patternFill patternType="solid">
        <fgColor rgb="FFD9E1F2"/>
      </patternFill>
    </fill>
    <fill>
      <patternFill patternType="solid">
        <fgColor rgb="FFFFFFFF"/>
      </patternFill>
    </fill>
    <fill>
      <patternFill patternType="solid">
        <fgColor rgb="FFF2F2F2"/>
      </patternFill>
    </fill>
    <fill>
      <patternFill patternType="solid">
        <fgColor rgb="FFFFF2CC"/>
      </patternFill>
    </fill>
    <fill>
      <patternFill patternType="solid">
        <fgColor theme="0"/>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s>
  <borders count="16">
    <border>
      <left/>
      <right/>
      <top/>
      <bottom/>
      <diagonal/>
    </border>
    <border>
      <left/>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theme="0"/>
      </bottom>
      <diagonal/>
    </border>
    <border>
      <left style="thin">
        <color indexed="64"/>
      </left>
      <right/>
      <top/>
      <bottom/>
      <diagonal/>
    </border>
    <border>
      <left style="thin">
        <color indexed="64"/>
      </left>
      <right style="thin">
        <color indexed="64"/>
      </right>
      <top style="thin">
        <color indexed="64"/>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bottom style="thin">
        <color rgb="FFBFBFBF"/>
      </bottom>
      <diagonal/>
    </border>
  </borders>
  <cellStyleXfs count="3">
    <xf numFmtId="0" fontId="0" fillId="0" borderId="0"/>
    <xf numFmtId="43" fontId="1" fillId="0" borderId="0"/>
    <xf numFmtId="9" fontId="1" fillId="0" borderId="0"/>
  </cellStyleXfs>
  <cellXfs count="253">
    <xf numFmtId="0" fontId="0" fillId="0" borderId="0" xfId="0"/>
    <xf numFmtId="0" fontId="0" fillId="2" borderId="0" xfId="0" applyFill="1"/>
    <xf numFmtId="0" fontId="2" fillId="2" borderId="0" xfId="0" applyFont="1" applyFill="1"/>
    <xf numFmtId="0" fontId="2" fillId="2" borderId="0" xfId="0" applyFont="1" applyFill="1" applyAlignment="1">
      <alignment vertical="center"/>
    </xf>
    <xf numFmtId="0" fontId="2" fillId="3" borderId="0" xfId="0" applyFont="1" applyFill="1" applyAlignment="1">
      <alignment vertical="center"/>
    </xf>
    <xf numFmtId="0" fontId="3" fillId="3" borderId="0" xfId="0" applyFont="1" applyFill="1" applyAlignment="1">
      <alignment vertical="center"/>
    </xf>
    <xf numFmtId="164" fontId="2" fillId="4" borderId="0" xfId="0" applyNumberFormat="1" applyFont="1" applyFill="1" applyAlignment="1">
      <alignment horizontal="center" vertical="center"/>
    </xf>
    <xf numFmtId="0" fontId="2" fillId="2" borderId="1" xfId="0" applyFont="1" applyFill="1" applyBorder="1" applyAlignment="1">
      <alignment vertical="center"/>
    </xf>
    <xf numFmtId="0" fontId="4" fillId="2" borderId="1" xfId="0" applyFont="1" applyFill="1" applyBorder="1" applyAlignment="1">
      <alignment vertical="center"/>
    </xf>
    <xf numFmtId="164" fontId="2" fillId="2" borderId="0" xfId="0" applyNumberFormat="1" applyFont="1" applyFill="1" applyAlignment="1">
      <alignment horizontal="center" vertical="center"/>
    </xf>
    <xf numFmtId="0" fontId="2" fillId="2" borderId="0" xfId="0" applyFont="1" applyFill="1" applyAlignment="1">
      <alignment horizontal="center" vertical="center"/>
    </xf>
    <xf numFmtId="0" fontId="2" fillId="4" borderId="0" xfId="0" applyFont="1" applyFill="1" applyAlignment="1">
      <alignment horizontal="center" vertical="center"/>
    </xf>
    <xf numFmtId="1" fontId="2" fillId="2" borderId="0" xfId="0" applyNumberFormat="1" applyFont="1" applyFill="1" applyAlignment="1">
      <alignment horizontal="center" vertical="center"/>
    </xf>
    <xf numFmtId="3" fontId="2" fillId="4" borderId="0" xfId="0" applyNumberFormat="1" applyFont="1" applyFill="1" applyAlignment="1">
      <alignment horizontal="center" vertical="center"/>
    </xf>
    <xf numFmtId="3" fontId="2" fillId="2" borderId="0" xfId="0" applyNumberFormat="1" applyFont="1" applyFill="1" applyAlignment="1">
      <alignment horizontal="center" vertical="center"/>
    </xf>
    <xf numFmtId="165" fontId="2" fillId="4" borderId="0" xfId="0" applyNumberFormat="1" applyFont="1" applyFill="1" applyAlignment="1">
      <alignment horizontal="center" vertical="center"/>
    </xf>
    <xf numFmtId="165" fontId="2" fillId="2" borderId="0" xfId="0" applyNumberFormat="1" applyFont="1" applyFill="1" applyAlignment="1">
      <alignment horizontal="center" vertical="center"/>
    </xf>
    <xf numFmtId="9" fontId="2" fillId="4" borderId="0" xfId="2" applyFont="1" applyFill="1" applyAlignment="1">
      <alignment horizontal="center" vertical="center"/>
    </xf>
    <xf numFmtId="166" fontId="2" fillId="4" borderId="0" xfId="2" applyNumberFormat="1" applyFont="1" applyFill="1" applyAlignment="1">
      <alignment horizontal="center" vertical="center"/>
    </xf>
    <xf numFmtId="9" fontId="2" fillId="2" borderId="0" xfId="2" applyFont="1" applyFill="1" applyAlignment="1">
      <alignment horizontal="center" vertical="center"/>
    </xf>
    <xf numFmtId="167" fontId="3" fillId="3" borderId="0" xfId="0" applyNumberFormat="1" applyFont="1" applyFill="1" applyAlignment="1">
      <alignment horizontal="right" vertical="center"/>
    </xf>
    <xf numFmtId="168" fontId="2" fillId="2" borderId="0" xfId="1" applyNumberFormat="1" applyFont="1" applyFill="1" applyAlignment="1">
      <alignment vertical="center"/>
    </xf>
    <xf numFmtId="168" fontId="4" fillId="2" borderId="0" xfId="0" applyNumberFormat="1" applyFont="1" applyFill="1" applyAlignment="1">
      <alignment vertical="center"/>
    </xf>
    <xf numFmtId="0" fontId="3" fillId="3" borderId="2" xfId="0" applyFont="1" applyFill="1" applyBorder="1" applyAlignment="1">
      <alignment horizontal="right" vertical="center"/>
    </xf>
    <xf numFmtId="0" fontId="2" fillId="2" borderId="2" xfId="0" applyFont="1" applyFill="1" applyBorder="1" applyAlignment="1">
      <alignment vertical="center"/>
    </xf>
    <xf numFmtId="168" fontId="4" fillId="2" borderId="2" xfId="0" applyNumberFormat="1" applyFont="1" applyFill="1" applyBorder="1" applyAlignment="1">
      <alignment vertical="center"/>
    </xf>
    <xf numFmtId="0" fontId="4" fillId="5" borderId="3" xfId="0" applyFont="1" applyFill="1" applyBorder="1" applyAlignment="1">
      <alignment vertical="center"/>
    </xf>
    <xf numFmtId="168" fontId="4" fillId="5" borderId="4" xfId="0" applyNumberFormat="1" applyFont="1" applyFill="1" applyBorder="1" applyAlignment="1">
      <alignment vertical="center"/>
    </xf>
    <xf numFmtId="168" fontId="4" fillId="5" borderId="3" xfId="0" applyNumberFormat="1" applyFont="1" applyFill="1" applyBorder="1" applyAlignment="1">
      <alignment vertical="center"/>
    </xf>
    <xf numFmtId="0" fontId="4" fillId="5" borderId="5" xfId="0" applyFont="1" applyFill="1" applyBorder="1" applyAlignment="1">
      <alignment vertical="center"/>
    </xf>
    <xf numFmtId="0" fontId="4" fillId="5" borderId="6" xfId="0" applyFont="1" applyFill="1" applyBorder="1" applyAlignment="1">
      <alignment vertical="center"/>
    </xf>
    <xf numFmtId="0" fontId="5" fillId="2" borderId="0" xfId="0" applyFont="1" applyFill="1" applyAlignment="1">
      <alignment vertical="center"/>
    </xf>
    <xf numFmtId="168" fontId="5" fillId="2" borderId="2" xfId="0" applyNumberFormat="1" applyFont="1" applyFill="1" applyBorder="1" applyAlignment="1">
      <alignment vertical="center"/>
    </xf>
    <xf numFmtId="168" fontId="5" fillId="2" borderId="0" xfId="0" applyNumberFormat="1" applyFont="1" applyFill="1" applyAlignment="1">
      <alignment vertical="center"/>
    </xf>
    <xf numFmtId="4" fontId="2" fillId="4" borderId="0" xfId="0" applyNumberFormat="1" applyFont="1" applyFill="1" applyAlignment="1">
      <alignment horizontal="center" vertical="center"/>
    </xf>
    <xf numFmtId="2" fontId="4" fillId="5" borderId="7" xfId="0" applyNumberFormat="1" applyFont="1" applyFill="1" applyBorder="1" applyAlignment="1">
      <alignment vertical="center"/>
    </xf>
    <xf numFmtId="166" fontId="2" fillId="2" borderId="0" xfId="0" applyNumberFormat="1" applyFont="1" applyFill="1" applyAlignment="1">
      <alignment horizontal="center" vertical="center"/>
    </xf>
    <xf numFmtId="0" fontId="5" fillId="2" borderId="3" xfId="0" applyFont="1" applyFill="1" applyBorder="1" applyAlignment="1">
      <alignment vertical="center"/>
    </xf>
    <xf numFmtId="0" fontId="5" fillId="2" borderId="4" xfId="0" applyFont="1" applyFill="1" applyBorder="1" applyAlignment="1">
      <alignment vertical="center"/>
    </xf>
    <xf numFmtId="168" fontId="5" fillId="2" borderId="3" xfId="1" applyNumberFormat="1" applyFont="1" applyFill="1" applyBorder="1" applyAlignment="1">
      <alignment vertical="center"/>
    </xf>
    <xf numFmtId="168" fontId="5" fillId="2" borderId="3" xfId="0" applyNumberFormat="1" applyFont="1" applyFill="1" applyBorder="1" applyAlignment="1">
      <alignment vertical="center"/>
    </xf>
    <xf numFmtId="168" fontId="6" fillId="2" borderId="2" xfId="0" applyNumberFormat="1" applyFont="1" applyFill="1" applyBorder="1" applyAlignment="1">
      <alignment vertical="center"/>
    </xf>
    <xf numFmtId="168" fontId="5" fillId="2" borderId="0" xfId="1" applyNumberFormat="1" applyFont="1" applyFill="1" applyAlignment="1">
      <alignment vertical="center"/>
    </xf>
    <xf numFmtId="0" fontId="5" fillId="2" borderId="1" xfId="0" applyFont="1" applyFill="1" applyBorder="1" applyAlignment="1">
      <alignment vertical="center"/>
    </xf>
    <xf numFmtId="168" fontId="6" fillId="2" borderId="7" xfId="0" applyNumberFormat="1" applyFont="1" applyFill="1" applyBorder="1" applyAlignment="1">
      <alignment vertical="center"/>
    </xf>
    <xf numFmtId="168" fontId="5" fillId="2" borderId="1" xfId="1" applyNumberFormat="1" applyFont="1" applyFill="1" applyBorder="1" applyAlignment="1">
      <alignment vertical="center"/>
    </xf>
    <xf numFmtId="168" fontId="4" fillId="5" borderId="3" xfId="1" applyNumberFormat="1" applyFont="1" applyFill="1" applyBorder="1" applyAlignment="1">
      <alignment vertical="center"/>
    </xf>
    <xf numFmtId="169" fontId="2" fillId="2" borderId="0" xfId="0" applyNumberFormat="1" applyFont="1" applyFill="1" applyAlignment="1">
      <alignment horizontal="center" vertical="center"/>
    </xf>
    <xf numFmtId="0" fontId="4" fillId="4" borderId="3" xfId="0" applyFont="1" applyFill="1" applyBorder="1" applyAlignment="1">
      <alignment vertical="center"/>
    </xf>
    <xf numFmtId="168" fontId="4" fillId="4" borderId="4" xfId="0" applyNumberFormat="1" applyFont="1" applyFill="1" applyBorder="1" applyAlignment="1">
      <alignment vertical="center"/>
    </xf>
    <xf numFmtId="168" fontId="4" fillId="4" borderId="3" xfId="1" applyNumberFormat="1" applyFont="1" applyFill="1" applyBorder="1" applyAlignment="1">
      <alignment vertical="center"/>
    </xf>
    <xf numFmtId="0" fontId="4" fillId="4" borderId="5" xfId="0" applyFont="1" applyFill="1" applyBorder="1" applyAlignment="1">
      <alignment vertical="center"/>
    </xf>
    <xf numFmtId="0" fontId="4" fillId="4" borderId="6" xfId="0" applyFont="1" applyFill="1" applyBorder="1" applyAlignment="1">
      <alignment vertical="center"/>
    </xf>
    <xf numFmtId="2" fontId="4" fillId="4" borderId="7" xfId="0" applyNumberFormat="1" applyFont="1" applyFill="1" applyBorder="1" applyAlignment="1">
      <alignment vertical="center"/>
    </xf>
    <xf numFmtId="168" fontId="4" fillId="4" borderId="2" xfId="0" applyNumberFormat="1" applyFont="1" applyFill="1" applyBorder="1" applyAlignment="1">
      <alignment vertical="center"/>
    </xf>
    <xf numFmtId="168" fontId="2" fillId="4" borderId="0" xfId="1" applyNumberFormat="1" applyFont="1" applyFill="1" applyAlignment="1">
      <alignment vertical="center"/>
    </xf>
    <xf numFmtId="0" fontId="4" fillId="4" borderId="0" xfId="0" applyFont="1" applyFill="1" applyAlignment="1">
      <alignment vertical="center"/>
    </xf>
    <xf numFmtId="0" fontId="2" fillId="2" borderId="0" xfId="0" applyFont="1" applyFill="1" applyAlignment="1">
      <alignment horizontal="right" vertical="center"/>
    </xf>
    <xf numFmtId="164" fontId="2" fillId="2" borderId="0" xfId="0" applyNumberFormat="1" applyFont="1" applyFill="1" applyAlignment="1">
      <alignment vertical="center"/>
    </xf>
    <xf numFmtId="0" fontId="8" fillId="2" borderId="3" xfId="0" applyFont="1" applyFill="1" applyBorder="1" applyAlignment="1">
      <alignment vertical="center"/>
    </xf>
    <xf numFmtId="0" fontId="8" fillId="2" borderId="0" xfId="0" applyFont="1" applyFill="1" applyAlignment="1">
      <alignment vertical="center"/>
    </xf>
    <xf numFmtId="10" fontId="2" fillId="4" borderId="0" xfId="2" applyNumberFormat="1" applyFont="1" applyFill="1" applyAlignment="1">
      <alignment horizontal="center" vertical="center"/>
    </xf>
    <xf numFmtId="2" fontId="2" fillId="2" borderId="0" xfId="0" applyNumberFormat="1" applyFont="1" applyFill="1" applyAlignment="1">
      <alignment horizontal="center" vertical="center"/>
    </xf>
    <xf numFmtId="0" fontId="4" fillId="6" borderId="3" xfId="0" applyFont="1" applyFill="1" applyBorder="1" applyAlignment="1">
      <alignment vertical="center"/>
    </xf>
    <xf numFmtId="168" fontId="4" fillId="6" borderId="4" xfId="0" applyNumberFormat="1" applyFont="1" applyFill="1" applyBorder="1" applyAlignment="1">
      <alignment vertical="center"/>
    </xf>
    <xf numFmtId="168" fontId="4" fillId="6" borderId="3" xfId="1" applyNumberFormat="1" applyFont="1" applyFill="1" applyBorder="1" applyAlignment="1">
      <alignment vertical="center"/>
    </xf>
    <xf numFmtId="0" fontId="4" fillId="6" borderId="5" xfId="0" applyFont="1" applyFill="1" applyBorder="1" applyAlignment="1">
      <alignment vertical="center"/>
    </xf>
    <xf numFmtId="0" fontId="4" fillId="6" borderId="6" xfId="0" applyFont="1" applyFill="1" applyBorder="1" applyAlignment="1">
      <alignment vertical="center"/>
    </xf>
    <xf numFmtId="2" fontId="4" fillId="6" borderId="7" xfId="0" applyNumberFormat="1" applyFont="1" applyFill="1" applyBorder="1" applyAlignment="1">
      <alignment vertical="center"/>
    </xf>
    <xf numFmtId="168" fontId="2" fillId="2" borderId="2" xfId="0" applyNumberFormat="1" applyFont="1" applyFill="1" applyBorder="1" applyAlignment="1">
      <alignment vertical="center"/>
    </xf>
    <xf numFmtId="0" fontId="4" fillId="6" borderId="0" xfId="0" applyFont="1" applyFill="1" applyAlignment="1">
      <alignment vertical="center"/>
    </xf>
    <xf numFmtId="168" fontId="4" fillId="6" borderId="2" xfId="0" applyNumberFormat="1" applyFont="1" applyFill="1" applyBorder="1" applyAlignment="1">
      <alignment vertical="center"/>
    </xf>
    <xf numFmtId="168" fontId="2" fillId="6" borderId="0" xfId="1" applyNumberFormat="1" applyFont="1" applyFill="1" applyAlignment="1">
      <alignment vertical="center"/>
    </xf>
    <xf numFmtId="0" fontId="9" fillId="2" borderId="2" xfId="0" applyFont="1" applyFill="1" applyBorder="1" applyAlignment="1">
      <alignment vertical="center"/>
    </xf>
    <xf numFmtId="1" fontId="5" fillId="2" borderId="0" xfId="0" applyNumberFormat="1" applyFont="1" applyFill="1" applyAlignment="1">
      <alignment vertical="center"/>
    </xf>
    <xf numFmtId="9" fontId="5" fillId="2" borderId="0" xfId="2" applyFont="1" applyFill="1" applyAlignment="1">
      <alignment vertical="center"/>
    </xf>
    <xf numFmtId="9" fontId="9" fillId="2" borderId="2" xfId="0" applyNumberFormat="1" applyFont="1" applyFill="1" applyBorder="1" applyAlignment="1">
      <alignment vertical="center"/>
    </xf>
    <xf numFmtId="168" fontId="4" fillId="2" borderId="2" xfId="1" applyNumberFormat="1" applyFont="1" applyFill="1" applyBorder="1" applyAlignment="1">
      <alignment vertical="center"/>
    </xf>
    <xf numFmtId="166" fontId="5" fillId="2" borderId="0" xfId="2" applyNumberFormat="1" applyFont="1" applyFill="1" applyAlignment="1">
      <alignment vertical="center"/>
    </xf>
    <xf numFmtId="166" fontId="5" fillId="2" borderId="2" xfId="2" applyNumberFormat="1" applyFont="1" applyFill="1" applyBorder="1" applyAlignment="1">
      <alignment vertical="center"/>
    </xf>
    <xf numFmtId="0" fontId="2" fillId="2" borderId="4" xfId="0" applyFont="1" applyFill="1" applyBorder="1" applyAlignment="1">
      <alignment vertical="center"/>
    </xf>
    <xf numFmtId="166" fontId="10" fillId="2" borderId="0" xfId="2" applyNumberFormat="1" applyFont="1" applyFill="1" applyAlignment="1">
      <alignment vertical="center"/>
    </xf>
    <xf numFmtId="166" fontId="4" fillId="5" borderId="4" xfId="2" applyNumberFormat="1" applyFont="1" applyFill="1" applyBorder="1" applyAlignment="1">
      <alignment vertical="center"/>
    </xf>
    <xf numFmtId="166" fontId="4" fillId="6" borderId="4" xfId="2" applyNumberFormat="1" applyFont="1" applyFill="1" applyBorder="1" applyAlignment="1">
      <alignment vertical="center"/>
    </xf>
    <xf numFmtId="166" fontId="4" fillId="4" borderId="4" xfId="2" applyNumberFormat="1" applyFont="1" applyFill="1" applyBorder="1" applyAlignment="1">
      <alignment vertical="center"/>
    </xf>
    <xf numFmtId="10" fontId="5" fillId="2" borderId="0" xfId="2" applyNumberFormat="1" applyFont="1" applyFill="1" applyAlignment="1">
      <alignment vertical="center"/>
    </xf>
    <xf numFmtId="9" fontId="5" fillId="2" borderId="2" xfId="0" applyNumberFormat="1" applyFont="1" applyFill="1" applyBorder="1" applyAlignment="1">
      <alignment vertical="center"/>
    </xf>
    <xf numFmtId="166" fontId="4" fillId="5" borderId="4" xfId="2" applyNumberFormat="1" applyFont="1" applyFill="1" applyBorder="1" applyAlignment="1">
      <alignment horizontal="right" vertical="center"/>
    </xf>
    <xf numFmtId="2" fontId="4" fillId="5" borderId="7" xfId="0" applyNumberFormat="1" applyFont="1" applyFill="1" applyBorder="1" applyAlignment="1">
      <alignment horizontal="right" vertical="center"/>
    </xf>
    <xf numFmtId="168" fontId="2" fillId="4" borderId="3" xfId="1" applyNumberFormat="1" applyFont="1" applyFill="1" applyBorder="1" applyAlignment="1">
      <alignment vertical="center"/>
    </xf>
    <xf numFmtId="168" fontId="2" fillId="6" borderId="3" xfId="1" applyNumberFormat="1" applyFont="1" applyFill="1" applyBorder="1" applyAlignment="1">
      <alignment vertical="center"/>
    </xf>
    <xf numFmtId="0" fontId="4" fillId="8" borderId="0" xfId="0" applyFont="1" applyFill="1"/>
    <xf numFmtId="0" fontId="2" fillId="8" borderId="0" xfId="0" applyFont="1" applyFill="1"/>
    <xf numFmtId="0" fontId="12" fillId="8" borderId="0" xfId="0" applyFont="1" applyFill="1"/>
    <xf numFmtId="0" fontId="12" fillId="8" borderId="0" xfId="0" applyFont="1" applyFill="1" applyAlignment="1">
      <alignment horizontal="center"/>
    </xf>
    <xf numFmtId="164" fontId="12" fillId="8" borderId="0" xfId="0" applyNumberFormat="1" applyFont="1" applyFill="1" applyAlignment="1">
      <alignment horizontal="center"/>
    </xf>
    <xf numFmtId="0" fontId="3" fillId="8" borderId="8" xfId="0" applyFont="1" applyFill="1" applyBorder="1"/>
    <xf numFmtId="0" fontId="2" fillId="8" borderId="8" xfId="0" applyFont="1" applyFill="1" applyBorder="1"/>
    <xf numFmtId="0" fontId="0" fillId="8" borderId="0" xfId="0" applyFill="1"/>
    <xf numFmtId="0" fontId="13" fillId="8" borderId="8" xfId="0" applyFont="1" applyFill="1" applyBorder="1"/>
    <xf numFmtId="0" fontId="0" fillId="8" borderId="8" xfId="0" applyFill="1" applyBorder="1"/>
    <xf numFmtId="0" fontId="14" fillId="8" borderId="0" xfId="0" applyFont="1" applyFill="1" applyAlignment="1">
      <alignment vertical="center" wrapText="1"/>
    </xf>
    <xf numFmtId="0" fontId="10" fillId="8" borderId="0" xfId="0" applyFont="1" applyFill="1"/>
    <xf numFmtId="0" fontId="4" fillId="2" borderId="0" xfId="0" applyFont="1" applyFill="1" applyAlignment="1">
      <alignment horizontal="center" vertical="center"/>
    </xf>
    <xf numFmtId="0" fontId="2" fillId="2" borderId="0" xfId="0" applyFont="1" applyFill="1" applyAlignment="1">
      <alignment horizontal="left" vertical="center"/>
    </xf>
    <xf numFmtId="168" fontId="4" fillId="5" borderId="4" xfId="1" applyNumberFormat="1" applyFont="1" applyFill="1" applyBorder="1" applyAlignment="1">
      <alignment vertical="center"/>
    </xf>
    <xf numFmtId="0" fontId="16" fillId="9" borderId="3" xfId="0" applyFont="1" applyFill="1" applyBorder="1" applyAlignment="1">
      <alignment vertical="center"/>
    </xf>
    <xf numFmtId="168" fontId="16" fillId="9" borderId="4" xfId="0" applyNumberFormat="1" applyFont="1" applyFill="1" applyBorder="1" applyAlignment="1">
      <alignment vertical="center"/>
    </xf>
    <xf numFmtId="168" fontId="16" fillId="9" borderId="3" xfId="0" applyNumberFormat="1" applyFont="1" applyFill="1" applyBorder="1" applyAlignment="1">
      <alignment vertical="center"/>
    </xf>
    <xf numFmtId="0" fontId="4" fillId="2" borderId="0" xfId="0" applyFont="1" applyFill="1" applyAlignment="1">
      <alignment horizontal="left" vertical="center"/>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xf>
    <xf numFmtId="0" fontId="17" fillId="7" borderId="0" xfId="0" applyFont="1" applyFill="1" applyAlignment="1">
      <alignment horizontal="left" vertical="center"/>
    </xf>
    <xf numFmtId="0" fontId="3" fillId="7" borderId="0" xfId="0" applyFont="1" applyFill="1" applyAlignment="1">
      <alignment horizontal="right" vertical="center"/>
    </xf>
    <xf numFmtId="164" fontId="3" fillId="7" borderId="0" xfId="0" applyNumberFormat="1" applyFont="1" applyFill="1" applyAlignment="1">
      <alignment vertical="center"/>
    </xf>
    <xf numFmtId="164" fontId="17" fillId="7" borderId="0" xfId="0" applyNumberFormat="1" applyFont="1" applyFill="1" applyAlignment="1">
      <alignment vertical="center"/>
    </xf>
    <xf numFmtId="0" fontId="11" fillId="2" borderId="0" xfId="0" applyFont="1" applyFill="1" applyAlignment="1">
      <alignment vertical="center"/>
    </xf>
    <xf numFmtId="0" fontId="11" fillId="2" borderId="0" xfId="0" applyFont="1" applyFill="1"/>
    <xf numFmtId="0" fontId="11" fillId="2" borderId="1" xfId="0" applyFont="1" applyFill="1" applyBorder="1" applyAlignment="1">
      <alignment vertical="center"/>
    </xf>
    <xf numFmtId="0" fontId="11" fillId="2" borderId="9" xfId="0" applyFont="1" applyFill="1" applyBorder="1" applyAlignment="1">
      <alignment vertical="center"/>
    </xf>
    <xf numFmtId="0" fontId="11" fillId="2" borderId="2" xfId="0" applyFont="1" applyFill="1" applyBorder="1" applyAlignment="1">
      <alignment vertical="center"/>
    </xf>
    <xf numFmtId="0" fontId="19" fillId="2" borderId="9" xfId="0" applyFont="1" applyFill="1" applyBorder="1" applyAlignment="1">
      <alignment vertical="center"/>
    </xf>
    <xf numFmtId="0" fontId="19" fillId="2" borderId="0" xfId="0" applyFont="1" applyFill="1" applyAlignment="1">
      <alignment vertical="center"/>
    </xf>
    <xf numFmtId="170" fontId="19" fillId="2" borderId="9" xfId="0" applyNumberFormat="1" applyFont="1" applyFill="1" applyBorder="1" applyAlignment="1">
      <alignment vertical="center"/>
    </xf>
    <xf numFmtId="170" fontId="19" fillId="2" borderId="0" xfId="0" applyNumberFormat="1" applyFont="1" applyFill="1" applyAlignment="1">
      <alignment vertical="center"/>
    </xf>
    <xf numFmtId="9" fontId="19" fillId="2" borderId="0" xfId="2" applyFont="1" applyFill="1" applyAlignment="1">
      <alignment vertical="center"/>
    </xf>
    <xf numFmtId="171" fontId="19" fillId="2" borderId="0" xfId="0" applyNumberFormat="1" applyFont="1" applyFill="1" applyAlignment="1">
      <alignment vertical="center"/>
    </xf>
    <xf numFmtId="165" fontId="11" fillId="2" borderId="0" xfId="0" applyNumberFormat="1" applyFont="1" applyFill="1" applyAlignment="1">
      <alignment vertical="center"/>
    </xf>
    <xf numFmtId="0" fontId="11" fillId="2" borderId="6" xfId="0" applyFont="1" applyFill="1" applyBorder="1" applyAlignment="1">
      <alignment vertical="center"/>
    </xf>
    <xf numFmtId="0" fontId="11" fillId="10" borderId="0" xfId="0" applyFont="1" applyFill="1"/>
    <xf numFmtId="0" fontId="11" fillId="10" borderId="0" xfId="0" applyFont="1" applyFill="1" applyAlignment="1">
      <alignment vertical="center"/>
    </xf>
    <xf numFmtId="166" fontId="2" fillId="10" borderId="0" xfId="2" applyNumberFormat="1" applyFont="1" applyFill="1" applyAlignment="1">
      <alignment horizontal="center" vertical="center"/>
    </xf>
    <xf numFmtId="9" fontId="11" fillId="10" borderId="0" xfId="2" applyFont="1" applyFill="1" applyAlignment="1">
      <alignment horizontal="center" vertical="center"/>
    </xf>
    <xf numFmtId="0" fontId="11" fillId="10" borderId="0" xfId="0" applyFont="1" applyFill="1" applyAlignment="1">
      <alignment vertical="center" wrapText="1"/>
    </xf>
    <xf numFmtId="165" fontId="2" fillId="10" borderId="0" xfId="0" applyNumberFormat="1" applyFont="1" applyFill="1" applyAlignment="1">
      <alignment horizontal="center" vertical="center"/>
    </xf>
    <xf numFmtId="165" fontId="11" fillId="10" borderId="0" xfId="0" applyNumberFormat="1" applyFont="1" applyFill="1" applyAlignment="1">
      <alignment horizontal="center" vertical="center"/>
    </xf>
    <xf numFmtId="0" fontId="18" fillId="2" borderId="0" xfId="0" applyFont="1" applyFill="1" applyAlignment="1">
      <alignment vertical="center"/>
    </xf>
    <xf numFmtId="0" fontId="18" fillId="2" borderId="2" xfId="0" applyFont="1" applyFill="1" applyBorder="1" applyAlignment="1">
      <alignment vertical="center"/>
    </xf>
    <xf numFmtId="0" fontId="25" fillId="8" borderId="0" xfId="0" applyFont="1" applyFill="1" applyAlignment="1">
      <alignment vertical="center"/>
    </xf>
    <xf numFmtId="0" fontId="32" fillId="0" borderId="0" xfId="0" applyFont="1"/>
    <xf numFmtId="0" fontId="33" fillId="0" borderId="0" xfId="0" applyFont="1"/>
    <xf numFmtId="17" fontId="0" fillId="0" borderId="0" xfId="0" applyNumberFormat="1"/>
    <xf numFmtId="0" fontId="34" fillId="0" borderId="0" xfId="0" applyFont="1"/>
    <xf numFmtId="1" fontId="0" fillId="0" borderId="0" xfId="0" applyNumberFormat="1"/>
    <xf numFmtId="6" fontId="0" fillId="0" borderId="0" xfId="0" applyNumberFormat="1"/>
    <xf numFmtId="1" fontId="34" fillId="0" borderId="0" xfId="0" applyNumberFormat="1" applyFont="1" applyAlignment="1">
      <alignment horizontal="center" vertical="center" wrapText="1"/>
    </xf>
    <xf numFmtId="172" fontId="0" fillId="0" borderId="0" xfId="0" applyNumberFormat="1"/>
    <xf numFmtId="173" fontId="0" fillId="0" borderId="0" xfId="0" applyNumberFormat="1"/>
    <xf numFmtId="0" fontId="36" fillId="0" borderId="0" xfId="0" applyFont="1"/>
    <xf numFmtId="173" fontId="37" fillId="0" borderId="0" xfId="0" applyNumberFormat="1" applyFont="1" applyAlignment="1">
      <alignment horizontal="right" vertical="center"/>
    </xf>
    <xf numFmtId="0" fontId="29" fillId="12" borderId="11" xfId="0" applyFont="1" applyFill="1" applyBorder="1" applyAlignment="1">
      <alignment horizontal="center" vertical="center" wrapText="1"/>
    </xf>
    <xf numFmtId="0" fontId="30" fillId="0" borderId="11" xfId="0" applyFont="1" applyBorder="1" applyAlignment="1">
      <alignment horizontal="left" vertical="center" wrapText="1"/>
    </xf>
    <xf numFmtId="17" fontId="30" fillId="13" borderId="11" xfId="0" applyNumberFormat="1" applyFont="1" applyFill="1" applyBorder="1" applyAlignment="1">
      <alignment horizontal="left" vertical="center" wrapText="1"/>
    </xf>
    <xf numFmtId="0" fontId="30" fillId="13" borderId="11" xfId="0" applyFont="1" applyFill="1" applyBorder="1" applyAlignment="1">
      <alignment horizontal="left" vertical="center" wrapText="1"/>
    </xf>
    <xf numFmtId="1" fontId="30" fillId="13" borderId="11" xfId="0" applyNumberFormat="1" applyFont="1" applyFill="1" applyBorder="1" applyAlignment="1">
      <alignment horizontal="left" vertical="center" wrapText="1"/>
    </xf>
    <xf numFmtId="0" fontId="29" fillId="14" borderId="11" xfId="0" applyFont="1" applyFill="1" applyBorder="1" applyAlignment="1">
      <alignment horizontal="left" vertical="center" wrapText="1"/>
    </xf>
    <xf numFmtId="166" fontId="30" fillId="15" borderId="11" xfId="0" applyNumberFormat="1" applyFont="1" applyFill="1" applyBorder="1" applyAlignment="1">
      <alignment horizontal="left" vertical="center" wrapText="1"/>
    </xf>
    <xf numFmtId="0" fontId="30" fillId="15" borderId="11" xfId="0" applyFont="1" applyFill="1" applyBorder="1" applyAlignment="1">
      <alignment horizontal="left" vertical="center" wrapText="1"/>
    </xf>
    <xf numFmtId="0" fontId="0" fillId="0" borderId="11" xfId="0" applyBorder="1"/>
    <xf numFmtId="0" fontId="30" fillId="15" borderId="11" xfId="0" applyFont="1" applyFill="1" applyBorder="1" applyAlignment="1">
      <alignment horizontal="center" vertical="center" wrapText="1"/>
    </xf>
    <xf numFmtId="1" fontId="30" fillId="15" borderId="11" xfId="0" applyNumberFormat="1" applyFont="1" applyFill="1" applyBorder="1" applyAlignment="1">
      <alignment horizontal="left" vertical="center" wrapText="1"/>
    </xf>
    <xf numFmtId="173" fontId="30" fillId="15" borderId="11" xfId="0" applyNumberFormat="1" applyFont="1" applyFill="1" applyBorder="1" applyAlignment="1">
      <alignment horizontal="left" vertical="center" wrapText="1"/>
    </xf>
    <xf numFmtId="0" fontId="0" fillId="12" borderId="11" xfId="0" applyFill="1" applyBorder="1"/>
    <xf numFmtId="0" fontId="29" fillId="14" borderId="11" xfId="0" applyFont="1" applyFill="1" applyBorder="1" applyAlignment="1">
      <alignment horizontal="center" vertical="center" wrapText="1"/>
    </xf>
    <xf numFmtId="0" fontId="30" fillId="13" borderId="11" xfId="0" applyFont="1" applyFill="1" applyBorder="1" applyAlignment="1">
      <alignment horizontal="center" vertical="center" wrapText="1"/>
    </xf>
    <xf numFmtId="6" fontId="30" fillId="13" borderId="11" xfId="0" applyNumberFormat="1" applyFont="1" applyFill="1" applyBorder="1" applyAlignment="1">
      <alignment horizontal="right" vertical="center"/>
    </xf>
    <xf numFmtId="6" fontId="29" fillId="14" borderId="11" xfId="0" applyNumberFormat="1" applyFont="1" applyFill="1" applyBorder="1" applyAlignment="1">
      <alignment horizontal="right" vertical="center"/>
    </xf>
    <xf numFmtId="0" fontId="0" fillId="13" borderId="11" xfId="0" applyFill="1" applyBorder="1" applyAlignment="1">
      <alignment horizontal="center" vertical="center" wrapText="1"/>
    </xf>
    <xf numFmtId="6" fontId="0" fillId="13" borderId="11" xfId="0" applyNumberFormat="1" applyFill="1" applyBorder="1" applyAlignment="1">
      <alignment horizontal="right" vertical="center"/>
    </xf>
    <xf numFmtId="0" fontId="0" fillId="0" borderId="12" xfId="0" applyBorder="1"/>
    <xf numFmtId="0" fontId="0" fillId="0" borderId="13" xfId="0" applyBorder="1"/>
    <xf numFmtId="0" fontId="38" fillId="16" borderId="0" xfId="0" applyFont="1" applyFill="1" applyAlignment="1">
      <alignment vertical="center"/>
    </xf>
    <xf numFmtId="0" fontId="0" fillId="16" borderId="0" xfId="0" applyFill="1"/>
    <xf numFmtId="0" fontId="39" fillId="16" borderId="0" xfId="0" applyFont="1" applyFill="1"/>
    <xf numFmtId="0" fontId="0" fillId="16" borderId="0" xfId="0" applyFill="1" applyAlignment="1">
      <alignment horizontal="left" vertical="center" indent="1"/>
    </xf>
    <xf numFmtId="0" fontId="39" fillId="16" borderId="0" xfId="0" applyFont="1" applyFill="1" applyAlignment="1">
      <alignment horizontal="left" vertical="center" indent="1"/>
    </xf>
    <xf numFmtId="0" fontId="0" fillId="16" borderId="0" xfId="0" applyFill="1" applyAlignment="1">
      <alignment horizontal="left" vertical="center" indent="2"/>
    </xf>
    <xf numFmtId="0" fontId="39" fillId="16" borderId="0" xfId="0" applyFont="1" applyFill="1" applyAlignment="1">
      <alignment horizontal="left" vertical="center" indent="2"/>
    </xf>
    <xf numFmtId="0" fontId="40" fillId="12" borderId="11" xfId="0" applyFont="1" applyFill="1" applyBorder="1" applyAlignment="1">
      <alignment vertical="center"/>
    </xf>
    <xf numFmtId="0" fontId="41" fillId="12" borderId="11" xfId="0" applyFont="1" applyFill="1" applyBorder="1" applyAlignment="1">
      <alignment horizontal="center" vertical="center" wrapText="1"/>
    </xf>
    <xf numFmtId="0" fontId="40" fillId="12" borderId="11" xfId="0" applyFont="1" applyFill="1" applyBorder="1" applyAlignment="1">
      <alignment horizontal="center" vertical="center"/>
    </xf>
    <xf numFmtId="0" fontId="40" fillId="12" borderId="14" xfId="0" applyFont="1" applyFill="1" applyBorder="1" applyAlignment="1">
      <alignment horizontal="center" vertical="center"/>
    </xf>
    <xf numFmtId="0" fontId="40" fillId="12" borderId="12" xfId="0" applyFont="1" applyFill="1" applyBorder="1" applyAlignment="1">
      <alignment horizontal="center" vertical="center"/>
    </xf>
    <xf numFmtId="0" fontId="40" fillId="13" borderId="11" xfId="0" applyFont="1" applyFill="1" applyBorder="1" applyAlignment="1">
      <alignment horizontal="left" vertical="center" wrapText="1"/>
    </xf>
    <xf numFmtId="168" fontId="2" fillId="2" borderId="0" xfId="0" applyNumberFormat="1" applyFont="1" applyFill="1" applyAlignment="1">
      <alignment vertical="center"/>
    </xf>
    <xf numFmtId="6" fontId="30" fillId="17" borderId="11" xfId="0" applyNumberFormat="1" applyFont="1" applyFill="1" applyBorder="1" applyAlignment="1">
      <alignment horizontal="right" vertical="center"/>
    </xf>
    <xf numFmtId="6" fontId="30" fillId="18" borderId="11" xfId="0" applyNumberFormat="1" applyFont="1" applyFill="1" applyBorder="1" applyAlignment="1">
      <alignment horizontal="right" vertical="center"/>
    </xf>
    <xf numFmtId="6" fontId="30" fillId="19" borderId="11" xfId="0" applyNumberFormat="1" applyFont="1" applyFill="1" applyBorder="1" applyAlignment="1">
      <alignment horizontal="right" vertical="center"/>
    </xf>
    <xf numFmtId="6" fontId="40" fillId="17" borderId="11" xfId="0" applyNumberFormat="1" applyFont="1" applyFill="1" applyBorder="1" applyAlignment="1">
      <alignment horizontal="center" vertical="center" wrapText="1"/>
    </xf>
    <xf numFmtId="6" fontId="40" fillId="18" borderId="11" xfId="0" applyNumberFormat="1" applyFont="1" applyFill="1" applyBorder="1" applyAlignment="1">
      <alignment horizontal="center" vertical="center"/>
    </xf>
    <xf numFmtId="6" fontId="40" fillId="19" borderId="11" xfId="0" applyNumberFormat="1" applyFont="1" applyFill="1" applyBorder="1" applyAlignment="1">
      <alignment horizontal="center" vertical="center"/>
    </xf>
    <xf numFmtId="0" fontId="1" fillId="0" borderId="0" xfId="0" applyFont="1"/>
    <xf numFmtId="6" fontId="1" fillId="0" borderId="0" xfId="0" applyNumberFormat="1" applyFont="1"/>
    <xf numFmtId="0" fontId="40" fillId="12" borderId="11" xfId="0" applyFont="1" applyFill="1" applyBorder="1" applyAlignment="1">
      <alignment vertical="center" wrapText="1"/>
    </xf>
    <xf numFmtId="0" fontId="40" fillId="12" borderId="11" xfId="0" applyFont="1" applyFill="1" applyBorder="1" applyAlignment="1">
      <alignment horizontal="center" vertical="center" wrapText="1"/>
    </xf>
    <xf numFmtId="0" fontId="1" fillId="16" borderId="0" xfId="0" applyFont="1" applyFill="1"/>
    <xf numFmtId="0" fontId="1" fillId="16" borderId="0" xfId="0" applyFont="1" applyFill="1" applyAlignment="1">
      <alignment horizontal="left" vertical="center" indent="2"/>
    </xf>
    <xf numFmtId="0" fontId="28" fillId="11" borderId="0" xfId="0" applyFont="1" applyFill="1" applyAlignment="1">
      <alignment horizontal="left" vertical="center" wrapText="1"/>
    </xf>
    <xf numFmtId="0" fontId="0" fillId="0" borderId="0" xfId="0"/>
    <xf numFmtId="0" fontId="26" fillId="0" borderId="0" xfId="0" applyFont="1"/>
    <xf numFmtId="0" fontId="28" fillId="11" borderId="15" xfId="0" applyFont="1" applyFill="1" applyBorder="1" applyAlignment="1">
      <alignment horizontal="left" vertical="center" wrapText="1"/>
    </xf>
    <xf numFmtId="0" fontId="0" fillId="0" borderId="15" xfId="0" applyBorder="1"/>
    <xf numFmtId="0" fontId="30" fillId="13" borderId="11" xfId="0" applyFont="1" applyFill="1" applyBorder="1" applyAlignment="1">
      <alignment horizontal="left" vertical="center" wrapText="1"/>
    </xf>
    <xf numFmtId="0" fontId="15" fillId="0" borderId="0" xfId="0" applyFont="1" applyAlignment="1">
      <alignment horizontal="center"/>
    </xf>
    <xf numFmtId="0" fontId="2" fillId="8" borderId="0" xfId="0" applyFont="1" applyFill="1"/>
    <xf numFmtId="0" fontId="19" fillId="2" borderId="0" xfId="0" applyFont="1" applyFill="1" applyAlignment="1">
      <alignment horizontal="center" vertical="center"/>
    </xf>
    <xf numFmtId="0" fontId="11" fillId="2" borderId="0" xfId="0" applyFont="1" applyFill="1" applyAlignment="1">
      <alignment vertical="center"/>
    </xf>
    <xf numFmtId="0" fontId="21" fillId="8" borderId="10" xfId="0" applyFont="1" applyFill="1" applyBorder="1" applyAlignment="1">
      <alignment horizontal="center" vertical="center"/>
    </xf>
    <xf numFmtId="0" fontId="0" fillId="0" borderId="3" xfId="0" applyBorder="1"/>
    <xf numFmtId="0" fontId="0" fillId="0" borderId="4" xfId="0" applyBorder="1"/>
    <xf numFmtId="0" fontId="8" fillId="5" borderId="0" xfId="0" applyFont="1" applyFill="1" applyAlignment="1">
      <alignment horizontal="center" vertical="center"/>
    </xf>
    <xf numFmtId="172" fontId="19" fillId="2" borderId="0" xfId="0" applyNumberFormat="1" applyFont="1" applyFill="1" applyAlignment="1">
      <alignment horizontal="center" vertical="center"/>
    </xf>
    <xf numFmtId="0" fontId="8" fillId="5" borderId="3" xfId="0" applyFont="1" applyFill="1" applyBorder="1" applyAlignment="1">
      <alignment horizontal="center" vertical="center"/>
    </xf>
    <xf numFmtId="0" fontId="8" fillId="5" borderId="5" xfId="0" applyFont="1" applyFill="1" applyBorder="1" applyAlignment="1">
      <alignment horizontal="center" vertical="center"/>
    </xf>
    <xf numFmtId="170" fontId="19" fillId="2" borderId="9" xfId="0" applyNumberFormat="1" applyFont="1" applyFill="1" applyBorder="1" applyAlignment="1">
      <alignment horizontal="center" vertical="center"/>
    </xf>
    <xf numFmtId="0" fontId="0" fillId="0" borderId="9" xfId="0" applyBorder="1"/>
    <xf numFmtId="170" fontId="19" fillId="2" borderId="0" xfId="0" applyNumberFormat="1" applyFont="1" applyFill="1" applyAlignment="1">
      <alignment horizontal="center" vertical="center"/>
    </xf>
    <xf numFmtId="171" fontId="19" fillId="2" borderId="0" xfId="0" applyNumberFormat="1" applyFont="1" applyFill="1" applyAlignment="1">
      <alignment horizontal="center" vertical="center"/>
    </xf>
    <xf numFmtId="0" fontId="24" fillId="2" borderId="2" xfId="0" applyFont="1" applyFill="1" applyBorder="1" applyAlignment="1">
      <alignment horizontal="center" vertical="center"/>
    </xf>
    <xf numFmtId="0" fontId="0" fillId="0" borderId="2" xfId="0" applyBorder="1"/>
    <xf numFmtId="0" fontId="20" fillId="2" borderId="9" xfId="0" applyFont="1" applyFill="1" applyBorder="1" applyAlignment="1">
      <alignment horizontal="center" vertical="center"/>
    </xf>
    <xf numFmtId="0" fontId="13" fillId="3" borderId="6" xfId="0" applyFont="1" applyFill="1" applyBorder="1" applyAlignment="1">
      <alignment horizontal="center" vertical="center"/>
    </xf>
    <xf numFmtId="0" fontId="0" fillId="0" borderId="1" xfId="0" applyBorder="1"/>
    <xf numFmtId="0" fontId="8" fillId="5" borderId="4" xfId="0" applyFont="1" applyFill="1" applyBorder="1" applyAlignment="1">
      <alignment horizontal="center" vertical="center"/>
    </xf>
    <xf numFmtId="0" fontId="13" fillId="3" borderId="1" xfId="0" applyFont="1" applyFill="1" applyBorder="1" applyAlignment="1">
      <alignment horizontal="center" vertical="center"/>
    </xf>
    <xf numFmtId="0" fontId="24" fillId="2" borderId="0" xfId="0" applyFont="1" applyFill="1" applyAlignment="1">
      <alignment horizontal="center" vertical="center"/>
    </xf>
    <xf numFmtId="0" fontId="8" fillId="5" borderId="9" xfId="0" applyFont="1" applyFill="1" applyBorder="1" applyAlignment="1">
      <alignment horizontal="center" vertical="center"/>
    </xf>
    <xf numFmtId="0" fontId="13" fillId="7" borderId="7" xfId="0" applyFont="1" applyFill="1" applyBorder="1" applyAlignment="1">
      <alignment horizontal="center" vertical="center"/>
    </xf>
    <xf numFmtId="0" fontId="0" fillId="0" borderId="7" xfId="0" applyBorder="1"/>
    <xf numFmtId="9" fontId="19" fillId="2" borderId="2" xfId="2" applyFont="1" applyFill="1" applyBorder="1" applyAlignment="1">
      <alignment horizontal="center" vertical="center"/>
    </xf>
    <xf numFmtId="0" fontId="23" fillId="0" borderId="7" xfId="0" applyFont="1" applyBorder="1" applyAlignment="1">
      <alignment horizontal="center" vertical="center" wrapText="1"/>
    </xf>
    <xf numFmtId="9" fontId="19" fillId="2" borderId="0" xfId="2" applyFont="1" applyFill="1" applyAlignment="1">
      <alignment horizontal="center" vertical="center"/>
    </xf>
    <xf numFmtId="0" fontId="19" fillId="2" borderId="9" xfId="0" applyFont="1" applyFill="1" applyBorder="1" applyAlignment="1">
      <alignment horizontal="center" vertical="center"/>
    </xf>
    <xf numFmtId="0" fontId="13" fillId="7" borderId="1" xfId="0" applyFont="1" applyFill="1" applyBorder="1" applyAlignment="1">
      <alignment horizontal="center" vertical="center"/>
    </xf>
    <xf numFmtId="0" fontId="22" fillId="5"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7" fillId="8" borderId="0" xfId="0" applyFont="1" applyFill="1" applyAlignment="1">
      <alignment horizontal="left" wrapText="1"/>
    </xf>
    <xf numFmtId="0" fontId="0" fillId="8" borderId="0" xfId="0" applyFill="1"/>
    <xf numFmtId="0" fontId="14" fillId="8" borderId="0" xfId="0" applyFont="1" applyFill="1" applyAlignment="1">
      <alignment horizontal="left" vertical="center" wrapText="1"/>
    </xf>
    <xf numFmtId="0" fontId="2" fillId="4" borderId="0" xfId="0" applyFont="1" applyFill="1" applyAlignment="1">
      <alignment horizontal="center" vertical="center"/>
    </xf>
    <xf numFmtId="0" fontId="2" fillId="2" borderId="0" xfId="0" applyFont="1" applyFill="1" applyAlignment="1">
      <alignment vertical="center"/>
    </xf>
    <xf numFmtId="0" fontId="2" fillId="2" borderId="0" xfId="0" applyFont="1" applyFill="1" applyAlignment="1">
      <alignment horizontal="center" vertical="center"/>
    </xf>
    <xf numFmtId="0" fontId="35" fillId="0" borderId="0" xfId="0" applyFont="1"/>
    <xf numFmtId="0" fontId="34" fillId="0" borderId="0" xfId="0" applyFont="1"/>
    <xf numFmtId="0" fontId="31" fillId="11" borderId="0" xfId="0" applyFont="1" applyFill="1"/>
    <xf numFmtId="0" fontId="0" fillId="0" borderId="12" xfId="0" applyBorder="1"/>
    <xf numFmtId="0" fontId="0" fillId="0" borderId="13" xfId="0" applyBorder="1"/>
    <xf numFmtId="0" fontId="29" fillId="12" borderId="11" xfId="0" applyFont="1" applyFill="1" applyBorder="1" applyAlignment="1">
      <alignment horizontal="center" vertical="center" wrapText="1"/>
    </xf>
    <xf numFmtId="0" fontId="27" fillId="0" borderId="0" xfId="0" applyFont="1"/>
    <xf numFmtId="0" fontId="29" fillId="14" borderId="11" xfId="0" applyFont="1" applyFill="1" applyBorder="1" applyAlignment="1">
      <alignment horizontal="left" vertical="center" wrapText="1"/>
    </xf>
    <xf numFmtId="0" fontId="29" fillId="14" borderId="14" xfId="0" applyFont="1" applyFill="1" applyBorder="1" applyAlignment="1">
      <alignment horizontal="center" vertical="center" wrapText="1"/>
    </xf>
    <xf numFmtId="0" fontId="29" fillId="14" borderId="12" xfId="0" applyFont="1" applyFill="1" applyBorder="1" applyAlignment="1">
      <alignment horizontal="center" vertical="center" wrapText="1"/>
    </xf>
    <xf numFmtId="0" fontId="28" fillId="11" borderId="0" xfId="0" applyFont="1" applyFill="1" applyAlignment="1">
      <alignment horizontal="center" vertical="center" wrapText="1"/>
    </xf>
  </cellXfs>
  <cellStyles count="3">
    <cellStyle name="Comma" xfId="1" xr:uid="{00000000-0005-0000-0000-000001000000}"/>
    <cellStyle name="Normal" xfId="0" builtinId="0"/>
    <cellStyle name="Per cent" xfId="2" xr:uid="{00000000-0005-0000-0000-00000200000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clustered"/>
        <c:varyColors val="0"/>
        <c:ser>
          <c:idx val="0"/>
          <c:order val="0"/>
          <c:spPr>
            <a:solidFill>
              <a:srgbClr val="A6CAEC"/>
            </a:solidFill>
            <a:ln>
              <a:noFill/>
              <a:prstDash val="solid"/>
            </a:ln>
          </c:spPr>
          <c:invertIfNegative val="1"/>
          <c:cat>
            <c:strRef>
              <c:f>Dashboard!$AM$5:$AM$6</c:f>
              <c:strCache>
                <c:ptCount val="2"/>
                <c:pt idx="0">
                  <c:v>Day 1 Yield</c:v>
                </c:pt>
                <c:pt idx="1">
                  <c:v>Stabilized Yield</c:v>
                </c:pt>
              </c:strCache>
            </c:strRef>
          </c:cat>
          <c:val>
            <c:numRef>
              <c:f>Dashboard!$AN$5:$AN$6</c:f>
              <c:numCache>
                <c:formatCode>0%</c:formatCode>
                <c:ptCount val="2"/>
                <c:pt idx="0" formatCode="0.0%">
                  <c:v>0.02</c:v>
                </c:pt>
                <c:pt idx="1">
                  <c:v>0.15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2041-4566-BD88-C6CCD7E5053B}"/>
            </c:ext>
          </c:extLst>
        </c:ser>
        <c:dLbls>
          <c:showLegendKey val="0"/>
          <c:showVal val="0"/>
          <c:showCatName val="0"/>
          <c:showSerName val="0"/>
          <c:showPercent val="0"/>
          <c:showBubbleSize val="0"/>
        </c:dLbls>
        <c:gapWidth val="219"/>
        <c:overlap val="-27"/>
        <c:axId val="48650112"/>
        <c:axId val="48672768"/>
      </c:barChart>
      <c:catAx>
        <c:axId val="48650112"/>
        <c:scaling>
          <c:orientation val="minMax"/>
        </c:scaling>
        <c:delete val="0"/>
        <c:axPos val="b"/>
        <c:numFmt formatCode="General" sourceLinked="1"/>
        <c:majorTickMark val="none"/>
        <c:minorTickMark val="none"/>
        <c:tickLblPos val="nextTo"/>
        <c:spPr>
          <a:ln w="9525">
            <a:solidFill>
              <a:schemeClr val="dk1">
                <a:lumMod val="15000"/>
                <a:lumOff val="85000"/>
              </a:schemeClr>
            </a:solidFill>
            <a:prstDash val="solid"/>
          </a:ln>
        </c:spPr>
        <c:txPr>
          <a:bodyPr anchor="ctr" anchorCtr="1"/>
          <a:lstStyle/>
          <a:p>
            <a:pPr>
              <a:defRPr sz="900">
                <a:solidFill>
                  <a:schemeClr val="dk1">
                    <a:lumMod val="65000"/>
                    <a:lumOff val="35000"/>
                  </a:schemeClr>
                </a:solidFill>
                <a:latin typeface="+mn-lt"/>
                <a:ea typeface="+mn-lt"/>
                <a:cs typeface="+mn-lt"/>
              </a:defRPr>
            </a:pPr>
            <a:endParaRPr lang="es-MX"/>
          </a:p>
        </c:txPr>
        <c:crossAx val="48672768"/>
        <c:crosses val="autoZero"/>
        <c:auto val="1"/>
        <c:lblAlgn val="ctr"/>
        <c:lblOffset val="100"/>
        <c:noMultiLvlLbl val="0"/>
      </c:catAx>
      <c:valAx>
        <c:axId val="48672768"/>
        <c:scaling>
          <c:orientation val="minMax"/>
        </c:scaling>
        <c:delete val="0"/>
        <c:axPos val="l"/>
        <c:majorGridlines>
          <c:spPr>
            <a:ln w="9525">
              <a:noFill/>
              <a:prstDash val="solid"/>
            </a:ln>
          </c:spPr>
        </c:majorGridlines>
        <c:numFmt formatCode="0.0%" sourceLinked="1"/>
        <c:majorTickMark val="none"/>
        <c:minorTickMark val="none"/>
        <c:tickLblPos val="nextTo"/>
        <c:spPr>
          <a:ln>
            <a:noFill/>
            <a:prstDash val="solid"/>
          </a:ln>
        </c:spPr>
        <c:txPr>
          <a:bodyPr anchor="ctr" anchorCtr="1"/>
          <a:lstStyle/>
          <a:p>
            <a:pPr>
              <a:defRPr sz="900">
                <a:solidFill>
                  <a:schemeClr val="dk1">
                    <a:lumMod val="65000"/>
                    <a:lumOff val="35000"/>
                  </a:schemeClr>
                </a:solidFill>
                <a:latin typeface="+mn-lt"/>
                <a:ea typeface="+mn-lt"/>
                <a:cs typeface="+mn-lt"/>
              </a:defRPr>
            </a:pPr>
            <a:endParaRPr lang="es-MX"/>
          </a:p>
        </c:txPr>
        <c:crossAx val="48650112"/>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clustered"/>
        <c:varyColors val="0"/>
        <c:ser>
          <c:idx val="0"/>
          <c:order val="0"/>
          <c:spPr>
            <a:solidFill>
              <a:srgbClr val="A6CAEC"/>
            </a:solidFill>
            <a:ln>
              <a:noFill/>
              <a:prstDash val="solid"/>
            </a:ln>
          </c:spPr>
          <c:invertIfNegative val="1"/>
          <c:cat>
            <c:strRef>
              <c:f>Dashboard!$AM$8:$AM$9</c:f>
              <c:strCache>
                <c:ptCount val="2"/>
                <c:pt idx="0">
                  <c:v>Entitlement Investor IRR</c:v>
                </c:pt>
                <c:pt idx="1">
                  <c:v>Development Investor IRR</c:v>
                </c:pt>
              </c:strCache>
            </c:strRef>
          </c:cat>
          <c:val>
            <c:numRef>
              <c:f>Dashboard!$AN$8:$AN$9</c:f>
              <c:numCache>
                <c:formatCode>0%</c:formatCode>
                <c:ptCount val="2"/>
                <c:pt idx="0">
                  <c:v>0.41443851590156544</c:v>
                </c:pt>
                <c:pt idx="1">
                  <c:v>0.22888161540031438</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CB14-4BC6-97E4-FA90FED29A17}"/>
            </c:ext>
          </c:extLst>
        </c:ser>
        <c:dLbls>
          <c:showLegendKey val="0"/>
          <c:showVal val="0"/>
          <c:showCatName val="0"/>
          <c:showSerName val="0"/>
          <c:showPercent val="0"/>
          <c:showBubbleSize val="0"/>
        </c:dLbls>
        <c:gapWidth val="219"/>
        <c:overlap val="-27"/>
        <c:axId val="48650112"/>
        <c:axId val="48672768"/>
      </c:barChart>
      <c:catAx>
        <c:axId val="48650112"/>
        <c:scaling>
          <c:orientation val="minMax"/>
        </c:scaling>
        <c:delete val="0"/>
        <c:axPos val="b"/>
        <c:numFmt formatCode="General" sourceLinked="1"/>
        <c:majorTickMark val="none"/>
        <c:minorTickMark val="none"/>
        <c:tickLblPos val="nextTo"/>
        <c:spPr>
          <a:ln w="9525">
            <a:solidFill>
              <a:schemeClr val="dk1">
                <a:lumMod val="15000"/>
                <a:lumOff val="85000"/>
              </a:schemeClr>
            </a:solidFill>
            <a:prstDash val="solid"/>
          </a:ln>
        </c:spPr>
        <c:txPr>
          <a:bodyPr anchor="ctr" anchorCtr="1"/>
          <a:lstStyle/>
          <a:p>
            <a:pPr>
              <a:defRPr sz="900">
                <a:solidFill>
                  <a:schemeClr val="dk1">
                    <a:lumMod val="65000"/>
                    <a:lumOff val="35000"/>
                  </a:schemeClr>
                </a:solidFill>
                <a:latin typeface="+mn-lt"/>
                <a:ea typeface="+mn-lt"/>
                <a:cs typeface="+mn-lt"/>
              </a:defRPr>
            </a:pPr>
            <a:endParaRPr lang="es-MX"/>
          </a:p>
        </c:txPr>
        <c:crossAx val="48672768"/>
        <c:crosses val="autoZero"/>
        <c:auto val="1"/>
        <c:lblAlgn val="ctr"/>
        <c:lblOffset val="100"/>
        <c:noMultiLvlLbl val="0"/>
      </c:catAx>
      <c:valAx>
        <c:axId val="48672768"/>
        <c:scaling>
          <c:orientation val="minMax"/>
        </c:scaling>
        <c:delete val="0"/>
        <c:axPos val="l"/>
        <c:majorGridlines>
          <c:spPr>
            <a:ln w="9525">
              <a:noFill/>
              <a:prstDash val="solid"/>
            </a:ln>
          </c:spPr>
        </c:majorGridlines>
        <c:numFmt formatCode="0%" sourceLinked="1"/>
        <c:majorTickMark val="none"/>
        <c:minorTickMark val="none"/>
        <c:tickLblPos val="nextTo"/>
        <c:spPr>
          <a:ln>
            <a:noFill/>
            <a:prstDash val="solid"/>
          </a:ln>
        </c:spPr>
        <c:txPr>
          <a:bodyPr anchor="ctr" anchorCtr="1"/>
          <a:lstStyle/>
          <a:p>
            <a:pPr>
              <a:defRPr sz="900">
                <a:solidFill>
                  <a:schemeClr val="dk1">
                    <a:lumMod val="65000"/>
                    <a:lumOff val="35000"/>
                  </a:schemeClr>
                </a:solidFill>
                <a:latin typeface="+mn-lt"/>
                <a:ea typeface="+mn-lt"/>
                <a:cs typeface="+mn-lt"/>
              </a:defRPr>
            </a:pPr>
            <a:endParaRPr lang="es-MX"/>
          </a:p>
        </c:txPr>
        <c:crossAx val="48650112"/>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'Business Alternatives'!$H$27</c:f>
              <c:strCache>
                <c:ptCount val="1"/>
                <c:pt idx="0">
                  <c:v>Revenue</c:v>
                </c:pt>
              </c:strCache>
            </c:strRef>
          </c:tx>
          <c:spPr>
            <a:ln w="28575" cap="rnd">
              <a:solidFill>
                <a:schemeClr val="accent1"/>
              </a:solidFill>
              <a:round/>
            </a:ln>
            <a:effectLst/>
          </c:spPr>
          <c:marker>
            <c:symbol val="none"/>
          </c:marker>
          <c:dLbls>
            <c:delete val="1"/>
          </c:dLbls>
          <c:val>
            <c:numRef>
              <c:f>'Business Alternatives'!$H$28:$H$37</c:f>
              <c:numCache>
                <c:formatCode>"$"#,##0_);[Red]\("$"#,##0\)</c:formatCode>
                <c:ptCount val="10"/>
                <c:pt idx="0">
                  <c:v>0</c:v>
                </c:pt>
                <c:pt idx="1">
                  <c:v>0</c:v>
                </c:pt>
                <c:pt idx="2">
                  <c:v>0</c:v>
                </c:pt>
                <c:pt idx="3">
                  <c:v>281250.00000000006</c:v>
                </c:pt>
                <c:pt idx="4">
                  <c:v>22187500</c:v>
                </c:pt>
                <c:pt idx="5">
                  <c:v>48500000</c:v>
                </c:pt>
                <c:pt idx="6">
                  <c:v>42812500</c:v>
                </c:pt>
                <c:pt idx="7">
                  <c:v>14968750</c:v>
                </c:pt>
                <c:pt idx="8">
                  <c:v>11250000</c:v>
                </c:pt>
                <c:pt idx="9">
                  <c:v>11250000</c:v>
                </c:pt>
              </c:numCache>
            </c:numRef>
          </c:val>
          <c:smooth val="0"/>
          <c:extLst>
            <c:ext xmlns:c16="http://schemas.microsoft.com/office/drawing/2014/chart" uri="{C3380CC4-5D6E-409C-BE32-E72D297353CC}">
              <c16:uniqueId val="{00000000-FEA4-41C7-B491-02E100CE329B}"/>
            </c:ext>
          </c:extLst>
        </c:ser>
        <c:ser>
          <c:idx val="1"/>
          <c:order val="1"/>
          <c:tx>
            <c:strRef>
              <c:f>'Business Alternatives'!$I$27</c:f>
              <c:strCache>
                <c:ptCount val="1"/>
                <c:pt idx="0">
                  <c:v>Costs</c:v>
                </c:pt>
              </c:strCache>
            </c:strRef>
          </c:tx>
          <c:spPr>
            <a:ln w="28575" cap="rnd">
              <a:solidFill>
                <a:schemeClr val="accent2"/>
              </a:solidFill>
              <a:round/>
            </a:ln>
            <a:effectLst/>
          </c:spPr>
          <c:marker>
            <c:symbol val="none"/>
          </c:marker>
          <c:dLbls>
            <c:delete val="1"/>
          </c:dLbls>
          <c:val>
            <c:numRef>
              <c:f>'Business Alternatives'!$I$28:$I$37</c:f>
              <c:numCache>
                <c:formatCode>"$"#,##0_);[Red]\("$"#,##0\)</c:formatCode>
                <c:ptCount val="10"/>
                <c:pt idx="0">
                  <c:v>0</c:v>
                </c:pt>
                <c:pt idx="1">
                  <c:v>0</c:v>
                </c:pt>
                <c:pt idx="2">
                  <c:v>0</c:v>
                </c:pt>
                <c:pt idx="3">
                  <c:v>28125.000000000007</c:v>
                </c:pt>
                <c:pt idx="4">
                  <c:v>2923437.5</c:v>
                </c:pt>
                <c:pt idx="5">
                  <c:v>7806250</c:v>
                </c:pt>
                <c:pt idx="6">
                  <c:v>9575000</c:v>
                </c:pt>
                <c:pt idx="7">
                  <c:v>7667187.5</c:v>
                </c:pt>
                <c:pt idx="8">
                  <c:v>7312500</c:v>
                </c:pt>
                <c:pt idx="9">
                  <c:v>7312500</c:v>
                </c:pt>
              </c:numCache>
            </c:numRef>
          </c:val>
          <c:smooth val="0"/>
          <c:extLst>
            <c:ext xmlns:c16="http://schemas.microsoft.com/office/drawing/2014/chart" uri="{C3380CC4-5D6E-409C-BE32-E72D297353CC}">
              <c16:uniqueId val="{00000001-FEA4-41C7-B491-02E100CE329B}"/>
            </c:ext>
          </c:extLst>
        </c:ser>
        <c:ser>
          <c:idx val="2"/>
          <c:order val="2"/>
          <c:tx>
            <c:strRef>
              <c:f>'Business Alternatives'!$J$27</c:f>
              <c:strCache>
                <c:ptCount val="1"/>
                <c:pt idx="0">
                  <c:v>Net CF</c:v>
                </c:pt>
              </c:strCache>
            </c:strRef>
          </c:tx>
          <c:spPr>
            <a:ln w="28575" cap="rnd">
              <a:solidFill>
                <a:schemeClr val="accent3"/>
              </a:solidFill>
              <a:round/>
            </a:ln>
            <a:effectLst/>
          </c:spPr>
          <c:marker>
            <c:symbol val="none"/>
          </c:marker>
          <c:dLbls>
            <c:delete val="1"/>
          </c:dLbls>
          <c:val>
            <c:numRef>
              <c:f>'Business Alternatives'!$J$28:$J$37</c:f>
              <c:numCache>
                <c:formatCode>"$"#,##0_);[Red]\("$"#,##0\)</c:formatCode>
                <c:ptCount val="10"/>
                <c:pt idx="0">
                  <c:v>0</c:v>
                </c:pt>
                <c:pt idx="1">
                  <c:v>0</c:v>
                </c:pt>
                <c:pt idx="2">
                  <c:v>0</c:v>
                </c:pt>
                <c:pt idx="3">
                  <c:v>253125.00000000006</c:v>
                </c:pt>
                <c:pt idx="4">
                  <c:v>19264062.5</c:v>
                </c:pt>
                <c:pt idx="5">
                  <c:v>40693750</c:v>
                </c:pt>
                <c:pt idx="6">
                  <c:v>33237500</c:v>
                </c:pt>
                <c:pt idx="7">
                  <c:v>7301562.5</c:v>
                </c:pt>
                <c:pt idx="8">
                  <c:v>3937500</c:v>
                </c:pt>
                <c:pt idx="9">
                  <c:v>3937500</c:v>
                </c:pt>
              </c:numCache>
            </c:numRef>
          </c:val>
          <c:smooth val="0"/>
          <c:extLst>
            <c:ext xmlns:c16="http://schemas.microsoft.com/office/drawing/2014/chart" uri="{C3380CC4-5D6E-409C-BE32-E72D297353CC}">
              <c16:uniqueId val="{00000002-FEA4-41C7-B491-02E100CE329B}"/>
            </c:ext>
          </c:extLst>
        </c:ser>
        <c:ser>
          <c:idx val="3"/>
          <c:order val="3"/>
          <c:tx>
            <c:strRef>
              <c:f>'Business Alternatives'!$K$27</c:f>
              <c:strCache>
                <c:ptCount val="1"/>
                <c:pt idx="0">
                  <c:v>Cumulative</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'Business Alternatives'!$K$28:$K$37</c:f>
              <c:numCache>
                <c:formatCode>"$"#,##0_);[Red]\("$"#,##0\)</c:formatCode>
                <c:ptCount val="10"/>
                <c:pt idx="0">
                  <c:v>0</c:v>
                </c:pt>
                <c:pt idx="1">
                  <c:v>0</c:v>
                </c:pt>
                <c:pt idx="2">
                  <c:v>0</c:v>
                </c:pt>
                <c:pt idx="3">
                  <c:v>253125.00000000006</c:v>
                </c:pt>
                <c:pt idx="4">
                  <c:v>19517187.5</c:v>
                </c:pt>
                <c:pt idx="5">
                  <c:v>60210937.5</c:v>
                </c:pt>
                <c:pt idx="6">
                  <c:v>93448437.5</c:v>
                </c:pt>
                <c:pt idx="7">
                  <c:v>100750000</c:v>
                </c:pt>
                <c:pt idx="8">
                  <c:v>104687500</c:v>
                </c:pt>
                <c:pt idx="9">
                  <c:v>108625000</c:v>
                </c:pt>
              </c:numCache>
            </c:numRef>
          </c:val>
          <c:smooth val="0"/>
          <c:extLst>
            <c:ext xmlns:c16="http://schemas.microsoft.com/office/drawing/2014/chart" uri="{C3380CC4-5D6E-409C-BE32-E72D297353CC}">
              <c16:uniqueId val="{00000003-FEA4-41C7-B491-02E100CE329B}"/>
            </c:ext>
          </c:extLst>
        </c:ser>
        <c:dLbls>
          <c:dLblPos val="t"/>
          <c:showLegendKey val="0"/>
          <c:showVal val="1"/>
          <c:showCatName val="0"/>
          <c:showSerName val="0"/>
          <c:showPercent val="0"/>
          <c:showBubbleSize val="0"/>
        </c:dLbls>
        <c:smooth val="0"/>
        <c:axId val="1147889599"/>
        <c:axId val="1147882399"/>
      </c:lineChart>
      <c:catAx>
        <c:axId val="114788959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147882399"/>
        <c:crosses val="autoZero"/>
        <c:auto val="1"/>
        <c:lblAlgn val="ctr"/>
        <c:lblOffset val="100"/>
        <c:noMultiLvlLbl val="0"/>
      </c:catAx>
      <c:valAx>
        <c:axId val="11478823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147889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345040</xdr:colOff>
      <xdr:row>38</xdr:row>
      <xdr:rowOff>128427</xdr:rowOff>
    </xdr:to>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137061</xdr:colOff>
      <xdr:row>21</xdr:row>
      <xdr:rowOff>104832</xdr:rowOff>
    </xdr:from>
    <xdr:to>
      <xdr:col>9</xdr:col>
      <xdr:colOff>805699</xdr:colOff>
      <xdr:row>30</xdr:row>
      <xdr:rowOff>54032</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764731</xdr:colOff>
      <xdr:row>5</xdr:row>
      <xdr:rowOff>137379</xdr:rowOff>
    </xdr:from>
    <xdr:to>
      <xdr:col>19</xdr:col>
      <xdr:colOff>40968</xdr:colOff>
      <xdr:row>16</xdr:row>
      <xdr:rowOff>122903</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390281</xdr:colOff>
      <xdr:row>35</xdr:row>
      <xdr:rowOff>62675</xdr:rowOff>
    </xdr:to>
    <xdr:pic>
      <xdr:nvPicPr>
        <xdr:cNvPr id="2" name="/xl/media/image2.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300804</xdr:colOff>
      <xdr:row>36</xdr:row>
      <xdr:rowOff>8155</xdr:rowOff>
    </xdr:to>
    <xdr:pic>
      <xdr:nvPicPr>
        <xdr:cNvPr id="2" name="/xl/media/image3.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63816</xdr:colOff>
      <xdr:row>38</xdr:row>
      <xdr:rowOff>102869</xdr:rowOff>
    </xdr:from>
    <xdr:to>
      <xdr:col>11</xdr:col>
      <xdr:colOff>200024</xdr:colOff>
      <xdr:row>55</xdr:row>
      <xdr:rowOff>19050</xdr:rowOff>
    </xdr:to>
    <xdr:graphicFrame macro="">
      <xdr:nvGraphicFramePr>
        <xdr:cNvPr id="2" name="Gráfico 1">
          <a:extLst>
            <a:ext uri="{FF2B5EF4-FFF2-40B4-BE49-F238E27FC236}">
              <a16:creationId xmlns:a16="http://schemas.microsoft.com/office/drawing/2014/main" id="{B0C992EB-A65D-4556-3C66-6428811939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B8:Q40"/>
  <sheetViews>
    <sheetView workbookViewId="0"/>
  </sheetViews>
  <sheetFormatPr baseColWidth="10" defaultColWidth="10.796875" defaultRowHeight="13.8"/>
  <cols>
    <col min="1" max="12" width="10.796875" style="92" customWidth="1"/>
    <col min="13" max="15" width="16.5" style="92" customWidth="1"/>
    <col min="16" max="19" width="10.796875" style="92" customWidth="1"/>
    <col min="20" max="16384" width="10.796875" style="92"/>
  </cols>
  <sheetData>
    <row r="8" spans="5:17">
      <c r="M8" s="96" t="s">
        <v>0</v>
      </c>
      <c r="N8" s="97"/>
    </row>
    <row r="9" spans="5:17">
      <c r="M9" s="93" t="s">
        <v>1</v>
      </c>
      <c r="N9" s="94" t="s">
        <v>2</v>
      </c>
    </row>
    <row r="10" spans="5:17">
      <c r="M10" s="93" t="s">
        <v>3</v>
      </c>
      <c r="N10" s="94" t="s">
        <v>4</v>
      </c>
    </row>
    <row r="11" spans="5:17">
      <c r="M11" s="93" t="s">
        <v>5</v>
      </c>
      <c r="N11" s="95">
        <v>46012</v>
      </c>
    </row>
    <row r="12" spans="5:17">
      <c r="M12" s="93"/>
      <c r="N12" s="93"/>
    </row>
    <row r="13" spans="5:17">
      <c r="M13" s="93"/>
    </row>
    <row r="14" spans="5:17">
      <c r="M14" s="102" t="s">
        <v>6</v>
      </c>
    </row>
    <row r="15" spans="5:17">
      <c r="E15" s="91"/>
    </row>
    <row r="16" spans="5:17" ht="18" customHeight="1">
      <c r="M16" s="203" t="s">
        <v>7</v>
      </c>
      <c r="N16" s="204"/>
      <c r="O16" s="204"/>
      <c r="P16" s="204"/>
      <c r="Q16" s="204"/>
    </row>
    <row r="18" spans="13:13">
      <c r="M18" s="102" t="s">
        <v>8</v>
      </c>
    </row>
    <row r="39" spans="2:10">
      <c r="B39" s="93"/>
      <c r="C39" s="93"/>
      <c r="D39" s="93"/>
      <c r="E39" s="93"/>
      <c r="F39" s="93"/>
      <c r="G39" s="93"/>
      <c r="H39" s="93"/>
      <c r="I39" s="93"/>
      <c r="J39" s="93"/>
    </row>
    <row r="40" spans="2:10" ht="27" customHeight="1">
      <c r="B40" s="138" t="s">
        <v>9</v>
      </c>
      <c r="C40" s="138"/>
      <c r="D40" s="138"/>
      <c r="E40" s="138"/>
      <c r="F40" s="138"/>
      <c r="G40" s="138"/>
      <c r="H40" s="138"/>
      <c r="I40" s="93"/>
      <c r="J40" s="93"/>
    </row>
  </sheetData>
  <mergeCells count="1">
    <mergeCell ref="M16:Q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5117038483843"/>
  </sheetPr>
  <dimension ref="A1:AT204"/>
  <sheetViews>
    <sheetView workbookViewId="0"/>
  </sheetViews>
  <sheetFormatPr baseColWidth="10" defaultColWidth="10.796875" defaultRowHeight="13.8"/>
  <cols>
    <col min="1" max="2" width="10.796875" style="129" customWidth="1"/>
    <col min="3" max="28" width="10.796875" style="117" customWidth="1"/>
    <col min="29" max="46" width="10.796875" style="129" customWidth="1"/>
    <col min="47" max="50" width="10.796875" style="117" customWidth="1"/>
    <col min="51" max="16384" width="10.796875" style="117"/>
  </cols>
  <sheetData>
    <row r="1" spans="1:46" s="129" customFormat="1"/>
    <row r="2" spans="1:46" s="130" customFormat="1" ht="24" customHeight="1"/>
    <row r="3" spans="1:46" s="116" customFormat="1" ht="28.05" customHeight="1">
      <c r="A3" s="130"/>
      <c r="B3" s="130"/>
      <c r="C3" s="207" t="s">
        <v>10</v>
      </c>
      <c r="D3" s="208"/>
      <c r="E3" s="208"/>
      <c r="F3" s="208"/>
      <c r="G3" s="208"/>
      <c r="H3" s="208"/>
      <c r="I3" s="208"/>
      <c r="J3" s="208"/>
      <c r="K3" s="208"/>
      <c r="L3" s="208"/>
      <c r="M3" s="208"/>
      <c r="N3" s="208"/>
      <c r="O3" s="208"/>
      <c r="P3" s="208"/>
      <c r="Q3" s="208"/>
      <c r="R3" s="208"/>
      <c r="S3" s="208"/>
      <c r="T3" s="208"/>
      <c r="U3" s="208"/>
      <c r="V3" s="208"/>
      <c r="W3" s="208"/>
      <c r="X3" s="208"/>
      <c r="Y3" s="208"/>
      <c r="Z3" s="208"/>
      <c r="AA3" s="208"/>
      <c r="AB3" s="209"/>
      <c r="AC3" s="130"/>
      <c r="AD3" s="130"/>
      <c r="AE3" s="130"/>
      <c r="AF3" s="130"/>
      <c r="AG3" s="130"/>
      <c r="AH3" s="130"/>
      <c r="AI3" s="130"/>
      <c r="AJ3" s="130"/>
      <c r="AK3" s="130"/>
      <c r="AL3" s="130"/>
      <c r="AM3" s="130"/>
      <c r="AN3" s="130"/>
      <c r="AO3" s="130"/>
      <c r="AP3" s="130"/>
      <c r="AQ3" s="130"/>
      <c r="AR3" s="130"/>
      <c r="AS3" s="130"/>
      <c r="AT3" s="130"/>
    </row>
    <row r="4" spans="1:46" s="116" customFormat="1" ht="28.05" customHeight="1">
      <c r="A4" s="130"/>
      <c r="B4" s="130"/>
      <c r="C4" s="119"/>
      <c r="AB4" s="120"/>
      <c r="AC4" s="130"/>
      <c r="AD4" s="130"/>
      <c r="AE4" s="130"/>
      <c r="AF4" s="130"/>
      <c r="AG4" s="130"/>
      <c r="AH4" s="130"/>
      <c r="AI4" s="130"/>
      <c r="AJ4" s="130"/>
      <c r="AK4" s="130"/>
      <c r="AL4" s="130"/>
      <c r="AM4" s="130"/>
      <c r="AN4" s="130"/>
      <c r="AO4" s="130"/>
      <c r="AP4" s="130"/>
      <c r="AQ4" s="130"/>
      <c r="AR4" s="130"/>
      <c r="AS4" s="130"/>
      <c r="AT4" s="130"/>
    </row>
    <row r="5" spans="1:46" s="116" customFormat="1" ht="28.05" customHeight="1">
      <c r="A5" s="130"/>
      <c r="B5" s="130"/>
      <c r="C5" s="221" t="s">
        <v>11</v>
      </c>
      <c r="D5" s="222"/>
      <c r="E5" s="222"/>
      <c r="F5" s="222"/>
      <c r="G5" s="222"/>
      <c r="H5" s="222"/>
      <c r="I5" s="222"/>
      <c r="J5" s="222"/>
      <c r="L5" s="224" t="s">
        <v>12</v>
      </c>
      <c r="M5" s="222"/>
      <c r="N5" s="222"/>
      <c r="O5" s="222"/>
      <c r="P5" s="222"/>
      <c r="Q5" s="222"/>
      <c r="R5" s="222"/>
      <c r="S5" s="222"/>
      <c r="U5" s="227" t="s">
        <v>13</v>
      </c>
      <c r="V5" s="222"/>
      <c r="W5" s="222"/>
      <c r="X5" s="222"/>
      <c r="Y5" s="222"/>
      <c r="Z5" s="222"/>
      <c r="AA5" s="222"/>
      <c r="AB5" s="228"/>
      <c r="AC5" s="130"/>
      <c r="AD5" s="130"/>
      <c r="AE5" s="130"/>
      <c r="AF5" s="130"/>
      <c r="AG5" s="130"/>
      <c r="AH5" s="130"/>
      <c r="AI5" s="130"/>
      <c r="AJ5" s="130"/>
      <c r="AK5" s="130"/>
      <c r="AL5" s="130"/>
      <c r="AM5" s="130" t="s">
        <v>14</v>
      </c>
      <c r="AN5" s="131">
        <f>'Single Project Assumptions'!D49</f>
        <v>0.02</v>
      </c>
      <c r="AO5" s="130"/>
      <c r="AP5" s="130"/>
      <c r="AQ5" s="130"/>
      <c r="AR5" s="130"/>
      <c r="AS5" s="130"/>
      <c r="AT5" s="130"/>
    </row>
    <row r="6" spans="1:46" s="116" customFormat="1" ht="28.05" customHeight="1">
      <c r="A6" s="130"/>
      <c r="B6" s="130"/>
      <c r="C6" s="213" t="s">
        <v>15</v>
      </c>
      <c r="D6" s="208"/>
      <c r="E6" s="212" t="s">
        <v>16</v>
      </c>
      <c r="F6" s="208"/>
      <c r="G6" s="212" t="s">
        <v>17</v>
      </c>
      <c r="H6" s="208"/>
      <c r="I6" s="212" t="s">
        <v>18</v>
      </c>
      <c r="J6" s="208"/>
      <c r="U6" s="212" t="s">
        <v>19</v>
      </c>
      <c r="V6" s="208"/>
      <c r="W6" s="212" t="s">
        <v>20</v>
      </c>
      <c r="X6" s="208"/>
      <c r="Y6" s="212" t="s">
        <v>21</v>
      </c>
      <c r="Z6" s="208"/>
      <c r="AA6" s="223" t="s">
        <v>22</v>
      </c>
      <c r="AB6" s="209"/>
      <c r="AC6" s="130"/>
      <c r="AD6" s="130"/>
      <c r="AE6" s="130"/>
      <c r="AF6" s="130"/>
      <c r="AG6" s="130"/>
      <c r="AH6" s="130"/>
      <c r="AI6" s="130"/>
      <c r="AJ6" s="130"/>
      <c r="AK6" s="130"/>
      <c r="AL6" s="130"/>
      <c r="AM6" s="130" t="s">
        <v>23</v>
      </c>
      <c r="AN6" s="132">
        <f>'Single Project Assumptions'!D51</f>
        <v>0.15</v>
      </c>
      <c r="AO6" s="130"/>
      <c r="AP6" s="130"/>
      <c r="AQ6" s="130"/>
      <c r="AR6" s="130"/>
      <c r="AS6" s="130"/>
      <c r="AT6" s="130"/>
    </row>
    <row r="7" spans="1:46" s="116" customFormat="1" ht="28.05" customHeight="1">
      <c r="A7" s="130"/>
      <c r="B7" s="130"/>
      <c r="C7" s="232">
        <f>MAX('Platform Assumptions'!B6:B15)</f>
        <v>10</v>
      </c>
      <c r="D7" s="206"/>
      <c r="E7" s="205">
        <f>COUNTIF('Platform Assumptions'!E6:E15,"Yes")</f>
        <v>5</v>
      </c>
      <c r="F7" s="206"/>
      <c r="G7" s="216">
        <f>'The Commons Platform CF'!D17/1000000</f>
        <v>17.330759972232006</v>
      </c>
      <c r="H7" s="206"/>
      <c r="I7" s="216">
        <f>'The Commons Platform CF'!D21/1000000</f>
        <v>12.289093305565373</v>
      </c>
      <c r="J7" s="206"/>
      <c r="U7" s="205">
        <f>'Single Project Assumptions'!D21</f>
        <v>150</v>
      </c>
      <c r="V7" s="206"/>
      <c r="W7" s="216">
        <f>'Single Project Assumptions'!L31/1000000</f>
        <v>159.52500000000001</v>
      </c>
      <c r="X7" s="206"/>
      <c r="Y7" s="216">
        <f>'Single Project Assumptions'!L38/1000000</f>
        <v>225</v>
      </c>
      <c r="Z7" s="206"/>
      <c r="AA7" s="229">
        <f>(Y7-W7)/W7</f>
        <v>0.41043723554301831</v>
      </c>
      <c r="AB7" s="219"/>
      <c r="AC7" s="130"/>
      <c r="AD7" s="130"/>
      <c r="AE7" s="130"/>
      <c r="AF7" s="130"/>
      <c r="AG7" s="130"/>
      <c r="AH7" s="130"/>
      <c r="AI7" s="130"/>
      <c r="AJ7" s="130"/>
      <c r="AK7" s="130"/>
      <c r="AL7" s="130"/>
      <c r="AM7" s="130"/>
      <c r="AN7" s="130"/>
      <c r="AO7" s="130"/>
      <c r="AP7" s="130"/>
      <c r="AQ7" s="130"/>
      <c r="AR7" s="130"/>
      <c r="AS7" s="130"/>
      <c r="AT7" s="130"/>
    </row>
    <row r="8" spans="1:46" s="116" customFormat="1" ht="28.05" customHeight="1">
      <c r="A8" s="130"/>
      <c r="B8" s="130"/>
      <c r="C8" s="215"/>
      <c r="D8" s="206"/>
      <c r="E8" s="206"/>
      <c r="F8" s="206"/>
      <c r="G8" s="206"/>
      <c r="H8" s="206"/>
      <c r="I8" s="206"/>
      <c r="J8" s="206"/>
      <c r="U8" s="206"/>
      <c r="V8" s="206"/>
      <c r="W8" s="206"/>
      <c r="X8" s="206"/>
      <c r="Y8" s="206"/>
      <c r="Z8" s="206"/>
      <c r="AA8" s="206"/>
      <c r="AB8" s="219"/>
      <c r="AC8" s="130"/>
      <c r="AD8" s="130"/>
      <c r="AE8" s="130"/>
      <c r="AF8" s="130"/>
      <c r="AG8" s="130"/>
      <c r="AH8" s="130"/>
      <c r="AI8" s="130"/>
      <c r="AJ8" s="130"/>
      <c r="AK8" s="130"/>
      <c r="AL8" s="130"/>
      <c r="AM8" s="130" t="s">
        <v>24</v>
      </c>
      <c r="AN8" s="132">
        <f>'Entitlement Phase'!D13</f>
        <v>0.41443851590156544</v>
      </c>
      <c r="AO8" s="130"/>
      <c r="AP8" s="130"/>
      <c r="AQ8" s="130"/>
      <c r="AR8" s="130"/>
      <c r="AS8" s="130"/>
      <c r="AT8" s="130"/>
    </row>
    <row r="9" spans="1:46" s="116" customFormat="1" ht="28.05" customHeight="1">
      <c r="A9" s="130"/>
      <c r="B9" s="130"/>
      <c r="C9" s="121"/>
      <c r="D9" s="122"/>
      <c r="AB9" s="120"/>
      <c r="AC9" s="130"/>
      <c r="AD9" s="130"/>
      <c r="AE9" s="130"/>
      <c r="AF9" s="130"/>
      <c r="AG9" s="130"/>
      <c r="AH9" s="130"/>
      <c r="AI9" s="130"/>
      <c r="AJ9" s="130"/>
      <c r="AK9" s="130"/>
      <c r="AL9" s="130"/>
      <c r="AM9" s="130" t="s">
        <v>25</v>
      </c>
      <c r="AN9" s="132">
        <f>'Development Phase'!D29</f>
        <v>0.22888161540031438</v>
      </c>
      <c r="AO9" s="130"/>
      <c r="AP9" s="130"/>
      <c r="AQ9" s="130"/>
      <c r="AR9" s="130"/>
      <c r="AS9" s="130"/>
      <c r="AT9" s="130"/>
    </row>
    <row r="10" spans="1:46" s="116" customFormat="1" ht="28.05" customHeight="1">
      <c r="A10" s="130"/>
      <c r="B10" s="130"/>
      <c r="C10" s="221" t="s">
        <v>26</v>
      </c>
      <c r="D10" s="222"/>
      <c r="E10" s="222"/>
      <c r="F10" s="222"/>
      <c r="G10" s="222"/>
      <c r="H10" s="222"/>
      <c r="I10" s="222"/>
      <c r="J10" s="222"/>
      <c r="U10" s="227" t="s">
        <v>27</v>
      </c>
      <c r="V10" s="222"/>
      <c r="W10" s="222"/>
      <c r="X10" s="222"/>
      <c r="Y10" s="222"/>
      <c r="Z10" s="222"/>
      <c r="AA10" s="222"/>
      <c r="AB10" s="228"/>
      <c r="AC10" s="130"/>
      <c r="AD10" s="130"/>
      <c r="AE10" s="130"/>
      <c r="AF10" s="130"/>
      <c r="AG10" s="130"/>
      <c r="AH10" s="130"/>
      <c r="AI10" s="130"/>
      <c r="AJ10" s="130"/>
      <c r="AK10" s="130"/>
      <c r="AL10" s="130"/>
      <c r="AM10" s="130"/>
      <c r="AN10" s="130"/>
      <c r="AO10" s="130"/>
      <c r="AP10" s="130"/>
      <c r="AQ10" s="130"/>
      <c r="AR10" s="130"/>
      <c r="AS10" s="130"/>
      <c r="AT10" s="130"/>
    </row>
    <row r="11" spans="1:46" s="116" customFormat="1" ht="28.05" customHeight="1">
      <c r="A11" s="130"/>
      <c r="B11" s="130"/>
      <c r="C11" s="226" t="s">
        <v>28</v>
      </c>
      <c r="D11" s="206"/>
      <c r="E11" s="210" t="s">
        <v>29</v>
      </c>
      <c r="F11" s="206"/>
      <c r="G11" s="210" t="s">
        <v>30</v>
      </c>
      <c r="H11" s="206"/>
      <c r="I11" s="210" t="s">
        <v>31</v>
      </c>
      <c r="J11" s="206"/>
      <c r="U11" s="212" t="s">
        <v>32</v>
      </c>
      <c r="V11" s="208"/>
      <c r="W11" s="212" t="s">
        <v>33</v>
      </c>
      <c r="X11" s="208"/>
      <c r="Y11" s="212" t="s">
        <v>34</v>
      </c>
      <c r="Z11" s="208"/>
      <c r="AA11" s="223" t="s">
        <v>35</v>
      </c>
      <c r="AB11" s="209"/>
      <c r="AC11" s="130"/>
      <c r="AD11" s="130"/>
      <c r="AE11" s="130"/>
      <c r="AF11" s="130"/>
      <c r="AG11" s="130"/>
      <c r="AH11" s="130"/>
      <c r="AI11" s="130"/>
      <c r="AJ11" s="130"/>
      <c r="AK11" s="130"/>
      <c r="AL11" s="130"/>
      <c r="AM11" s="133" t="s">
        <v>36</v>
      </c>
      <c r="AN11" s="130"/>
      <c r="AO11" s="130"/>
      <c r="AP11" s="134">
        <f>'Single Project Assumptions'!D53</f>
        <v>1000</v>
      </c>
      <c r="AQ11" s="130"/>
      <c r="AR11" s="130"/>
      <c r="AS11" s="130"/>
      <c r="AT11" s="130"/>
    </row>
    <row r="12" spans="1:46" s="116" customFormat="1" ht="28.05" customHeight="1">
      <c r="A12" s="130"/>
      <c r="B12" s="130"/>
      <c r="C12" s="214">
        <f>'Single Project Assumptions'!D48/1000000</f>
        <v>1</v>
      </c>
      <c r="D12" s="206"/>
      <c r="E12" s="231">
        <f>'Single Project Assumptions'!D49</f>
        <v>0.02</v>
      </c>
      <c r="F12" s="206"/>
      <c r="G12" s="217">
        <f>'Single Project Assumptions'!D50/1000000</f>
        <v>0.02</v>
      </c>
      <c r="H12" s="206"/>
      <c r="I12" s="217" t="s">
        <v>37</v>
      </c>
      <c r="J12" s="206"/>
      <c r="U12" s="205">
        <f>'Single Project Assumptions'!P13</f>
        <v>18</v>
      </c>
      <c r="V12" s="206"/>
      <c r="W12" s="211">
        <f>'Single Project Assumptions'!P15</f>
        <v>8.3333333333333339</v>
      </c>
      <c r="X12" s="206"/>
      <c r="Y12" s="231">
        <f>'Single Project Assumptions'!L41</f>
        <v>0.15</v>
      </c>
      <c r="Z12" s="206"/>
      <c r="AA12" s="229">
        <f>1-Y12</f>
        <v>0.85</v>
      </c>
      <c r="AB12" s="219"/>
      <c r="AC12" s="130"/>
      <c r="AD12" s="130"/>
      <c r="AE12" s="130"/>
      <c r="AF12" s="130"/>
      <c r="AG12" s="130"/>
      <c r="AH12" s="130"/>
      <c r="AI12" s="130"/>
      <c r="AJ12" s="130"/>
      <c r="AK12" s="130"/>
      <c r="AL12" s="130"/>
      <c r="AM12" s="133" t="s">
        <v>38</v>
      </c>
      <c r="AN12" s="130"/>
      <c r="AO12" s="130"/>
      <c r="AP12" s="135">
        <f>'Single Project Assumptions'!P50</f>
        <v>1800</v>
      </c>
      <c r="AQ12" s="130"/>
      <c r="AR12" s="130"/>
      <c r="AS12" s="130"/>
      <c r="AT12" s="130"/>
    </row>
    <row r="13" spans="1:46" s="116" customFormat="1" ht="28.05" customHeight="1">
      <c r="A13" s="130"/>
      <c r="B13" s="130"/>
      <c r="C13" s="215"/>
      <c r="D13" s="206"/>
      <c r="E13" s="206"/>
      <c r="F13" s="206"/>
      <c r="G13" s="206"/>
      <c r="H13" s="206"/>
      <c r="I13" s="206"/>
      <c r="J13" s="206"/>
      <c r="U13" s="206"/>
      <c r="V13" s="206"/>
      <c r="W13" s="206"/>
      <c r="X13" s="206"/>
      <c r="Y13" s="206"/>
      <c r="Z13" s="206"/>
      <c r="AA13" s="206"/>
      <c r="AB13" s="219"/>
      <c r="AC13" s="130"/>
      <c r="AD13" s="130"/>
      <c r="AE13" s="130"/>
      <c r="AF13" s="130"/>
      <c r="AG13" s="130"/>
      <c r="AH13" s="130"/>
      <c r="AI13" s="130"/>
      <c r="AJ13" s="130"/>
      <c r="AK13" s="130"/>
      <c r="AL13" s="130"/>
      <c r="AM13" s="133" t="s">
        <v>39</v>
      </c>
      <c r="AN13" s="130"/>
      <c r="AO13" s="130"/>
      <c r="AP13" s="135">
        <f>'Single Project Assumptions'!T50</f>
        <v>2400</v>
      </c>
      <c r="AQ13" s="130"/>
      <c r="AR13" s="130"/>
      <c r="AS13" s="130"/>
      <c r="AT13" s="130"/>
    </row>
    <row r="14" spans="1:46" s="116" customFormat="1" ht="28.05" customHeight="1">
      <c r="A14" s="130"/>
      <c r="B14" s="130"/>
      <c r="C14" s="220" t="s">
        <v>40</v>
      </c>
      <c r="D14" s="206"/>
      <c r="E14" s="206"/>
      <c r="F14" s="206"/>
      <c r="G14" s="206"/>
      <c r="H14" s="206"/>
      <c r="I14" s="206"/>
      <c r="J14" s="206"/>
      <c r="AB14" s="120"/>
      <c r="AC14" s="130"/>
      <c r="AD14" s="130"/>
      <c r="AE14" s="130"/>
      <c r="AF14" s="130"/>
      <c r="AG14" s="130"/>
      <c r="AH14" s="130"/>
      <c r="AI14" s="130"/>
      <c r="AJ14" s="130"/>
      <c r="AK14" s="130"/>
      <c r="AL14" s="130"/>
      <c r="AM14" s="130" t="s">
        <v>41</v>
      </c>
      <c r="AN14" s="130"/>
      <c r="AO14" s="130"/>
      <c r="AP14" s="135">
        <f>SUM(AP11:AP13)</f>
        <v>5200</v>
      </c>
      <c r="AQ14" s="130"/>
      <c r="AR14" s="130"/>
      <c r="AS14" s="130"/>
      <c r="AT14" s="130"/>
    </row>
    <row r="15" spans="1:46" s="116" customFormat="1" ht="28.05" customHeight="1">
      <c r="A15" s="130"/>
      <c r="B15" s="130"/>
      <c r="C15" s="123"/>
      <c r="D15" s="124"/>
      <c r="E15" s="125"/>
      <c r="F15" s="125"/>
      <c r="G15" s="126"/>
      <c r="H15" s="126"/>
      <c r="I15" s="126"/>
      <c r="J15" s="126"/>
      <c r="AB15" s="120"/>
      <c r="AC15" s="130"/>
      <c r="AD15" s="130"/>
      <c r="AE15" s="130"/>
      <c r="AF15" s="130"/>
      <c r="AG15" s="130"/>
      <c r="AH15" s="130"/>
      <c r="AI15" s="130"/>
      <c r="AJ15" s="130"/>
      <c r="AK15" s="130"/>
      <c r="AL15" s="130"/>
      <c r="AM15" s="130"/>
      <c r="AN15" s="130"/>
      <c r="AO15" s="130"/>
      <c r="AP15" s="130"/>
      <c r="AQ15" s="130"/>
      <c r="AR15" s="130"/>
      <c r="AS15" s="130"/>
      <c r="AT15" s="130"/>
    </row>
    <row r="16" spans="1:46" s="116" customFormat="1" ht="28.05" customHeight="1">
      <c r="A16" s="130"/>
      <c r="B16" s="130"/>
      <c r="C16" s="123"/>
      <c r="D16" s="124"/>
      <c r="E16" s="125"/>
      <c r="F16" s="125"/>
      <c r="G16" s="126"/>
      <c r="H16" s="126"/>
      <c r="I16" s="126"/>
      <c r="J16" s="126"/>
      <c r="AB16" s="120"/>
      <c r="AC16" s="130"/>
      <c r="AD16" s="130"/>
      <c r="AE16" s="130"/>
      <c r="AF16" s="130"/>
      <c r="AG16" s="130"/>
      <c r="AH16" s="130"/>
      <c r="AI16" s="130"/>
      <c r="AJ16" s="130"/>
      <c r="AK16" s="130"/>
      <c r="AL16" s="130"/>
      <c r="AM16" s="130"/>
      <c r="AN16" s="130"/>
      <c r="AO16" s="130"/>
      <c r="AP16" s="130"/>
      <c r="AQ16" s="130"/>
      <c r="AR16" s="130"/>
      <c r="AS16" s="130"/>
      <c r="AT16" s="130"/>
    </row>
    <row r="17" spans="1:46" s="116" customFormat="1" ht="28.05" customHeight="1">
      <c r="A17" s="130"/>
      <c r="B17" s="130"/>
      <c r="C17" s="119"/>
      <c r="Q17" s="127"/>
      <c r="AB17" s="120"/>
      <c r="AC17" s="130"/>
      <c r="AD17" s="130"/>
      <c r="AE17" s="130"/>
      <c r="AF17" s="130"/>
      <c r="AG17" s="130"/>
      <c r="AH17" s="130"/>
      <c r="AI17" s="130"/>
      <c r="AJ17" s="130"/>
      <c r="AK17" s="130"/>
      <c r="AL17" s="130"/>
      <c r="AM17" s="130"/>
      <c r="AN17" s="130"/>
      <c r="AO17" s="130"/>
      <c r="AP17" s="130"/>
      <c r="AQ17" s="130"/>
      <c r="AR17" s="130"/>
      <c r="AS17" s="130"/>
      <c r="AT17" s="130"/>
    </row>
    <row r="18" spans="1:46" s="116" customFormat="1" ht="28.05" customHeight="1">
      <c r="A18" s="130"/>
      <c r="B18" s="130"/>
      <c r="C18" s="221" t="s">
        <v>42</v>
      </c>
      <c r="D18" s="222"/>
      <c r="E18" s="222"/>
      <c r="F18" s="222"/>
      <c r="G18" s="222"/>
      <c r="H18" s="222"/>
      <c r="I18" s="222"/>
      <c r="J18" s="222"/>
      <c r="L18" s="233" t="s">
        <v>43</v>
      </c>
      <c r="M18" s="222"/>
      <c r="N18" s="222"/>
      <c r="O18" s="222"/>
      <c r="P18" s="222"/>
      <c r="Q18" s="222"/>
      <c r="R18" s="222"/>
      <c r="S18" s="222"/>
      <c r="U18" s="227" t="s">
        <v>44</v>
      </c>
      <c r="V18" s="222"/>
      <c r="W18" s="222"/>
      <c r="X18" s="222"/>
      <c r="Y18" s="222"/>
      <c r="Z18" s="222"/>
      <c r="AA18" s="222"/>
      <c r="AB18" s="228"/>
      <c r="AC18" s="130"/>
      <c r="AD18" s="130"/>
      <c r="AE18" s="130"/>
      <c r="AF18" s="130"/>
      <c r="AG18" s="130"/>
      <c r="AH18" s="130"/>
      <c r="AI18" s="130"/>
      <c r="AJ18" s="130"/>
      <c r="AK18" s="130"/>
      <c r="AL18" s="130"/>
      <c r="AM18" s="130"/>
      <c r="AN18" s="130"/>
      <c r="AO18" s="130"/>
      <c r="AP18" s="130"/>
      <c r="AQ18" s="130"/>
      <c r="AR18" s="130"/>
      <c r="AS18" s="130"/>
      <c r="AT18" s="130"/>
    </row>
    <row r="19" spans="1:46" s="116" customFormat="1" ht="28.05" customHeight="1">
      <c r="A19" s="130"/>
      <c r="B19" s="130"/>
      <c r="C19" s="226" t="s">
        <v>28</v>
      </c>
      <c r="D19" s="206"/>
      <c r="E19" s="210" t="s">
        <v>45</v>
      </c>
      <c r="F19" s="206"/>
      <c r="G19" s="210" t="s">
        <v>46</v>
      </c>
      <c r="H19" s="206"/>
      <c r="I19" s="210" t="s">
        <v>47</v>
      </c>
      <c r="J19" s="206"/>
      <c r="Q19" s="127"/>
      <c r="U19" s="234" t="s">
        <v>48</v>
      </c>
      <c r="V19" s="208"/>
      <c r="W19" s="208"/>
      <c r="X19" s="208"/>
      <c r="Y19" s="208"/>
      <c r="Z19" s="208"/>
      <c r="AA19" s="208"/>
      <c r="AB19" s="209"/>
      <c r="AC19" s="130"/>
      <c r="AD19" s="130"/>
      <c r="AE19" s="130"/>
      <c r="AF19" s="130"/>
      <c r="AG19" s="130"/>
      <c r="AH19" s="130"/>
      <c r="AI19" s="130"/>
      <c r="AJ19" s="130"/>
      <c r="AK19" s="130"/>
      <c r="AL19" s="130"/>
      <c r="AM19" s="130"/>
      <c r="AN19" s="130"/>
      <c r="AO19" s="130"/>
      <c r="AP19" s="130"/>
      <c r="AQ19" s="130"/>
      <c r="AR19" s="130"/>
      <c r="AS19" s="130"/>
      <c r="AT19" s="130"/>
    </row>
    <row r="20" spans="1:46" s="116" customFormat="1" ht="28.05" customHeight="1">
      <c r="A20" s="130"/>
      <c r="B20" s="130"/>
      <c r="C20" s="214">
        <f>C12</f>
        <v>1</v>
      </c>
      <c r="D20" s="206"/>
      <c r="E20" s="231">
        <f>'Single Project Assumptions'!D51</f>
        <v>0.15</v>
      </c>
      <c r="F20" s="206"/>
      <c r="G20" s="217">
        <f>'Single Project Assumptions'!D52/1000000</f>
        <v>0.15</v>
      </c>
      <c r="H20" s="206"/>
      <c r="I20" s="217" t="s">
        <v>49</v>
      </c>
      <c r="J20" s="206"/>
      <c r="U20" s="206"/>
      <c r="V20" s="206"/>
      <c r="W20" s="206"/>
      <c r="X20" s="206"/>
      <c r="Y20" s="206"/>
      <c r="Z20" s="206"/>
      <c r="AA20" s="206"/>
      <c r="AB20" s="219"/>
      <c r="AC20" s="130"/>
      <c r="AD20" s="130"/>
      <c r="AE20" s="130"/>
      <c r="AF20" s="130"/>
      <c r="AG20" s="130"/>
      <c r="AH20" s="130"/>
      <c r="AI20" s="130"/>
      <c r="AJ20" s="130"/>
      <c r="AK20" s="130"/>
      <c r="AL20" s="130"/>
      <c r="AM20" s="130"/>
      <c r="AN20" s="130"/>
      <c r="AO20" s="130"/>
      <c r="AP20" s="130"/>
      <c r="AQ20" s="130"/>
      <c r="AR20" s="130"/>
      <c r="AS20" s="130"/>
      <c r="AT20" s="130"/>
    </row>
    <row r="21" spans="1:46" s="116" customFormat="1" ht="28.05" customHeight="1">
      <c r="A21" s="130"/>
      <c r="B21" s="130"/>
      <c r="C21" s="215"/>
      <c r="D21" s="206"/>
      <c r="E21" s="206"/>
      <c r="F21" s="206"/>
      <c r="G21" s="206"/>
      <c r="H21" s="206"/>
      <c r="I21" s="206"/>
      <c r="J21" s="206"/>
      <c r="U21" s="225" t="s">
        <v>50</v>
      </c>
      <c r="V21" s="206"/>
      <c r="W21" s="206"/>
      <c r="X21" s="206"/>
      <c r="Y21" s="218" t="s">
        <v>51</v>
      </c>
      <c r="Z21" s="206"/>
      <c r="AA21" s="206"/>
      <c r="AB21" s="219"/>
      <c r="AC21" s="130"/>
      <c r="AD21" s="130"/>
      <c r="AE21" s="130"/>
      <c r="AF21" s="130"/>
      <c r="AG21" s="130"/>
      <c r="AH21" s="130"/>
      <c r="AI21" s="130"/>
      <c r="AJ21" s="130"/>
      <c r="AK21" s="130"/>
      <c r="AL21" s="130"/>
      <c r="AM21" s="130"/>
      <c r="AN21" s="130"/>
      <c r="AO21" s="130"/>
      <c r="AP21" s="130"/>
      <c r="AQ21" s="130"/>
      <c r="AR21" s="130"/>
      <c r="AS21" s="130"/>
      <c r="AT21" s="130"/>
    </row>
    <row r="22" spans="1:46" s="116" customFormat="1" ht="28.05" customHeight="1">
      <c r="A22" s="130"/>
      <c r="B22" s="130"/>
      <c r="C22" s="220"/>
      <c r="D22" s="206"/>
      <c r="E22" s="206"/>
      <c r="F22" s="206"/>
      <c r="G22" s="206"/>
      <c r="H22" s="206"/>
      <c r="I22" s="206"/>
      <c r="J22" s="206"/>
      <c r="U22" s="206"/>
      <c r="V22" s="206"/>
      <c r="W22" s="206"/>
      <c r="X22" s="206"/>
      <c r="Y22" s="206"/>
      <c r="Z22" s="206"/>
      <c r="AA22" s="206"/>
      <c r="AB22" s="219"/>
      <c r="AC22" s="130"/>
      <c r="AD22" s="130"/>
      <c r="AE22" s="130"/>
      <c r="AF22" s="130"/>
      <c r="AG22" s="130"/>
      <c r="AH22" s="130"/>
      <c r="AI22" s="130"/>
      <c r="AJ22" s="130"/>
      <c r="AK22" s="130"/>
      <c r="AL22" s="130"/>
      <c r="AM22" s="130"/>
      <c r="AN22" s="130"/>
      <c r="AO22" s="130"/>
      <c r="AP22" s="130"/>
      <c r="AQ22" s="130"/>
      <c r="AR22" s="130"/>
      <c r="AS22" s="130"/>
      <c r="AT22" s="130"/>
    </row>
    <row r="23" spans="1:46" s="116" customFormat="1" ht="28.05" customHeight="1">
      <c r="A23" s="130"/>
      <c r="B23" s="130"/>
      <c r="C23" s="119"/>
      <c r="U23" s="225" t="s">
        <v>52</v>
      </c>
      <c r="V23" s="206"/>
      <c r="W23" s="206"/>
      <c r="X23" s="206"/>
      <c r="Y23" s="218" t="s">
        <v>53</v>
      </c>
      <c r="Z23" s="206"/>
      <c r="AA23" s="206"/>
      <c r="AB23" s="219"/>
      <c r="AC23" s="130"/>
      <c r="AD23" s="130"/>
      <c r="AE23" s="130"/>
      <c r="AF23" s="130"/>
      <c r="AG23" s="130"/>
      <c r="AH23" s="130"/>
      <c r="AI23" s="130"/>
      <c r="AJ23" s="130"/>
      <c r="AK23" s="130"/>
      <c r="AL23" s="130"/>
      <c r="AM23" s="130"/>
      <c r="AN23" s="130"/>
      <c r="AO23" s="130"/>
      <c r="AP23" s="130"/>
      <c r="AQ23" s="130"/>
      <c r="AR23" s="130"/>
      <c r="AS23" s="130"/>
      <c r="AT23" s="130"/>
    </row>
    <row r="24" spans="1:46" s="116" customFormat="1" ht="28.05" customHeight="1">
      <c r="A24" s="130"/>
      <c r="B24" s="130"/>
      <c r="C24" s="119"/>
      <c r="U24" s="206"/>
      <c r="V24" s="206"/>
      <c r="W24" s="206"/>
      <c r="X24" s="206"/>
      <c r="Y24" s="206"/>
      <c r="Z24" s="206"/>
      <c r="AA24" s="206"/>
      <c r="AB24" s="219"/>
      <c r="AC24" s="130"/>
      <c r="AD24" s="130"/>
      <c r="AE24" s="130"/>
      <c r="AF24" s="130"/>
      <c r="AG24" s="130"/>
      <c r="AH24" s="130"/>
      <c r="AI24" s="130"/>
      <c r="AJ24" s="130"/>
      <c r="AK24" s="130"/>
      <c r="AL24" s="130"/>
      <c r="AM24" s="130"/>
      <c r="AN24" s="130"/>
      <c r="AO24" s="130"/>
      <c r="AP24" s="130"/>
      <c r="AQ24" s="130"/>
      <c r="AR24" s="130"/>
      <c r="AS24" s="130"/>
      <c r="AT24" s="130"/>
    </row>
    <row r="25" spans="1:46" s="116" customFormat="1" ht="28.05" customHeight="1">
      <c r="A25" s="130"/>
      <c r="B25" s="130"/>
      <c r="C25" s="119"/>
      <c r="U25" s="225" t="s">
        <v>54</v>
      </c>
      <c r="V25" s="206"/>
      <c r="W25" s="206"/>
      <c r="X25" s="206"/>
      <c r="Y25" s="235" t="s">
        <v>55</v>
      </c>
      <c r="Z25" s="206"/>
      <c r="AA25" s="206"/>
      <c r="AB25" s="219"/>
      <c r="AC25" s="130"/>
      <c r="AD25" s="130"/>
      <c r="AE25" s="130"/>
      <c r="AF25" s="130"/>
      <c r="AG25" s="130"/>
      <c r="AH25" s="130"/>
      <c r="AI25" s="130"/>
      <c r="AJ25" s="130"/>
      <c r="AK25" s="130"/>
      <c r="AL25" s="130"/>
      <c r="AM25" s="130"/>
      <c r="AN25" s="130"/>
      <c r="AO25" s="130"/>
      <c r="AP25" s="130"/>
      <c r="AQ25" s="130"/>
      <c r="AR25" s="130"/>
      <c r="AS25" s="130"/>
      <c r="AT25" s="130"/>
    </row>
    <row r="26" spans="1:46" s="116" customFormat="1" ht="28.05" customHeight="1">
      <c r="A26" s="130"/>
      <c r="B26" s="130"/>
      <c r="C26" s="119"/>
      <c r="U26" s="206"/>
      <c r="V26" s="206"/>
      <c r="W26" s="206"/>
      <c r="X26" s="206"/>
      <c r="Y26" s="206"/>
      <c r="Z26" s="206"/>
      <c r="AA26" s="206"/>
      <c r="AB26" s="219"/>
      <c r="AC26" s="130"/>
      <c r="AD26" s="130"/>
      <c r="AE26" s="130"/>
      <c r="AF26" s="130"/>
      <c r="AG26" s="130"/>
      <c r="AH26" s="130"/>
      <c r="AI26" s="130"/>
      <c r="AJ26" s="130"/>
      <c r="AK26" s="130"/>
      <c r="AL26" s="130"/>
      <c r="AM26" s="130"/>
      <c r="AN26" s="130"/>
      <c r="AO26" s="130"/>
      <c r="AP26" s="130"/>
      <c r="AQ26" s="130"/>
      <c r="AR26" s="130"/>
      <c r="AS26" s="130"/>
      <c r="AT26" s="130"/>
    </row>
    <row r="27" spans="1:46" s="116" customFormat="1" ht="28.05" customHeight="1">
      <c r="A27" s="130"/>
      <c r="B27" s="130"/>
      <c r="C27" s="119"/>
      <c r="U27" s="136"/>
      <c r="V27" s="136"/>
      <c r="W27" s="136"/>
      <c r="X27" s="136"/>
      <c r="Y27" s="136"/>
      <c r="Z27" s="136"/>
      <c r="AA27" s="136"/>
      <c r="AB27" s="137"/>
      <c r="AC27" s="130"/>
      <c r="AD27" s="130"/>
      <c r="AE27" s="130"/>
      <c r="AF27" s="130"/>
      <c r="AG27" s="130"/>
      <c r="AH27" s="130"/>
      <c r="AI27" s="130"/>
      <c r="AJ27" s="130"/>
      <c r="AK27" s="130"/>
      <c r="AL27" s="130"/>
      <c r="AM27" s="130"/>
      <c r="AN27" s="130"/>
      <c r="AO27" s="130"/>
      <c r="AP27" s="130"/>
      <c r="AQ27" s="130"/>
      <c r="AR27" s="130"/>
      <c r="AS27" s="130"/>
      <c r="AT27" s="130"/>
    </row>
    <row r="28" spans="1:46" s="116" customFormat="1" ht="28.05" customHeight="1">
      <c r="A28" s="130"/>
      <c r="B28" s="130"/>
      <c r="C28" s="119"/>
      <c r="U28" s="230" t="s">
        <v>56</v>
      </c>
      <c r="V28" s="206"/>
      <c r="W28" s="206"/>
      <c r="X28" s="206"/>
      <c r="Y28" s="206"/>
      <c r="Z28" s="206"/>
      <c r="AA28" s="206"/>
      <c r="AB28" s="219"/>
      <c r="AC28" s="130"/>
      <c r="AD28" s="130"/>
      <c r="AE28" s="130"/>
      <c r="AF28" s="130"/>
      <c r="AG28" s="130"/>
      <c r="AH28" s="130"/>
      <c r="AI28" s="130"/>
      <c r="AJ28" s="130"/>
      <c r="AK28" s="130"/>
      <c r="AL28" s="130"/>
      <c r="AM28" s="130"/>
      <c r="AN28" s="130"/>
      <c r="AO28" s="130"/>
      <c r="AP28" s="130"/>
      <c r="AQ28" s="130"/>
      <c r="AR28" s="130"/>
      <c r="AS28" s="130"/>
      <c r="AT28" s="130"/>
    </row>
    <row r="29" spans="1:46" s="116" customFormat="1" ht="28.05" customHeight="1">
      <c r="A29" s="130"/>
      <c r="B29" s="130"/>
      <c r="C29" s="119"/>
      <c r="U29" s="206"/>
      <c r="V29" s="206"/>
      <c r="W29" s="206"/>
      <c r="X29" s="206"/>
      <c r="Y29" s="206"/>
      <c r="Z29" s="206"/>
      <c r="AA29" s="206"/>
      <c r="AB29" s="219"/>
      <c r="AC29" s="130"/>
      <c r="AD29" s="130"/>
      <c r="AE29" s="130"/>
      <c r="AF29" s="130"/>
      <c r="AG29" s="130"/>
      <c r="AH29" s="130"/>
      <c r="AI29" s="130"/>
      <c r="AJ29" s="130"/>
      <c r="AK29" s="130"/>
      <c r="AL29" s="130"/>
      <c r="AM29" s="130"/>
      <c r="AN29" s="130"/>
      <c r="AO29" s="130"/>
      <c r="AP29" s="130"/>
      <c r="AQ29" s="130"/>
      <c r="AR29" s="130"/>
      <c r="AS29" s="130"/>
      <c r="AT29" s="130"/>
    </row>
    <row r="30" spans="1:46" s="116" customFormat="1" ht="28.05" customHeight="1">
      <c r="A30" s="130"/>
      <c r="B30" s="130"/>
      <c r="C30" s="119"/>
      <c r="U30" s="206"/>
      <c r="V30" s="206"/>
      <c r="W30" s="206"/>
      <c r="X30" s="206"/>
      <c r="Y30" s="206"/>
      <c r="Z30" s="206"/>
      <c r="AA30" s="206"/>
      <c r="AB30" s="219"/>
      <c r="AC30" s="130"/>
      <c r="AD30" s="130"/>
      <c r="AE30" s="130"/>
      <c r="AF30" s="130"/>
      <c r="AG30" s="130"/>
      <c r="AH30" s="130"/>
      <c r="AI30" s="130"/>
      <c r="AJ30" s="130"/>
      <c r="AK30" s="130"/>
      <c r="AL30" s="130"/>
      <c r="AM30" s="130"/>
      <c r="AN30" s="130"/>
      <c r="AO30" s="130"/>
      <c r="AP30" s="130"/>
      <c r="AQ30" s="130"/>
      <c r="AR30" s="130"/>
      <c r="AS30" s="130"/>
      <c r="AT30" s="130"/>
    </row>
    <row r="31" spans="1:46" s="116" customFormat="1" ht="28.05" customHeight="1">
      <c r="A31" s="130"/>
      <c r="B31" s="130"/>
      <c r="C31" s="128"/>
      <c r="D31" s="118"/>
      <c r="E31" s="118"/>
      <c r="F31" s="118"/>
      <c r="G31" s="118"/>
      <c r="H31" s="118"/>
      <c r="I31" s="118"/>
      <c r="J31" s="118"/>
      <c r="K31" s="118"/>
      <c r="L31" s="118"/>
      <c r="M31" s="118"/>
      <c r="N31" s="118"/>
      <c r="O31" s="118"/>
      <c r="P31" s="118"/>
      <c r="Q31" s="118"/>
      <c r="R31" s="118"/>
      <c r="S31" s="118"/>
      <c r="T31" s="118"/>
      <c r="U31" s="222"/>
      <c r="V31" s="222"/>
      <c r="W31" s="222"/>
      <c r="X31" s="222"/>
      <c r="Y31" s="222"/>
      <c r="Z31" s="222"/>
      <c r="AA31" s="222"/>
      <c r="AB31" s="228"/>
      <c r="AC31" s="130"/>
      <c r="AD31" s="130"/>
      <c r="AE31" s="130"/>
      <c r="AF31" s="130"/>
      <c r="AG31" s="130"/>
      <c r="AH31" s="130"/>
      <c r="AI31" s="130"/>
      <c r="AJ31" s="130"/>
      <c r="AK31" s="130"/>
      <c r="AL31" s="130"/>
      <c r="AM31" s="130"/>
      <c r="AN31" s="130"/>
      <c r="AO31" s="130"/>
      <c r="AP31" s="130"/>
      <c r="AQ31" s="130"/>
      <c r="AR31" s="130"/>
      <c r="AS31" s="130"/>
      <c r="AT31" s="130"/>
    </row>
    <row r="32" spans="1:46" s="130" customFormat="1" ht="24" customHeight="1"/>
    <row r="33" s="130" customFormat="1" ht="24" customHeight="1"/>
    <row r="34" s="130" customFormat="1" ht="24" customHeight="1"/>
    <row r="35" s="130" customFormat="1" ht="24" customHeight="1"/>
    <row r="36" s="130" customFormat="1" ht="24" customHeight="1"/>
    <row r="37" s="130" customFormat="1" ht="24" customHeight="1"/>
    <row r="38" s="130" customFormat="1" ht="24" customHeight="1"/>
    <row r="39" s="130" customFormat="1" ht="24" customHeight="1"/>
    <row r="40" s="130" customFormat="1" ht="24" customHeight="1"/>
    <row r="41" s="130" customFormat="1" ht="24" customHeight="1"/>
    <row r="42" s="130" customFormat="1" ht="24" customHeight="1"/>
    <row r="43" s="130" customFormat="1" ht="24" customHeight="1"/>
    <row r="44" s="130" customFormat="1" ht="24" customHeight="1"/>
    <row r="45" s="130" customFormat="1" ht="24" customHeight="1"/>
    <row r="46" s="130" customFormat="1" ht="24" customHeight="1"/>
    <row r="47" s="130" customFormat="1" ht="24" customHeight="1"/>
    <row r="48" s="130" customFormat="1" ht="24" customHeight="1"/>
    <row r="49" s="130" customFormat="1" ht="24" customHeight="1"/>
    <row r="50" s="130" customFormat="1" ht="24" customHeight="1"/>
    <row r="51" s="130" customFormat="1" ht="24" customHeight="1"/>
    <row r="52" s="130" customFormat="1" ht="24" customHeight="1"/>
    <row r="53" s="130" customFormat="1" ht="24" customHeight="1"/>
    <row r="54" s="130" customFormat="1" ht="24" customHeight="1"/>
    <row r="55" s="130" customFormat="1" ht="24" customHeight="1"/>
    <row r="56" s="130" customFormat="1" ht="24" customHeight="1"/>
    <row r="57" s="130" customFormat="1" ht="24" customHeight="1"/>
    <row r="58" s="130" customFormat="1" ht="24" customHeight="1"/>
    <row r="59" s="130" customFormat="1" ht="24" customHeight="1"/>
    <row r="60" s="130" customFormat="1" ht="24" customHeight="1"/>
    <row r="61" s="130" customFormat="1" ht="24" customHeight="1"/>
    <row r="62" s="130" customFormat="1" ht="24" customHeight="1"/>
    <row r="63" s="130" customFormat="1" ht="24" customHeight="1"/>
    <row r="64" s="130" customFormat="1" ht="24" customHeight="1"/>
    <row r="65" s="130" customFormat="1" ht="24" customHeight="1"/>
    <row r="66" s="130" customFormat="1" ht="24" customHeight="1"/>
    <row r="67" s="130" customFormat="1" ht="24" customHeight="1"/>
    <row r="68" s="130" customFormat="1" ht="24" customHeight="1"/>
    <row r="69" s="130" customFormat="1" ht="24" customHeight="1"/>
    <row r="70" s="130" customFormat="1" ht="24" customHeight="1"/>
    <row r="71" s="130" customFormat="1" ht="24" customHeight="1"/>
    <row r="72" s="130" customFormat="1" ht="24" customHeight="1"/>
    <row r="73" s="130" customFormat="1" ht="24" customHeight="1"/>
    <row r="74" s="130" customFormat="1" ht="24" customHeight="1"/>
    <row r="75" s="130" customFormat="1" ht="24" customHeight="1"/>
    <row r="76" s="130" customFormat="1" ht="24" customHeight="1"/>
    <row r="77" s="130" customFormat="1" ht="24" customHeight="1"/>
    <row r="78" s="130" customFormat="1" ht="24" customHeight="1"/>
    <row r="79" s="130" customFormat="1" ht="24" customHeight="1"/>
    <row r="80" s="130" customFormat="1" ht="24" customHeight="1"/>
    <row r="81" s="130" customFormat="1" ht="24" customHeight="1"/>
    <row r="82" s="130" customFormat="1" ht="24" customHeight="1"/>
    <row r="83" s="130" customFormat="1" ht="24" customHeight="1"/>
    <row r="84" s="130" customFormat="1" ht="24" customHeight="1"/>
    <row r="85" s="130" customFormat="1" ht="24" customHeight="1"/>
    <row r="86" s="130" customFormat="1" ht="24" customHeight="1"/>
    <row r="87" s="130" customFormat="1" ht="24" customHeight="1"/>
    <row r="88" s="130" customFormat="1" ht="24" customHeight="1"/>
    <row r="89" s="130" customFormat="1" ht="24" customHeight="1"/>
    <row r="90" s="130" customFormat="1" ht="24" customHeight="1"/>
    <row r="91" s="130" customFormat="1" ht="24" customHeight="1"/>
    <row r="92" s="130" customFormat="1" ht="24" customHeight="1"/>
    <row r="93" s="130" customFormat="1" ht="24" customHeight="1"/>
    <row r="94" s="130" customFormat="1" ht="24" customHeight="1"/>
    <row r="95" s="130" customFormat="1" ht="24" customHeight="1"/>
    <row r="96" s="130" customFormat="1" ht="24" customHeight="1"/>
    <row r="97" s="130" customFormat="1" ht="24" customHeight="1"/>
    <row r="98" s="130" customFormat="1" ht="24" customHeight="1"/>
    <row r="99" s="130" customFormat="1" ht="24" customHeight="1"/>
    <row r="100" s="130" customFormat="1" ht="24" customHeight="1"/>
    <row r="101" s="130" customFormat="1" ht="24" customHeight="1"/>
    <row r="102" s="130" customFormat="1" ht="24" customHeight="1"/>
    <row r="103" s="130" customFormat="1" ht="24" customHeight="1"/>
    <row r="104" s="130" customFormat="1" ht="24" customHeight="1"/>
    <row r="105" s="130" customFormat="1" ht="24" customHeight="1"/>
    <row r="106" s="130" customFormat="1" ht="24" customHeight="1"/>
    <row r="107" s="130" customFormat="1" ht="24" customHeight="1"/>
    <row r="108" s="130" customFormat="1" ht="24" customHeight="1"/>
    <row r="109" s="130" customFormat="1" ht="24" customHeight="1"/>
    <row r="110" s="130" customFormat="1" ht="24" customHeight="1"/>
    <row r="111" s="130" customFormat="1" ht="24" customHeight="1"/>
    <row r="112" s="130" customFormat="1" ht="24" customHeight="1"/>
    <row r="113" s="130" customFormat="1" ht="24" customHeight="1"/>
    <row r="114" s="130" customFormat="1" ht="24" customHeight="1"/>
    <row r="115" s="130" customFormat="1" ht="24" customHeight="1"/>
    <row r="116" s="130" customFormat="1" ht="24" customHeight="1"/>
    <row r="117" s="130" customFormat="1" ht="24" customHeight="1"/>
    <row r="118" s="130" customFormat="1" ht="24" customHeight="1"/>
    <row r="119" s="130" customFormat="1" ht="24" customHeight="1"/>
    <row r="120" s="130" customFormat="1" ht="24" customHeight="1"/>
    <row r="121" s="130" customFormat="1" ht="24" customHeight="1"/>
    <row r="122" s="130" customFormat="1" ht="24" customHeight="1"/>
    <row r="123" s="130" customFormat="1" ht="24" customHeight="1"/>
    <row r="124" s="130" customFormat="1" ht="24" customHeight="1"/>
    <row r="125" s="130" customFormat="1" ht="24" customHeight="1"/>
    <row r="126" s="130" customFormat="1" ht="24" customHeight="1"/>
    <row r="127" s="130" customFormat="1" ht="24" customHeight="1"/>
    <row r="128" s="130" customFormat="1" ht="24" customHeight="1"/>
    <row r="129" spans="1:46" s="130" customFormat="1" ht="24" customHeight="1"/>
    <row r="130" spans="1:46" s="130" customFormat="1" ht="24" customHeight="1"/>
    <row r="131" spans="1:46" s="116" customFormat="1" ht="24" customHeight="1">
      <c r="A131" s="130"/>
      <c r="B131" s="130"/>
      <c r="AC131" s="130"/>
      <c r="AD131" s="130"/>
      <c r="AE131" s="130"/>
      <c r="AF131" s="130"/>
      <c r="AG131" s="130"/>
      <c r="AH131" s="130"/>
      <c r="AI131" s="130"/>
      <c r="AJ131" s="130"/>
      <c r="AK131" s="130"/>
      <c r="AL131" s="130"/>
      <c r="AM131" s="130"/>
      <c r="AN131" s="130"/>
      <c r="AO131" s="130"/>
      <c r="AP131" s="130"/>
      <c r="AQ131" s="130"/>
      <c r="AR131" s="130"/>
      <c r="AS131" s="130"/>
      <c r="AT131" s="130"/>
    </row>
    <row r="132" spans="1:46" s="116" customFormat="1" ht="24" customHeight="1">
      <c r="A132" s="130"/>
      <c r="B132" s="130"/>
      <c r="AC132" s="130"/>
      <c r="AD132" s="130"/>
      <c r="AE132" s="130"/>
      <c r="AF132" s="130"/>
      <c r="AG132" s="130"/>
      <c r="AH132" s="130"/>
      <c r="AI132" s="130"/>
      <c r="AJ132" s="130"/>
      <c r="AK132" s="130"/>
      <c r="AL132" s="130"/>
      <c r="AM132" s="130"/>
      <c r="AN132" s="130"/>
      <c r="AO132" s="130"/>
      <c r="AP132" s="130"/>
      <c r="AQ132" s="130"/>
      <c r="AR132" s="130"/>
      <c r="AS132" s="130"/>
      <c r="AT132" s="130"/>
    </row>
    <row r="133" spans="1:46" s="116" customFormat="1" ht="24" customHeight="1">
      <c r="A133" s="130"/>
      <c r="B133" s="130"/>
      <c r="AC133" s="130"/>
      <c r="AD133" s="130"/>
      <c r="AE133" s="130"/>
      <c r="AF133" s="130"/>
      <c r="AG133" s="130"/>
      <c r="AH133" s="130"/>
      <c r="AI133" s="130"/>
      <c r="AJ133" s="130"/>
      <c r="AK133" s="130"/>
      <c r="AL133" s="130"/>
      <c r="AM133" s="130"/>
      <c r="AN133" s="130"/>
      <c r="AO133" s="130"/>
      <c r="AP133" s="130"/>
      <c r="AQ133" s="130"/>
      <c r="AR133" s="130"/>
      <c r="AS133" s="130"/>
      <c r="AT133" s="130"/>
    </row>
    <row r="134" spans="1:46" s="116" customFormat="1" ht="24" customHeight="1">
      <c r="A134" s="130"/>
      <c r="B134" s="130"/>
      <c r="AC134" s="130"/>
      <c r="AD134" s="130"/>
      <c r="AE134" s="130"/>
      <c r="AF134" s="130"/>
      <c r="AG134" s="130"/>
      <c r="AH134" s="130"/>
      <c r="AI134" s="130"/>
      <c r="AJ134" s="130"/>
      <c r="AK134" s="130"/>
      <c r="AL134" s="130"/>
      <c r="AM134" s="130"/>
      <c r="AN134" s="130"/>
      <c r="AO134" s="130"/>
      <c r="AP134" s="130"/>
      <c r="AQ134" s="130"/>
      <c r="AR134" s="130"/>
      <c r="AS134" s="130"/>
      <c r="AT134" s="130"/>
    </row>
    <row r="135" spans="1:46" s="116" customFormat="1" ht="24" customHeight="1">
      <c r="A135" s="130"/>
      <c r="B135" s="130"/>
      <c r="AC135" s="130"/>
      <c r="AD135" s="130"/>
      <c r="AE135" s="130"/>
      <c r="AF135" s="130"/>
      <c r="AG135" s="130"/>
      <c r="AH135" s="130"/>
      <c r="AI135" s="130"/>
      <c r="AJ135" s="130"/>
      <c r="AK135" s="130"/>
      <c r="AL135" s="130"/>
      <c r="AM135" s="130"/>
      <c r="AN135" s="130"/>
      <c r="AO135" s="130"/>
      <c r="AP135" s="130"/>
      <c r="AQ135" s="130"/>
      <c r="AR135" s="130"/>
      <c r="AS135" s="130"/>
      <c r="AT135" s="130"/>
    </row>
    <row r="136" spans="1:46" s="116" customFormat="1" ht="24" customHeight="1">
      <c r="A136" s="130"/>
      <c r="B136" s="130"/>
      <c r="AC136" s="130"/>
      <c r="AD136" s="130"/>
      <c r="AE136" s="130"/>
      <c r="AF136" s="130"/>
      <c r="AG136" s="130"/>
      <c r="AH136" s="130"/>
      <c r="AI136" s="130"/>
      <c r="AJ136" s="130"/>
      <c r="AK136" s="130"/>
      <c r="AL136" s="130"/>
      <c r="AM136" s="130"/>
      <c r="AN136" s="130"/>
      <c r="AO136" s="130"/>
      <c r="AP136" s="130"/>
      <c r="AQ136" s="130"/>
      <c r="AR136" s="130"/>
      <c r="AS136" s="130"/>
      <c r="AT136" s="130"/>
    </row>
    <row r="137" spans="1:46" s="116" customFormat="1" ht="24" customHeight="1">
      <c r="A137" s="130"/>
      <c r="B137" s="130"/>
      <c r="AC137" s="130"/>
      <c r="AD137" s="130"/>
      <c r="AE137" s="130"/>
      <c r="AF137" s="130"/>
      <c r="AG137" s="130"/>
      <c r="AH137" s="130"/>
      <c r="AI137" s="130"/>
      <c r="AJ137" s="130"/>
      <c r="AK137" s="130"/>
      <c r="AL137" s="130"/>
      <c r="AM137" s="130"/>
      <c r="AN137" s="130"/>
      <c r="AO137" s="130"/>
      <c r="AP137" s="130"/>
      <c r="AQ137" s="130"/>
      <c r="AR137" s="130"/>
      <c r="AS137" s="130"/>
      <c r="AT137" s="130"/>
    </row>
    <row r="138" spans="1:46" s="116" customFormat="1" ht="24" customHeight="1">
      <c r="A138" s="130"/>
      <c r="B138" s="130"/>
      <c r="AC138" s="130"/>
      <c r="AD138" s="130"/>
      <c r="AE138" s="130"/>
      <c r="AF138" s="130"/>
      <c r="AG138" s="130"/>
      <c r="AH138" s="130"/>
      <c r="AI138" s="130"/>
      <c r="AJ138" s="130"/>
      <c r="AK138" s="130"/>
      <c r="AL138" s="130"/>
      <c r="AM138" s="130"/>
      <c r="AN138" s="130"/>
      <c r="AO138" s="130"/>
      <c r="AP138" s="130"/>
      <c r="AQ138" s="130"/>
      <c r="AR138" s="130"/>
      <c r="AS138" s="130"/>
      <c r="AT138" s="130"/>
    </row>
    <row r="139" spans="1:46" s="116" customFormat="1" ht="24" customHeight="1">
      <c r="A139" s="130"/>
      <c r="B139" s="130"/>
      <c r="AC139" s="130"/>
      <c r="AD139" s="130"/>
      <c r="AE139" s="130"/>
      <c r="AF139" s="130"/>
      <c r="AG139" s="130"/>
      <c r="AH139" s="130"/>
      <c r="AI139" s="130"/>
      <c r="AJ139" s="130"/>
      <c r="AK139" s="130"/>
      <c r="AL139" s="130"/>
      <c r="AM139" s="130"/>
      <c r="AN139" s="130"/>
      <c r="AO139" s="130"/>
      <c r="AP139" s="130"/>
      <c r="AQ139" s="130"/>
      <c r="AR139" s="130"/>
      <c r="AS139" s="130"/>
      <c r="AT139" s="130"/>
    </row>
    <row r="140" spans="1:46" s="116" customFormat="1" ht="24" customHeight="1">
      <c r="A140" s="130"/>
      <c r="B140" s="130"/>
      <c r="AC140" s="130"/>
      <c r="AD140" s="130"/>
      <c r="AE140" s="130"/>
      <c r="AF140" s="130"/>
      <c r="AG140" s="130"/>
      <c r="AH140" s="130"/>
      <c r="AI140" s="130"/>
      <c r="AJ140" s="130"/>
      <c r="AK140" s="130"/>
      <c r="AL140" s="130"/>
      <c r="AM140" s="130"/>
      <c r="AN140" s="130"/>
      <c r="AO140" s="130"/>
      <c r="AP140" s="130"/>
      <c r="AQ140" s="130"/>
      <c r="AR140" s="130"/>
      <c r="AS140" s="130"/>
      <c r="AT140" s="130"/>
    </row>
    <row r="141" spans="1:46" s="116" customFormat="1" ht="24" customHeight="1">
      <c r="A141" s="130"/>
      <c r="B141" s="130"/>
      <c r="AC141" s="130"/>
      <c r="AD141" s="130"/>
      <c r="AE141" s="130"/>
      <c r="AF141" s="130"/>
      <c r="AG141" s="130"/>
      <c r="AH141" s="130"/>
      <c r="AI141" s="130"/>
      <c r="AJ141" s="130"/>
      <c r="AK141" s="130"/>
      <c r="AL141" s="130"/>
      <c r="AM141" s="130"/>
      <c r="AN141" s="130"/>
      <c r="AO141" s="130"/>
      <c r="AP141" s="130"/>
      <c r="AQ141" s="130"/>
      <c r="AR141" s="130"/>
      <c r="AS141" s="130"/>
      <c r="AT141" s="130"/>
    </row>
    <row r="142" spans="1:46" s="116" customFormat="1" ht="24" customHeight="1">
      <c r="A142" s="130"/>
      <c r="B142" s="130"/>
      <c r="AC142" s="130"/>
      <c r="AD142" s="130"/>
      <c r="AE142" s="130"/>
      <c r="AF142" s="130"/>
      <c r="AG142" s="130"/>
      <c r="AH142" s="130"/>
      <c r="AI142" s="130"/>
      <c r="AJ142" s="130"/>
      <c r="AK142" s="130"/>
      <c r="AL142" s="130"/>
      <c r="AM142" s="130"/>
      <c r="AN142" s="130"/>
      <c r="AO142" s="130"/>
      <c r="AP142" s="130"/>
      <c r="AQ142" s="130"/>
      <c r="AR142" s="130"/>
      <c r="AS142" s="130"/>
      <c r="AT142" s="130"/>
    </row>
    <row r="143" spans="1:46" s="116" customFormat="1" ht="24" customHeight="1">
      <c r="A143" s="130"/>
      <c r="B143" s="130"/>
      <c r="AC143" s="130"/>
      <c r="AD143" s="130"/>
      <c r="AE143" s="130"/>
      <c r="AF143" s="130"/>
      <c r="AG143" s="130"/>
      <c r="AH143" s="130"/>
      <c r="AI143" s="130"/>
      <c r="AJ143" s="130"/>
      <c r="AK143" s="130"/>
      <c r="AL143" s="130"/>
      <c r="AM143" s="130"/>
      <c r="AN143" s="130"/>
      <c r="AO143" s="130"/>
      <c r="AP143" s="130"/>
      <c r="AQ143" s="130"/>
      <c r="AR143" s="130"/>
      <c r="AS143" s="130"/>
      <c r="AT143" s="130"/>
    </row>
    <row r="144" spans="1:46" s="116" customFormat="1" ht="24" customHeight="1">
      <c r="A144" s="130"/>
      <c r="B144" s="130"/>
      <c r="AC144" s="130"/>
      <c r="AD144" s="130"/>
      <c r="AE144" s="130"/>
      <c r="AF144" s="130"/>
      <c r="AG144" s="130"/>
      <c r="AH144" s="130"/>
      <c r="AI144" s="130"/>
      <c r="AJ144" s="130"/>
      <c r="AK144" s="130"/>
      <c r="AL144" s="130"/>
      <c r="AM144" s="130"/>
      <c r="AN144" s="130"/>
      <c r="AO144" s="130"/>
      <c r="AP144" s="130"/>
      <c r="AQ144" s="130"/>
      <c r="AR144" s="130"/>
      <c r="AS144" s="130"/>
      <c r="AT144" s="130"/>
    </row>
    <row r="145" spans="1:46" s="116" customFormat="1" ht="24" customHeight="1">
      <c r="A145" s="130"/>
      <c r="B145" s="130"/>
      <c r="AC145" s="130"/>
      <c r="AD145" s="130"/>
      <c r="AE145" s="130"/>
      <c r="AF145" s="130"/>
      <c r="AG145" s="130"/>
      <c r="AH145" s="130"/>
      <c r="AI145" s="130"/>
      <c r="AJ145" s="130"/>
      <c r="AK145" s="130"/>
      <c r="AL145" s="130"/>
      <c r="AM145" s="130"/>
      <c r="AN145" s="130"/>
      <c r="AO145" s="130"/>
      <c r="AP145" s="130"/>
      <c r="AQ145" s="130"/>
      <c r="AR145" s="130"/>
      <c r="AS145" s="130"/>
      <c r="AT145" s="130"/>
    </row>
    <row r="146" spans="1:46" s="116" customFormat="1" ht="24" customHeight="1">
      <c r="A146" s="130"/>
      <c r="B146" s="130"/>
      <c r="AC146" s="130"/>
      <c r="AD146" s="130"/>
      <c r="AE146" s="130"/>
      <c r="AF146" s="130"/>
      <c r="AG146" s="130"/>
      <c r="AH146" s="130"/>
      <c r="AI146" s="130"/>
      <c r="AJ146" s="130"/>
      <c r="AK146" s="130"/>
      <c r="AL146" s="130"/>
      <c r="AM146" s="130"/>
      <c r="AN146" s="130"/>
      <c r="AO146" s="130"/>
      <c r="AP146" s="130"/>
      <c r="AQ146" s="130"/>
      <c r="AR146" s="130"/>
      <c r="AS146" s="130"/>
      <c r="AT146" s="130"/>
    </row>
    <row r="147" spans="1:46" s="116" customFormat="1" ht="24" customHeight="1">
      <c r="A147" s="130"/>
      <c r="B147" s="130"/>
      <c r="AC147" s="130"/>
      <c r="AD147" s="130"/>
      <c r="AE147" s="130"/>
      <c r="AF147" s="130"/>
      <c r="AG147" s="130"/>
      <c r="AH147" s="130"/>
      <c r="AI147" s="130"/>
      <c r="AJ147" s="130"/>
      <c r="AK147" s="130"/>
      <c r="AL147" s="130"/>
      <c r="AM147" s="130"/>
      <c r="AN147" s="130"/>
      <c r="AO147" s="130"/>
      <c r="AP147" s="130"/>
      <c r="AQ147" s="130"/>
      <c r="AR147" s="130"/>
      <c r="AS147" s="130"/>
      <c r="AT147" s="130"/>
    </row>
    <row r="148" spans="1:46" s="116" customFormat="1" ht="24" customHeight="1">
      <c r="A148" s="130"/>
      <c r="B148" s="130"/>
      <c r="AC148" s="130"/>
      <c r="AD148" s="130"/>
      <c r="AE148" s="130"/>
      <c r="AF148" s="130"/>
      <c r="AG148" s="130"/>
      <c r="AH148" s="130"/>
      <c r="AI148" s="130"/>
      <c r="AJ148" s="130"/>
      <c r="AK148" s="130"/>
      <c r="AL148" s="130"/>
      <c r="AM148" s="130"/>
      <c r="AN148" s="130"/>
      <c r="AO148" s="130"/>
      <c r="AP148" s="130"/>
      <c r="AQ148" s="130"/>
      <c r="AR148" s="130"/>
      <c r="AS148" s="130"/>
      <c r="AT148" s="130"/>
    </row>
    <row r="149" spans="1:46" s="116" customFormat="1" ht="24" customHeight="1">
      <c r="A149" s="130"/>
      <c r="B149" s="130"/>
      <c r="AC149" s="130"/>
      <c r="AD149" s="130"/>
      <c r="AE149" s="130"/>
      <c r="AF149" s="130"/>
      <c r="AG149" s="130"/>
      <c r="AH149" s="130"/>
      <c r="AI149" s="130"/>
      <c r="AJ149" s="130"/>
      <c r="AK149" s="130"/>
      <c r="AL149" s="130"/>
      <c r="AM149" s="130"/>
      <c r="AN149" s="130"/>
      <c r="AO149" s="130"/>
      <c r="AP149" s="130"/>
      <c r="AQ149" s="130"/>
      <c r="AR149" s="130"/>
      <c r="AS149" s="130"/>
      <c r="AT149" s="130"/>
    </row>
    <row r="150" spans="1:46" s="116" customFormat="1" ht="24" customHeight="1">
      <c r="A150" s="130"/>
      <c r="B150" s="130"/>
      <c r="AC150" s="130"/>
      <c r="AD150" s="130"/>
      <c r="AE150" s="130"/>
      <c r="AF150" s="130"/>
      <c r="AG150" s="130"/>
      <c r="AH150" s="130"/>
      <c r="AI150" s="130"/>
      <c r="AJ150" s="130"/>
      <c r="AK150" s="130"/>
      <c r="AL150" s="130"/>
      <c r="AM150" s="130"/>
      <c r="AN150" s="130"/>
      <c r="AO150" s="130"/>
      <c r="AP150" s="130"/>
      <c r="AQ150" s="130"/>
      <c r="AR150" s="130"/>
      <c r="AS150" s="130"/>
      <c r="AT150" s="130"/>
    </row>
    <row r="151" spans="1:46" s="116" customFormat="1" ht="24" customHeight="1">
      <c r="A151" s="130"/>
      <c r="B151" s="130"/>
      <c r="AC151" s="130"/>
      <c r="AD151" s="130"/>
      <c r="AE151" s="130"/>
      <c r="AF151" s="130"/>
      <c r="AG151" s="130"/>
      <c r="AH151" s="130"/>
      <c r="AI151" s="130"/>
      <c r="AJ151" s="130"/>
      <c r="AK151" s="130"/>
      <c r="AL151" s="130"/>
      <c r="AM151" s="130"/>
      <c r="AN151" s="130"/>
      <c r="AO151" s="130"/>
      <c r="AP151" s="130"/>
      <c r="AQ151" s="130"/>
      <c r="AR151" s="130"/>
      <c r="AS151" s="130"/>
      <c r="AT151" s="130"/>
    </row>
    <row r="152" spans="1:46" s="116" customFormat="1" ht="24" customHeight="1">
      <c r="A152" s="130"/>
      <c r="B152" s="130"/>
      <c r="AC152" s="130"/>
      <c r="AD152" s="130"/>
      <c r="AE152" s="130"/>
      <c r="AF152" s="130"/>
      <c r="AG152" s="130"/>
      <c r="AH152" s="130"/>
      <c r="AI152" s="130"/>
      <c r="AJ152" s="130"/>
      <c r="AK152" s="130"/>
      <c r="AL152" s="130"/>
      <c r="AM152" s="130"/>
      <c r="AN152" s="130"/>
      <c r="AO152" s="130"/>
      <c r="AP152" s="130"/>
      <c r="AQ152" s="130"/>
      <c r="AR152" s="130"/>
      <c r="AS152" s="130"/>
      <c r="AT152" s="130"/>
    </row>
    <row r="153" spans="1:46" s="116" customFormat="1" ht="24" customHeight="1">
      <c r="A153" s="130"/>
      <c r="B153" s="130"/>
      <c r="AC153" s="130"/>
      <c r="AD153" s="130"/>
      <c r="AE153" s="130"/>
      <c r="AF153" s="130"/>
      <c r="AG153" s="130"/>
      <c r="AH153" s="130"/>
      <c r="AI153" s="130"/>
      <c r="AJ153" s="130"/>
      <c r="AK153" s="130"/>
      <c r="AL153" s="130"/>
      <c r="AM153" s="130"/>
      <c r="AN153" s="130"/>
      <c r="AO153" s="130"/>
      <c r="AP153" s="130"/>
      <c r="AQ153" s="130"/>
      <c r="AR153" s="130"/>
      <c r="AS153" s="130"/>
      <c r="AT153" s="130"/>
    </row>
    <row r="154" spans="1:46" s="116" customFormat="1" ht="24" customHeight="1">
      <c r="A154" s="130"/>
      <c r="B154" s="130"/>
      <c r="AC154" s="130"/>
      <c r="AD154" s="130"/>
      <c r="AE154" s="130"/>
      <c r="AF154" s="130"/>
      <c r="AG154" s="130"/>
      <c r="AH154" s="130"/>
      <c r="AI154" s="130"/>
      <c r="AJ154" s="130"/>
      <c r="AK154" s="130"/>
      <c r="AL154" s="130"/>
      <c r="AM154" s="130"/>
      <c r="AN154" s="130"/>
      <c r="AO154" s="130"/>
      <c r="AP154" s="130"/>
      <c r="AQ154" s="130"/>
      <c r="AR154" s="130"/>
      <c r="AS154" s="130"/>
      <c r="AT154" s="130"/>
    </row>
    <row r="155" spans="1:46" s="116" customFormat="1" ht="24" customHeight="1">
      <c r="A155" s="130"/>
      <c r="B155" s="130"/>
      <c r="AC155" s="130"/>
      <c r="AD155" s="130"/>
      <c r="AE155" s="130"/>
      <c r="AF155" s="130"/>
      <c r="AG155" s="130"/>
      <c r="AH155" s="130"/>
      <c r="AI155" s="130"/>
      <c r="AJ155" s="130"/>
      <c r="AK155" s="130"/>
      <c r="AL155" s="130"/>
      <c r="AM155" s="130"/>
      <c r="AN155" s="130"/>
      <c r="AO155" s="130"/>
      <c r="AP155" s="130"/>
      <c r="AQ155" s="130"/>
      <c r="AR155" s="130"/>
      <c r="AS155" s="130"/>
      <c r="AT155" s="130"/>
    </row>
    <row r="156" spans="1:46" s="116" customFormat="1" ht="24" customHeight="1">
      <c r="A156" s="130"/>
      <c r="B156" s="130"/>
      <c r="AC156" s="130"/>
      <c r="AD156" s="130"/>
      <c r="AE156" s="130"/>
      <c r="AF156" s="130"/>
      <c r="AG156" s="130"/>
      <c r="AH156" s="130"/>
      <c r="AI156" s="130"/>
      <c r="AJ156" s="130"/>
      <c r="AK156" s="130"/>
      <c r="AL156" s="130"/>
      <c r="AM156" s="130"/>
      <c r="AN156" s="130"/>
      <c r="AO156" s="130"/>
      <c r="AP156" s="130"/>
      <c r="AQ156" s="130"/>
      <c r="AR156" s="130"/>
      <c r="AS156" s="130"/>
      <c r="AT156" s="130"/>
    </row>
    <row r="157" spans="1:46" s="116" customFormat="1" ht="24" customHeight="1">
      <c r="A157" s="130"/>
      <c r="B157" s="130"/>
      <c r="AC157" s="130"/>
      <c r="AD157" s="130"/>
      <c r="AE157" s="130"/>
      <c r="AF157" s="130"/>
      <c r="AG157" s="130"/>
      <c r="AH157" s="130"/>
      <c r="AI157" s="130"/>
      <c r="AJ157" s="130"/>
      <c r="AK157" s="130"/>
      <c r="AL157" s="130"/>
      <c r="AM157" s="130"/>
      <c r="AN157" s="130"/>
      <c r="AO157" s="130"/>
      <c r="AP157" s="130"/>
      <c r="AQ157" s="130"/>
      <c r="AR157" s="130"/>
      <c r="AS157" s="130"/>
      <c r="AT157" s="130"/>
    </row>
    <row r="158" spans="1:46" s="116" customFormat="1" ht="24" customHeight="1">
      <c r="A158" s="130"/>
      <c r="B158" s="130"/>
      <c r="AC158" s="130"/>
      <c r="AD158" s="130"/>
      <c r="AE158" s="130"/>
      <c r="AF158" s="130"/>
      <c r="AG158" s="130"/>
      <c r="AH158" s="130"/>
      <c r="AI158" s="130"/>
      <c r="AJ158" s="130"/>
      <c r="AK158" s="130"/>
      <c r="AL158" s="130"/>
      <c r="AM158" s="130"/>
      <c r="AN158" s="130"/>
      <c r="AO158" s="130"/>
      <c r="AP158" s="130"/>
      <c r="AQ158" s="130"/>
      <c r="AR158" s="130"/>
      <c r="AS158" s="130"/>
      <c r="AT158" s="130"/>
    </row>
    <row r="159" spans="1:46" s="116" customFormat="1" ht="24" customHeight="1">
      <c r="A159" s="130"/>
      <c r="B159" s="130"/>
      <c r="AC159" s="130"/>
      <c r="AD159" s="130"/>
      <c r="AE159" s="130"/>
      <c r="AF159" s="130"/>
      <c r="AG159" s="130"/>
      <c r="AH159" s="130"/>
      <c r="AI159" s="130"/>
      <c r="AJ159" s="130"/>
      <c r="AK159" s="130"/>
      <c r="AL159" s="130"/>
      <c r="AM159" s="130"/>
      <c r="AN159" s="130"/>
      <c r="AO159" s="130"/>
      <c r="AP159" s="130"/>
      <c r="AQ159" s="130"/>
      <c r="AR159" s="130"/>
      <c r="AS159" s="130"/>
      <c r="AT159" s="130"/>
    </row>
    <row r="160" spans="1:46" s="116" customFormat="1" ht="24" customHeight="1">
      <c r="A160" s="130"/>
      <c r="B160" s="130"/>
      <c r="AC160" s="130"/>
      <c r="AD160" s="130"/>
      <c r="AE160" s="130"/>
      <c r="AF160" s="130"/>
      <c r="AG160" s="130"/>
      <c r="AH160" s="130"/>
      <c r="AI160" s="130"/>
      <c r="AJ160" s="130"/>
      <c r="AK160" s="130"/>
      <c r="AL160" s="130"/>
      <c r="AM160" s="130"/>
      <c r="AN160" s="130"/>
      <c r="AO160" s="130"/>
      <c r="AP160" s="130"/>
      <c r="AQ160" s="130"/>
      <c r="AR160" s="130"/>
      <c r="AS160" s="130"/>
      <c r="AT160" s="130"/>
    </row>
    <row r="161" spans="1:46" s="116" customFormat="1" ht="24" customHeight="1">
      <c r="A161" s="130"/>
      <c r="B161" s="130"/>
      <c r="AC161" s="130"/>
      <c r="AD161" s="130"/>
      <c r="AE161" s="130"/>
      <c r="AF161" s="130"/>
      <c r="AG161" s="130"/>
      <c r="AH161" s="130"/>
      <c r="AI161" s="130"/>
      <c r="AJ161" s="130"/>
      <c r="AK161" s="130"/>
      <c r="AL161" s="130"/>
      <c r="AM161" s="130"/>
      <c r="AN161" s="130"/>
      <c r="AO161" s="130"/>
      <c r="AP161" s="130"/>
      <c r="AQ161" s="130"/>
      <c r="AR161" s="130"/>
      <c r="AS161" s="130"/>
      <c r="AT161" s="130"/>
    </row>
    <row r="162" spans="1:46" s="116" customFormat="1" ht="24" customHeight="1">
      <c r="A162" s="130"/>
      <c r="B162" s="130"/>
      <c r="AC162" s="130"/>
      <c r="AD162" s="130"/>
      <c r="AE162" s="130"/>
      <c r="AF162" s="130"/>
      <c r="AG162" s="130"/>
      <c r="AH162" s="130"/>
      <c r="AI162" s="130"/>
      <c r="AJ162" s="130"/>
      <c r="AK162" s="130"/>
      <c r="AL162" s="130"/>
      <c r="AM162" s="130"/>
      <c r="AN162" s="130"/>
      <c r="AO162" s="130"/>
      <c r="AP162" s="130"/>
      <c r="AQ162" s="130"/>
      <c r="AR162" s="130"/>
      <c r="AS162" s="130"/>
      <c r="AT162" s="130"/>
    </row>
    <row r="163" spans="1:46" s="116" customFormat="1" ht="24" customHeight="1">
      <c r="A163" s="130"/>
      <c r="B163" s="130"/>
      <c r="AC163" s="130"/>
      <c r="AD163" s="130"/>
      <c r="AE163" s="130"/>
      <c r="AF163" s="130"/>
      <c r="AG163" s="130"/>
      <c r="AH163" s="130"/>
      <c r="AI163" s="130"/>
      <c r="AJ163" s="130"/>
      <c r="AK163" s="130"/>
      <c r="AL163" s="130"/>
      <c r="AM163" s="130"/>
      <c r="AN163" s="130"/>
      <c r="AO163" s="130"/>
      <c r="AP163" s="130"/>
      <c r="AQ163" s="130"/>
      <c r="AR163" s="130"/>
      <c r="AS163" s="130"/>
      <c r="AT163" s="130"/>
    </row>
    <row r="164" spans="1:46" s="116" customFormat="1" ht="24" customHeight="1">
      <c r="A164" s="130"/>
      <c r="B164" s="130"/>
      <c r="AC164" s="130"/>
      <c r="AD164" s="130"/>
      <c r="AE164" s="130"/>
      <c r="AF164" s="130"/>
      <c r="AG164" s="130"/>
      <c r="AH164" s="130"/>
      <c r="AI164" s="130"/>
      <c r="AJ164" s="130"/>
      <c r="AK164" s="130"/>
      <c r="AL164" s="130"/>
      <c r="AM164" s="130"/>
      <c r="AN164" s="130"/>
      <c r="AO164" s="130"/>
      <c r="AP164" s="130"/>
      <c r="AQ164" s="130"/>
      <c r="AR164" s="130"/>
      <c r="AS164" s="130"/>
      <c r="AT164" s="130"/>
    </row>
    <row r="165" spans="1:46" s="116" customFormat="1" ht="24" customHeight="1">
      <c r="A165" s="130"/>
      <c r="B165" s="130"/>
      <c r="AC165" s="130"/>
      <c r="AD165" s="130"/>
      <c r="AE165" s="130"/>
      <c r="AF165" s="130"/>
      <c r="AG165" s="130"/>
      <c r="AH165" s="130"/>
      <c r="AI165" s="130"/>
      <c r="AJ165" s="130"/>
      <c r="AK165" s="130"/>
      <c r="AL165" s="130"/>
      <c r="AM165" s="130"/>
      <c r="AN165" s="130"/>
      <c r="AO165" s="130"/>
      <c r="AP165" s="130"/>
      <c r="AQ165" s="130"/>
      <c r="AR165" s="130"/>
      <c r="AS165" s="130"/>
      <c r="AT165" s="130"/>
    </row>
    <row r="166" spans="1:46" s="116" customFormat="1" ht="24" customHeight="1">
      <c r="A166" s="130"/>
      <c r="B166" s="130"/>
      <c r="AC166" s="130"/>
      <c r="AD166" s="130"/>
      <c r="AE166" s="130"/>
      <c r="AF166" s="130"/>
      <c r="AG166" s="130"/>
      <c r="AH166" s="130"/>
      <c r="AI166" s="130"/>
      <c r="AJ166" s="130"/>
      <c r="AK166" s="130"/>
      <c r="AL166" s="130"/>
      <c r="AM166" s="130"/>
      <c r="AN166" s="130"/>
      <c r="AO166" s="130"/>
      <c r="AP166" s="130"/>
      <c r="AQ166" s="130"/>
      <c r="AR166" s="130"/>
      <c r="AS166" s="130"/>
      <c r="AT166" s="130"/>
    </row>
    <row r="167" spans="1:46" s="116" customFormat="1" ht="24" customHeight="1">
      <c r="A167" s="130"/>
      <c r="B167" s="130"/>
      <c r="AC167" s="130"/>
      <c r="AD167" s="130"/>
      <c r="AE167" s="130"/>
      <c r="AF167" s="130"/>
      <c r="AG167" s="130"/>
      <c r="AH167" s="130"/>
      <c r="AI167" s="130"/>
      <c r="AJ167" s="130"/>
      <c r="AK167" s="130"/>
      <c r="AL167" s="130"/>
      <c r="AM167" s="130"/>
      <c r="AN167" s="130"/>
      <c r="AO167" s="130"/>
      <c r="AP167" s="130"/>
      <c r="AQ167" s="130"/>
      <c r="AR167" s="130"/>
      <c r="AS167" s="130"/>
      <c r="AT167" s="130"/>
    </row>
    <row r="168" spans="1:46" s="116" customFormat="1" ht="24" customHeight="1">
      <c r="A168" s="130"/>
      <c r="B168" s="130"/>
      <c r="AC168" s="130"/>
      <c r="AD168" s="130"/>
      <c r="AE168" s="130"/>
      <c r="AF168" s="130"/>
      <c r="AG168" s="130"/>
      <c r="AH168" s="130"/>
      <c r="AI168" s="130"/>
      <c r="AJ168" s="130"/>
      <c r="AK168" s="130"/>
      <c r="AL168" s="130"/>
      <c r="AM168" s="130"/>
      <c r="AN168" s="130"/>
      <c r="AO168" s="130"/>
      <c r="AP168" s="130"/>
      <c r="AQ168" s="130"/>
      <c r="AR168" s="130"/>
      <c r="AS168" s="130"/>
      <c r="AT168" s="130"/>
    </row>
    <row r="169" spans="1:46" s="116" customFormat="1" ht="24" customHeight="1">
      <c r="A169" s="130"/>
      <c r="B169" s="130"/>
      <c r="AC169" s="130"/>
      <c r="AD169" s="130"/>
      <c r="AE169" s="130"/>
      <c r="AF169" s="130"/>
      <c r="AG169" s="130"/>
      <c r="AH169" s="130"/>
      <c r="AI169" s="130"/>
      <c r="AJ169" s="130"/>
      <c r="AK169" s="130"/>
      <c r="AL169" s="130"/>
      <c r="AM169" s="130"/>
      <c r="AN169" s="130"/>
      <c r="AO169" s="130"/>
      <c r="AP169" s="130"/>
      <c r="AQ169" s="130"/>
      <c r="AR169" s="130"/>
      <c r="AS169" s="130"/>
      <c r="AT169" s="130"/>
    </row>
    <row r="170" spans="1:46" s="116" customFormat="1" ht="24" customHeight="1">
      <c r="A170" s="130"/>
      <c r="B170" s="130"/>
      <c r="AC170" s="130"/>
      <c r="AD170" s="130"/>
      <c r="AE170" s="130"/>
      <c r="AF170" s="130"/>
      <c r="AG170" s="130"/>
      <c r="AH170" s="130"/>
      <c r="AI170" s="130"/>
      <c r="AJ170" s="130"/>
      <c r="AK170" s="130"/>
      <c r="AL170" s="130"/>
      <c r="AM170" s="130"/>
      <c r="AN170" s="130"/>
      <c r="AO170" s="130"/>
      <c r="AP170" s="130"/>
      <c r="AQ170" s="130"/>
      <c r="AR170" s="130"/>
      <c r="AS170" s="130"/>
      <c r="AT170" s="130"/>
    </row>
    <row r="171" spans="1:46" s="116" customFormat="1" ht="24" customHeight="1">
      <c r="A171" s="130"/>
      <c r="B171" s="130"/>
      <c r="AC171" s="130"/>
      <c r="AD171" s="130"/>
      <c r="AE171" s="130"/>
      <c r="AF171" s="130"/>
      <c r="AG171" s="130"/>
      <c r="AH171" s="130"/>
      <c r="AI171" s="130"/>
      <c r="AJ171" s="130"/>
      <c r="AK171" s="130"/>
      <c r="AL171" s="130"/>
      <c r="AM171" s="130"/>
      <c r="AN171" s="130"/>
      <c r="AO171" s="130"/>
      <c r="AP171" s="130"/>
      <c r="AQ171" s="130"/>
      <c r="AR171" s="130"/>
      <c r="AS171" s="130"/>
      <c r="AT171" s="130"/>
    </row>
    <row r="172" spans="1:46" s="116" customFormat="1" ht="24" customHeight="1">
      <c r="A172" s="130"/>
      <c r="B172" s="130"/>
      <c r="AC172" s="130"/>
      <c r="AD172" s="130"/>
      <c r="AE172" s="130"/>
      <c r="AF172" s="130"/>
      <c r="AG172" s="130"/>
      <c r="AH172" s="130"/>
      <c r="AI172" s="130"/>
      <c r="AJ172" s="130"/>
      <c r="AK172" s="130"/>
      <c r="AL172" s="130"/>
      <c r="AM172" s="130"/>
      <c r="AN172" s="130"/>
      <c r="AO172" s="130"/>
      <c r="AP172" s="130"/>
      <c r="AQ172" s="130"/>
      <c r="AR172" s="130"/>
      <c r="AS172" s="130"/>
      <c r="AT172" s="130"/>
    </row>
    <row r="173" spans="1:46" s="116" customFormat="1" ht="24" customHeight="1">
      <c r="A173" s="130"/>
      <c r="B173" s="130"/>
      <c r="AC173" s="130"/>
      <c r="AD173" s="130"/>
      <c r="AE173" s="130"/>
      <c r="AF173" s="130"/>
      <c r="AG173" s="130"/>
      <c r="AH173" s="130"/>
      <c r="AI173" s="130"/>
      <c r="AJ173" s="130"/>
      <c r="AK173" s="130"/>
      <c r="AL173" s="130"/>
      <c r="AM173" s="130"/>
      <c r="AN173" s="130"/>
      <c r="AO173" s="130"/>
      <c r="AP173" s="130"/>
      <c r="AQ173" s="130"/>
      <c r="AR173" s="130"/>
      <c r="AS173" s="130"/>
      <c r="AT173" s="130"/>
    </row>
    <row r="174" spans="1:46" s="116" customFormat="1" ht="24" customHeight="1">
      <c r="A174" s="130"/>
      <c r="B174" s="130"/>
      <c r="AC174" s="130"/>
      <c r="AD174" s="130"/>
      <c r="AE174" s="130"/>
      <c r="AF174" s="130"/>
      <c r="AG174" s="130"/>
      <c r="AH174" s="130"/>
      <c r="AI174" s="130"/>
      <c r="AJ174" s="130"/>
      <c r="AK174" s="130"/>
      <c r="AL174" s="130"/>
      <c r="AM174" s="130"/>
      <c r="AN174" s="130"/>
      <c r="AO174" s="130"/>
      <c r="AP174" s="130"/>
      <c r="AQ174" s="130"/>
      <c r="AR174" s="130"/>
      <c r="AS174" s="130"/>
      <c r="AT174" s="130"/>
    </row>
    <row r="175" spans="1:46" s="116" customFormat="1" ht="24" customHeight="1">
      <c r="A175" s="130"/>
      <c r="B175" s="130"/>
      <c r="AC175" s="130"/>
      <c r="AD175" s="130"/>
      <c r="AE175" s="130"/>
      <c r="AF175" s="130"/>
      <c r="AG175" s="130"/>
      <c r="AH175" s="130"/>
      <c r="AI175" s="130"/>
      <c r="AJ175" s="130"/>
      <c r="AK175" s="130"/>
      <c r="AL175" s="130"/>
      <c r="AM175" s="130"/>
      <c r="AN175" s="130"/>
      <c r="AO175" s="130"/>
      <c r="AP175" s="130"/>
      <c r="AQ175" s="130"/>
      <c r="AR175" s="130"/>
      <c r="AS175" s="130"/>
      <c r="AT175" s="130"/>
    </row>
    <row r="176" spans="1:46" s="116" customFormat="1" ht="24" customHeight="1">
      <c r="A176" s="130"/>
      <c r="B176" s="130"/>
      <c r="AC176" s="130"/>
      <c r="AD176" s="130"/>
      <c r="AE176" s="130"/>
      <c r="AF176" s="130"/>
      <c r="AG176" s="130"/>
      <c r="AH176" s="130"/>
      <c r="AI176" s="130"/>
      <c r="AJ176" s="130"/>
      <c r="AK176" s="130"/>
      <c r="AL176" s="130"/>
      <c r="AM176" s="130"/>
      <c r="AN176" s="130"/>
      <c r="AO176" s="130"/>
      <c r="AP176" s="130"/>
      <c r="AQ176" s="130"/>
      <c r="AR176" s="130"/>
      <c r="AS176" s="130"/>
      <c r="AT176" s="130"/>
    </row>
    <row r="177" spans="1:46" s="116" customFormat="1" ht="24" customHeight="1">
      <c r="A177" s="130"/>
      <c r="B177" s="130"/>
      <c r="AC177" s="130"/>
      <c r="AD177" s="130"/>
      <c r="AE177" s="130"/>
      <c r="AF177" s="130"/>
      <c r="AG177" s="130"/>
      <c r="AH177" s="130"/>
      <c r="AI177" s="130"/>
      <c r="AJ177" s="130"/>
      <c r="AK177" s="130"/>
      <c r="AL177" s="130"/>
      <c r="AM177" s="130"/>
      <c r="AN177" s="130"/>
      <c r="AO177" s="130"/>
      <c r="AP177" s="130"/>
      <c r="AQ177" s="130"/>
      <c r="AR177" s="130"/>
      <c r="AS177" s="130"/>
      <c r="AT177" s="130"/>
    </row>
    <row r="178" spans="1:46" s="116" customFormat="1" ht="24" customHeight="1">
      <c r="A178" s="130"/>
      <c r="B178" s="130"/>
      <c r="AC178" s="130"/>
      <c r="AD178" s="130"/>
      <c r="AE178" s="130"/>
      <c r="AF178" s="130"/>
      <c r="AG178" s="130"/>
      <c r="AH178" s="130"/>
      <c r="AI178" s="130"/>
      <c r="AJ178" s="130"/>
      <c r="AK178" s="130"/>
      <c r="AL178" s="130"/>
      <c r="AM178" s="130"/>
      <c r="AN178" s="130"/>
      <c r="AO178" s="130"/>
      <c r="AP178" s="130"/>
      <c r="AQ178" s="130"/>
      <c r="AR178" s="130"/>
      <c r="AS178" s="130"/>
      <c r="AT178" s="130"/>
    </row>
    <row r="179" spans="1:46" s="116" customFormat="1" ht="24" customHeight="1">
      <c r="A179" s="130"/>
      <c r="B179" s="130"/>
      <c r="AC179" s="130"/>
      <c r="AD179" s="130"/>
      <c r="AE179" s="130"/>
      <c r="AF179" s="130"/>
      <c r="AG179" s="130"/>
      <c r="AH179" s="130"/>
      <c r="AI179" s="130"/>
      <c r="AJ179" s="130"/>
      <c r="AK179" s="130"/>
      <c r="AL179" s="130"/>
      <c r="AM179" s="130"/>
      <c r="AN179" s="130"/>
      <c r="AO179" s="130"/>
      <c r="AP179" s="130"/>
      <c r="AQ179" s="130"/>
      <c r="AR179" s="130"/>
      <c r="AS179" s="130"/>
      <c r="AT179" s="130"/>
    </row>
    <row r="180" spans="1:46" s="116" customFormat="1" ht="24" customHeight="1">
      <c r="A180" s="130"/>
      <c r="B180" s="130"/>
      <c r="AC180" s="130"/>
      <c r="AD180" s="130"/>
      <c r="AE180" s="130"/>
      <c r="AF180" s="130"/>
      <c r="AG180" s="130"/>
      <c r="AH180" s="130"/>
      <c r="AI180" s="130"/>
      <c r="AJ180" s="130"/>
      <c r="AK180" s="130"/>
      <c r="AL180" s="130"/>
      <c r="AM180" s="130"/>
      <c r="AN180" s="130"/>
      <c r="AO180" s="130"/>
      <c r="AP180" s="130"/>
      <c r="AQ180" s="130"/>
      <c r="AR180" s="130"/>
      <c r="AS180" s="130"/>
      <c r="AT180" s="130"/>
    </row>
    <row r="181" spans="1:46" s="116" customFormat="1" ht="24" customHeight="1">
      <c r="A181" s="130"/>
      <c r="B181" s="130"/>
      <c r="AC181" s="130"/>
      <c r="AD181" s="130"/>
      <c r="AE181" s="130"/>
      <c r="AF181" s="130"/>
      <c r="AG181" s="130"/>
      <c r="AH181" s="130"/>
      <c r="AI181" s="130"/>
      <c r="AJ181" s="130"/>
      <c r="AK181" s="130"/>
      <c r="AL181" s="130"/>
      <c r="AM181" s="130"/>
      <c r="AN181" s="130"/>
      <c r="AO181" s="130"/>
      <c r="AP181" s="130"/>
      <c r="AQ181" s="130"/>
      <c r="AR181" s="130"/>
      <c r="AS181" s="130"/>
      <c r="AT181" s="130"/>
    </row>
    <row r="182" spans="1:46" s="116" customFormat="1" ht="24" customHeight="1">
      <c r="A182" s="130"/>
      <c r="B182" s="130"/>
      <c r="AC182" s="130"/>
      <c r="AD182" s="130"/>
      <c r="AE182" s="130"/>
      <c r="AF182" s="130"/>
      <c r="AG182" s="130"/>
      <c r="AH182" s="130"/>
      <c r="AI182" s="130"/>
      <c r="AJ182" s="130"/>
      <c r="AK182" s="130"/>
      <c r="AL182" s="130"/>
      <c r="AM182" s="130"/>
      <c r="AN182" s="130"/>
      <c r="AO182" s="130"/>
      <c r="AP182" s="130"/>
      <c r="AQ182" s="130"/>
      <c r="AR182" s="130"/>
      <c r="AS182" s="130"/>
      <c r="AT182" s="130"/>
    </row>
    <row r="183" spans="1:46" s="116" customFormat="1" ht="24" customHeight="1">
      <c r="A183" s="130"/>
      <c r="B183" s="130"/>
      <c r="AC183" s="130"/>
      <c r="AD183" s="130"/>
      <c r="AE183" s="130"/>
      <c r="AF183" s="130"/>
      <c r="AG183" s="130"/>
      <c r="AH183" s="130"/>
      <c r="AI183" s="130"/>
      <c r="AJ183" s="130"/>
      <c r="AK183" s="130"/>
      <c r="AL183" s="130"/>
      <c r="AM183" s="130"/>
      <c r="AN183" s="130"/>
      <c r="AO183" s="130"/>
      <c r="AP183" s="130"/>
      <c r="AQ183" s="130"/>
      <c r="AR183" s="130"/>
      <c r="AS183" s="130"/>
      <c r="AT183" s="130"/>
    </row>
    <row r="184" spans="1:46" s="116" customFormat="1" ht="24" customHeight="1">
      <c r="A184" s="130"/>
      <c r="B184" s="130"/>
      <c r="AC184" s="130"/>
      <c r="AD184" s="130"/>
      <c r="AE184" s="130"/>
      <c r="AF184" s="130"/>
      <c r="AG184" s="130"/>
      <c r="AH184" s="130"/>
      <c r="AI184" s="130"/>
      <c r="AJ184" s="130"/>
      <c r="AK184" s="130"/>
      <c r="AL184" s="130"/>
      <c r="AM184" s="130"/>
      <c r="AN184" s="130"/>
      <c r="AO184" s="130"/>
      <c r="AP184" s="130"/>
      <c r="AQ184" s="130"/>
      <c r="AR184" s="130"/>
      <c r="AS184" s="130"/>
      <c r="AT184" s="130"/>
    </row>
    <row r="185" spans="1:46" s="116" customFormat="1" ht="24" customHeight="1">
      <c r="A185" s="130"/>
      <c r="B185" s="130"/>
      <c r="AC185" s="130"/>
      <c r="AD185" s="130"/>
      <c r="AE185" s="130"/>
      <c r="AF185" s="130"/>
      <c r="AG185" s="130"/>
      <c r="AH185" s="130"/>
      <c r="AI185" s="130"/>
      <c r="AJ185" s="130"/>
      <c r="AK185" s="130"/>
      <c r="AL185" s="130"/>
      <c r="AM185" s="130"/>
      <c r="AN185" s="130"/>
      <c r="AO185" s="130"/>
      <c r="AP185" s="130"/>
      <c r="AQ185" s="130"/>
      <c r="AR185" s="130"/>
      <c r="AS185" s="130"/>
      <c r="AT185" s="130"/>
    </row>
    <row r="186" spans="1:46" s="116" customFormat="1" ht="24" customHeight="1">
      <c r="A186" s="130"/>
      <c r="B186" s="130"/>
      <c r="AC186" s="130"/>
      <c r="AD186" s="130"/>
      <c r="AE186" s="130"/>
      <c r="AF186" s="130"/>
      <c r="AG186" s="130"/>
      <c r="AH186" s="130"/>
      <c r="AI186" s="130"/>
      <c r="AJ186" s="130"/>
      <c r="AK186" s="130"/>
      <c r="AL186" s="130"/>
      <c r="AM186" s="130"/>
      <c r="AN186" s="130"/>
      <c r="AO186" s="130"/>
      <c r="AP186" s="130"/>
      <c r="AQ186" s="130"/>
      <c r="AR186" s="130"/>
      <c r="AS186" s="130"/>
      <c r="AT186" s="130"/>
    </row>
    <row r="187" spans="1:46" s="116" customFormat="1" ht="24" customHeight="1">
      <c r="A187" s="130"/>
      <c r="B187" s="130"/>
      <c r="AC187" s="130"/>
      <c r="AD187" s="130"/>
      <c r="AE187" s="130"/>
      <c r="AF187" s="130"/>
      <c r="AG187" s="130"/>
      <c r="AH187" s="130"/>
      <c r="AI187" s="130"/>
      <c r="AJ187" s="130"/>
      <c r="AK187" s="130"/>
      <c r="AL187" s="130"/>
      <c r="AM187" s="130"/>
      <c r="AN187" s="130"/>
      <c r="AO187" s="130"/>
      <c r="AP187" s="130"/>
      <c r="AQ187" s="130"/>
      <c r="AR187" s="130"/>
      <c r="AS187" s="130"/>
      <c r="AT187" s="130"/>
    </row>
    <row r="188" spans="1:46" s="116" customFormat="1" ht="24" customHeight="1">
      <c r="A188" s="130"/>
      <c r="B188" s="130"/>
      <c r="AC188" s="130"/>
      <c r="AD188" s="130"/>
      <c r="AE188" s="130"/>
      <c r="AF188" s="130"/>
      <c r="AG188" s="130"/>
      <c r="AH188" s="130"/>
      <c r="AI188" s="130"/>
      <c r="AJ188" s="130"/>
      <c r="AK188" s="130"/>
      <c r="AL188" s="130"/>
      <c r="AM188" s="130"/>
      <c r="AN188" s="130"/>
      <c r="AO188" s="130"/>
      <c r="AP188" s="130"/>
      <c r="AQ188" s="130"/>
      <c r="AR188" s="130"/>
      <c r="AS188" s="130"/>
      <c r="AT188" s="130"/>
    </row>
    <row r="189" spans="1:46" s="116" customFormat="1" ht="24" customHeight="1">
      <c r="A189" s="130"/>
      <c r="B189" s="130"/>
      <c r="AC189" s="130"/>
      <c r="AD189" s="130"/>
      <c r="AE189" s="130"/>
      <c r="AF189" s="130"/>
      <c r="AG189" s="130"/>
      <c r="AH189" s="130"/>
      <c r="AI189" s="130"/>
      <c r="AJ189" s="130"/>
      <c r="AK189" s="130"/>
      <c r="AL189" s="130"/>
      <c r="AM189" s="130"/>
      <c r="AN189" s="130"/>
      <c r="AO189" s="130"/>
      <c r="AP189" s="130"/>
      <c r="AQ189" s="130"/>
      <c r="AR189" s="130"/>
      <c r="AS189" s="130"/>
      <c r="AT189" s="130"/>
    </row>
    <row r="190" spans="1:46" s="116" customFormat="1" ht="24" customHeight="1">
      <c r="A190" s="130"/>
      <c r="B190" s="130"/>
      <c r="AC190" s="130"/>
      <c r="AD190" s="130"/>
      <c r="AE190" s="130"/>
      <c r="AF190" s="130"/>
      <c r="AG190" s="130"/>
      <c r="AH190" s="130"/>
      <c r="AI190" s="130"/>
      <c r="AJ190" s="130"/>
      <c r="AK190" s="130"/>
      <c r="AL190" s="130"/>
      <c r="AM190" s="130"/>
      <c r="AN190" s="130"/>
      <c r="AO190" s="130"/>
      <c r="AP190" s="130"/>
      <c r="AQ190" s="130"/>
      <c r="AR190" s="130"/>
      <c r="AS190" s="130"/>
      <c r="AT190" s="130"/>
    </row>
    <row r="191" spans="1:46" s="116" customFormat="1" ht="24" customHeight="1">
      <c r="A191" s="130"/>
      <c r="B191" s="130"/>
      <c r="AC191" s="130"/>
      <c r="AD191" s="130"/>
      <c r="AE191" s="130"/>
      <c r="AF191" s="130"/>
      <c r="AG191" s="130"/>
      <c r="AH191" s="130"/>
      <c r="AI191" s="130"/>
      <c r="AJ191" s="130"/>
      <c r="AK191" s="130"/>
      <c r="AL191" s="130"/>
      <c r="AM191" s="130"/>
      <c r="AN191" s="130"/>
      <c r="AO191" s="130"/>
      <c r="AP191" s="130"/>
      <c r="AQ191" s="130"/>
      <c r="AR191" s="130"/>
      <c r="AS191" s="130"/>
      <c r="AT191" s="130"/>
    </row>
    <row r="192" spans="1:46" s="116" customFormat="1" ht="24" customHeight="1">
      <c r="A192" s="130"/>
      <c r="B192" s="130"/>
      <c r="AC192" s="130"/>
      <c r="AD192" s="130"/>
      <c r="AE192" s="130"/>
      <c r="AF192" s="130"/>
      <c r="AG192" s="130"/>
      <c r="AH192" s="130"/>
      <c r="AI192" s="130"/>
      <c r="AJ192" s="130"/>
      <c r="AK192" s="130"/>
      <c r="AL192" s="130"/>
      <c r="AM192" s="130"/>
      <c r="AN192" s="130"/>
      <c r="AO192" s="130"/>
      <c r="AP192" s="130"/>
      <c r="AQ192" s="130"/>
      <c r="AR192" s="130"/>
      <c r="AS192" s="130"/>
      <c r="AT192" s="130"/>
    </row>
    <row r="193" spans="1:46" s="116" customFormat="1" ht="24" customHeight="1">
      <c r="A193" s="130"/>
      <c r="B193" s="130"/>
      <c r="AC193" s="130"/>
      <c r="AD193" s="130"/>
      <c r="AE193" s="130"/>
      <c r="AF193" s="130"/>
      <c r="AG193" s="130"/>
      <c r="AH193" s="130"/>
      <c r="AI193" s="130"/>
      <c r="AJ193" s="130"/>
      <c r="AK193" s="130"/>
      <c r="AL193" s="130"/>
      <c r="AM193" s="130"/>
      <c r="AN193" s="130"/>
      <c r="AO193" s="130"/>
      <c r="AP193" s="130"/>
      <c r="AQ193" s="130"/>
      <c r="AR193" s="130"/>
      <c r="AS193" s="130"/>
      <c r="AT193" s="130"/>
    </row>
    <row r="194" spans="1:46" s="116" customFormat="1" ht="24" customHeight="1">
      <c r="A194" s="130"/>
      <c r="B194" s="130"/>
      <c r="AC194" s="130"/>
      <c r="AD194" s="130"/>
      <c r="AE194" s="130"/>
      <c r="AF194" s="130"/>
      <c r="AG194" s="130"/>
      <c r="AH194" s="130"/>
      <c r="AI194" s="130"/>
      <c r="AJ194" s="130"/>
      <c r="AK194" s="130"/>
      <c r="AL194" s="130"/>
      <c r="AM194" s="130"/>
      <c r="AN194" s="130"/>
      <c r="AO194" s="130"/>
      <c r="AP194" s="130"/>
      <c r="AQ194" s="130"/>
      <c r="AR194" s="130"/>
      <c r="AS194" s="130"/>
      <c r="AT194" s="130"/>
    </row>
    <row r="195" spans="1:46" s="116" customFormat="1" ht="24" customHeight="1">
      <c r="A195" s="130"/>
      <c r="B195" s="130"/>
      <c r="AC195" s="130"/>
      <c r="AD195" s="130"/>
      <c r="AE195" s="130"/>
      <c r="AF195" s="130"/>
      <c r="AG195" s="130"/>
      <c r="AH195" s="130"/>
      <c r="AI195" s="130"/>
      <c r="AJ195" s="130"/>
      <c r="AK195" s="130"/>
      <c r="AL195" s="130"/>
      <c r="AM195" s="130"/>
      <c r="AN195" s="130"/>
      <c r="AO195" s="130"/>
      <c r="AP195" s="130"/>
      <c r="AQ195" s="130"/>
      <c r="AR195" s="130"/>
      <c r="AS195" s="130"/>
      <c r="AT195" s="130"/>
    </row>
    <row r="196" spans="1:46" s="116" customFormat="1" ht="24" customHeight="1">
      <c r="A196" s="130"/>
      <c r="B196" s="130"/>
      <c r="AC196" s="130"/>
      <c r="AD196" s="130"/>
      <c r="AE196" s="130"/>
      <c r="AF196" s="130"/>
      <c r="AG196" s="130"/>
      <c r="AH196" s="130"/>
      <c r="AI196" s="130"/>
      <c r="AJ196" s="130"/>
      <c r="AK196" s="130"/>
      <c r="AL196" s="130"/>
      <c r="AM196" s="130"/>
      <c r="AN196" s="130"/>
      <c r="AO196" s="130"/>
      <c r="AP196" s="130"/>
      <c r="AQ196" s="130"/>
      <c r="AR196" s="130"/>
      <c r="AS196" s="130"/>
      <c r="AT196" s="130"/>
    </row>
    <row r="197" spans="1:46" s="116" customFormat="1" ht="24" customHeight="1">
      <c r="A197" s="130"/>
      <c r="B197" s="130"/>
      <c r="AC197" s="130"/>
      <c r="AD197" s="130"/>
      <c r="AE197" s="130"/>
      <c r="AF197" s="130"/>
      <c r="AG197" s="130"/>
      <c r="AH197" s="130"/>
      <c r="AI197" s="130"/>
      <c r="AJ197" s="130"/>
      <c r="AK197" s="130"/>
      <c r="AL197" s="130"/>
      <c r="AM197" s="130"/>
      <c r="AN197" s="130"/>
      <c r="AO197" s="130"/>
      <c r="AP197" s="130"/>
      <c r="AQ197" s="130"/>
      <c r="AR197" s="130"/>
      <c r="AS197" s="130"/>
      <c r="AT197" s="130"/>
    </row>
    <row r="198" spans="1:46" s="116" customFormat="1" ht="24" customHeight="1">
      <c r="A198" s="130"/>
      <c r="B198" s="130"/>
      <c r="AC198" s="130"/>
      <c r="AD198" s="130"/>
      <c r="AE198" s="130"/>
      <c r="AF198" s="130"/>
      <c r="AG198" s="130"/>
      <c r="AH198" s="130"/>
      <c r="AI198" s="130"/>
      <c r="AJ198" s="130"/>
      <c r="AK198" s="130"/>
      <c r="AL198" s="130"/>
      <c r="AM198" s="130"/>
      <c r="AN198" s="130"/>
      <c r="AO198" s="130"/>
      <c r="AP198" s="130"/>
      <c r="AQ198" s="130"/>
      <c r="AR198" s="130"/>
      <c r="AS198" s="130"/>
      <c r="AT198" s="130"/>
    </row>
    <row r="199" spans="1:46" s="116" customFormat="1" ht="24" customHeight="1">
      <c r="A199" s="130"/>
      <c r="B199" s="130"/>
      <c r="AC199" s="130"/>
      <c r="AD199" s="130"/>
      <c r="AE199" s="130"/>
      <c r="AF199" s="130"/>
      <c r="AG199" s="130"/>
      <c r="AH199" s="130"/>
      <c r="AI199" s="130"/>
      <c r="AJ199" s="130"/>
      <c r="AK199" s="130"/>
      <c r="AL199" s="130"/>
      <c r="AM199" s="130"/>
      <c r="AN199" s="130"/>
      <c r="AO199" s="130"/>
      <c r="AP199" s="130"/>
      <c r="AQ199" s="130"/>
      <c r="AR199" s="130"/>
      <c r="AS199" s="130"/>
      <c r="AT199" s="130"/>
    </row>
    <row r="200" spans="1:46" s="116" customFormat="1" ht="24" customHeight="1">
      <c r="A200" s="130"/>
      <c r="B200" s="130"/>
      <c r="AC200" s="130"/>
      <c r="AD200" s="130"/>
      <c r="AE200" s="130"/>
      <c r="AF200" s="130"/>
      <c r="AG200" s="130"/>
      <c r="AH200" s="130"/>
      <c r="AI200" s="130"/>
      <c r="AJ200" s="130"/>
      <c r="AK200" s="130"/>
      <c r="AL200" s="130"/>
      <c r="AM200" s="130"/>
      <c r="AN200" s="130"/>
      <c r="AO200" s="130"/>
      <c r="AP200" s="130"/>
      <c r="AQ200" s="130"/>
      <c r="AR200" s="130"/>
      <c r="AS200" s="130"/>
      <c r="AT200" s="130"/>
    </row>
    <row r="201" spans="1:46" s="116" customFormat="1" ht="24" customHeight="1">
      <c r="A201" s="130"/>
      <c r="B201" s="130"/>
      <c r="AC201" s="130"/>
      <c r="AD201" s="130"/>
      <c r="AE201" s="130"/>
      <c r="AF201" s="130"/>
      <c r="AG201" s="130"/>
      <c r="AH201" s="130"/>
      <c r="AI201" s="130"/>
      <c r="AJ201" s="130"/>
      <c r="AK201" s="130"/>
      <c r="AL201" s="130"/>
      <c r="AM201" s="130"/>
      <c r="AN201" s="130"/>
      <c r="AO201" s="130"/>
      <c r="AP201" s="130"/>
      <c r="AQ201" s="130"/>
      <c r="AR201" s="130"/>
      <c r="AS201" s="130"/>
      <c r="AT201" s="130"/>
    </row>
    <row r="202" spans="1:46" s="116" customFormat="1" ht="24" customHeight="1">
      <c r="A202" s="130"/>
      <c r="B202" s="130"/>
      <c r="AC202" s="130"/>
      <c r="AD202" s="130"/>
      <c r="AE202" s="130"/>
      <c r="AF202" s="130"/>
      <c r="AG202" s="130"/>
      <c r="AH202" s="130"/>
      <c r="AI202" s="130"/>
      <c r="AJ202" s="130"/>
      <c r="AK202" s="130"/>
      <c r="AL202" s="130"/>
      <c r="AM202" s="130"/>
      <c r="AN202" s="130"/>
      <c r="AO202" s="130"/>
      <c r="AP202" s="130"/>
      <c r="AQ202" s="130"/>
      <c r="AR202" s="130"/>
      <c r="AS202" s="130"/>
      <c r="AT202" s="130"/>
    </row>
    <row r="203" spans="1:46" s="116" customFormat="1" ht="24" customHeight="1">
      <c r="A203" s="130"/>
      <c r="B203" s="130"/>
      <c r="AC203" s="130"/>
      <c r="AD203" s="130"/>
      <c r="AE203" s="130"/>
      <c r="AF203" s="130"/>
      <c r="AG203" s="130"/>
      <c r="AH203" s="130"/>
      <c r="AI203" s="130"/>
      <c r="AJ203" s="130"/>
      <c r="AK203" s="130"/>
      <c r="AL203" s="130"/>
      <c r="AM203" s="130"/>
      <c r="AN203" s="130"/>
      <c r="AO203" s="130"/>
      <c r="AP203" s="130"/>
      <c r="AQ203" s="130"/>
      <c r="AR203" s="130"/>
      <c r="AS203" s="130"/>
      <c r="AT203" s="130"/>
    </row>
    <row r="204" spans="1:46" s="116" customFormat="1" ht="24" customHeight="1">
      <c r="A204" s="130"/>
      <c r="B204" s="130"/>
      <c r="AC204" s="130"/>
      <c r="AD204" s="130"/>
      <c r="AE204" s="130"/>
      <c r="AF204" s="130"/>
      <c r="AG204" s="130"/>
      <c r="AH204" s="130"/>
      <c r="AI204" s="130"/>
      <c r="AJ204" s="130"/>
      <c r="AK204" s="130"/>
      <c r="AL204" s="130"/>
      <c r="AM204" s="130"/>
      <c r="AN204" s="130"/>
      <c r="AO204" s="130"/>
      <c r="AP204" s="130"/>
      <c r="AQ204" s="130"/>
      <c r="AR204" s="130"/>
      <c r="AS204" s="130"/>
      <c r="AT204" s="130"/>
    </row>
  </sheetData>
  <mergeCells count="59">
    <mergeCell ref="Y25:AB26"/>
    <mergeCell ref="E11:F11"/>
    <mergeCell ref="Y6:Z6"/>
    <mergeCell ref="U18:AB18"/>
    <mergeCell ref="U23:X24"/>
    <mergeCell ref="G7:H8"/>
    <mergeCell ref="I7:J8"/>
    <mergeCell ref="E20:F21"/>
    <mergeCell ref="W11:X11"/>
    <mergeCell ref="I19:J19"/>
    <mergeCell ref="U7:V8"/>
    <mergeCell ref="AA11:AB11"/>
    <mergeCell ref="W7:X8"/>
    <mergeCell ref="U10:AB10"/>
    <mergeCell ref="Y23:AB24"/>
    <mergeCell ref="C18:J18"/>
    <mergeCell ref="U28:AB31"/>
    <mergeCell ref="Y12:Z13"/>
    <mergeCell ref="I20:J21"/>
    <mergeCell ref="C7:D8"/>
    <mergeCell ref="AA12:AB13"/>
    <mergeCell ref="E7:F8"/>
    <mergeCell ref="E19:F19"/>
    <mergeCell ref="C10:J10"/>
    <mergeCell ref="G19:H19"/>
    <mergeCell ref="U11:V11"/>
    <mergeCell ref="Y11:Z11"/>
    <mergeCell ref="U25:X26"/>
    <mergeCell ref="C22:J22"/>
    <mergeCell ref="L18:S18"/>
    <mergeCell ref="U19:AB20"/>
    <mergeCell ref="E12:F13"/>
    <mergeCell ref="Y21:AB22"/>
    <mergeCell ref="C14:J14"/>
    <mergeCell ref="G20:H21"/>
    <mergeCell ref="W6:X6"/>
    <mergeCell ref="C5:J5"/>
    <mergeCell ref="AA6:AB6"/>
    <mergeCell ref="G6:H6"/>
    <mergeCell ref="L5:S5"/>
    <mergeCell ref="E6:F6"/>
    <mergeCell ref="G12:H13"/>
    <mergeCell ref="U21:X22"/>
    <mergeCell ref="C11:D11"/>
    <mergeCell ref="C20:D21"/>
    <mergeCell ref="C19:D19"/>
    <mergeCell ref="U5:AB5"/>
    <mergeCell ref="AA7:AB8"/>
    <mergeCell ref="U12:V13"/>
    <mergeCell ref="C3:AB3"/>
    <mergeCell ref="G11:H11"/>
    <mergeCell ref="W12:X13"/>
    <mergeCell ref="U6:V6"/>
    <mergeCell ref="I11:J11"/>
    <mergeCell ref="C6:D6"/>
    <mergeCell ref="C12:D13"/>
    <mergeCell ref="Y7:Z8"/>
    <mergeCell ref="I6:J6"/>
    <mergeCell ref="I12:J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M4:W7"/>
  <sheetViews>
    <sheetView workbookViewId="0"/>
  </sheetViews>
  <sheetFormatPr baseColWidth="10" defaultColWidth="10.796875" defaultRowHeight="15.6"/>
  <cols>
    <col min="1" max="4" width="10.796875" style="98" customWidth="1"/>
    <col min="5" max="16384" width="10.796875" style="98"/>
  </cols>
  <sheetData>
    <row r="4" spans="13:23">
      <c r="M4" s="99" t="s">
        <v>57</v>
      </c>
      <c r="N4" s="100"/>
      <c r="O4" s="100"/>
      <c r="P4" s="100"/>
      <c r="Q4" s="100"/>
      <c r="R4" s="100"/>
      <c r="S4" s="100"/>
      <c r="T4" s="100"/>
      <c r="U4" s="100"/>
      <c r="V4" s="100"/>
      <c r="W4" s="100"/>
    </row>
    <row r="5" spans="13:23">
      <c r="M5" s="236" t="s">
        <v>58</v>
      </c>
      <c r="N5" s="237"/>
      <c r="O5" s="237"/>
      <c r="P5" s="237"/>
      <c r="Q5" s="237"/>
      <c r="R5" s="237"/>
      <c r="S5" s="237"/>
      <c r="T5" s="237"/>
      <c r="U5" s="237"/>
      <c r="V5" s="237"/>
      <c r="W5" s="237"/>
    </row>
    <row r="6" spans="13:23">
      <c r="M6" s="237"/>
      <c r="N6" s="237"/>
      <c r="O6" s="237"/>
      <c r="P6" s="237"/>
      <c r="Q6" s="237"/>
      <c r="R6" s="237"/>
      <c r="S6" s="237"/>
      <c r="T6" s="237"/>
      <c r="U6" s="237"/>
      <c r="V6" s="237"/>
      <c r="W6" s="237"/>
    </row>
    <row r="7" spans="13:23">
      <c r="M7" s="237"/>
      <c r="N7" s="237"/>
      <c r="O7" s="237"/>
      <c r="P7" s="237"/>
      <c r="Q7" s="237"/>
      <c r="R7" s="237"/>
      <c r="S7" s="237"/>
      <c r="T7" s="237"/>
      <c r="U7" s="237"/>
      <c r="V7" s="237"/>
      <c r="W7" s="237"/>
    </row>
  </sheetData>
  <mergeCells count="1">
    <mergeCell ref="M5:W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5117038483843"/>
  </sheetPr>
  <dimension ref="A1:EB269"/>
  <sheetViews>
    <sheetView workbookViewId="0"/>
  </sheetViews>
  <sheetFormatPr baseColWidth="10" defaultColWidth="10.796875" defaultRowHeight="15.6"/>
  <cols>
    <col min="1" max="1" width="7.19921875" style="1" customWidth="1"/>
    <col min="2" max="2" width="19.296875" style="1" customWidth="1"/>
    <col min="3" max="20" width="14.5" style="1" customWidth="1"/>
    <col min="21" max="24" width="10.796875" style="1" customWidth="1"/>
    <col min="25" max="16384" width="10.796875" style="1"/>
  </cols>
  <sheetData>
    <row r="1" spans="2:20" s="3" customFormat="1" ht="22.95" customHeight="1"/>
    <row r="2" spans="2:20" s="3" customFormat="1" ht="22.95" customHeight="1"/>
    <row r="3" spans="2:20" s="3" customFormat="1" ht="22.95" customHeight="1">
      <c r="B3" s="5" t="s">
        <v>59</v>
      </c>
      <c r="C3" s="4"/>
      <c r="D3" s="4"/>
      <c r="E3" s="4"/>
      <c r="F3" s="4"/>
      <c r="G3" s="4"/>
      <c r="H3" s="4"/>
      <c r="I3" s="4"/>
      <c r="J3" s="4"/>
      <c r="K3" s="4"/>
      <c r="L3" s="4"/>
      <c r="M3" s="4"/>
      <c r="N3" s="4"/>
      <c r="O3" s="4"/>
      <c r="P3" s="4"/>
      <c r="Q3" s="4"/>
      <c r="R3" s="4"/>
      <c r="S3" s="4"/>
      <c r="T3" s="4"/>
    </row>
    <row r="4" spans="2:20" s="3" customFormat="1" ht="22.95" customHeight="1"/>
    <row r="5" spans="2:20" s="3" customFormat="1" ht="22.95" customHeight="1">
      <c r="B5" s="8" t="s">
        <v>60</v>
      </c>
      <c r="C5" s="110" t="s">
        <v>61</v>
      </c>
      <c r="D5" s="110" t="s">
        <v>62</v>
      </c>
      <c r="E5" s="110" t="s">
        <v>63</v>
      </c>
      <c r="F5" s="103"/>
      <c r="G5" s="111" t="s">
        <v>64</v>
      </c>
      <c r="H5" s="110"/>
      <c r="I5" s="110"/>
      <c r="O5" s="103"/>
    </row>
    <row r="6" spans="2:20" s="3" customFormat="1" ht="22.95" customHeight="1">
      <c r="B6" s="104">
        <v>1</v>
      </c>
      <c r="D6" s="9">
        <f>'Single Project Assumptions'!D6</f>
        <v>46387</v>
      </c>
      <c r="E6" s="11" t="s">
        <v>65</v>
      </c>
      <c r="G6" s="3" t="s">
        <v>66</v>
      </c>
      <c r="I6" s="15">
        <v>500000</v>
      </c>
    </row>
    <row r="7" spans="2:20" s="3" customFormat="1" ht="22.95" customHeight="1">
      <c r="B7" s="104">
        <f t="shared" ref="B7:B15" si="0">B6+1</f>
        <v>2</v>
      </c>
      <c r="C7" s="11">
        <v>3</v>
      </c>
      <c r="D7" s="9">
        <f t="shared" ref="D7:D15" si="1">EOMONTH(D6,C7)</f>
        <v>46477</v>
      </c>
      <c r="E7" s="11" t="s">
        <v>67</v>
      </c>
      <c r="G7" s="3" t="s">
        <v>68</v>
      </c>
      <c r="I7" s="16">
        <f>I6/12</f>
        <v>41666.666666666664</v>
      </c>
    </row>
    <row r="8" spans="2:20" s="3" customFormat="1" ht="22.95" customHeight="1">
      <c r="B8" s="104">
        <f t="shared" si="0"/>
        <v>3</v>
      </c>
      <c r="C8" s="10">
        <f t="shared" ref="C8:C15" si="2">C7</f>
        <v>3</v>
      </c>
      <c r="D8" s="9">
        <f t="shared" si="1"/>
        <v>46568</v>
      </c>
      <c r="E8" s="11" t="s">
        <v>65</v>
      </c>
    </row>
    <row r="9" spans="2:20" s="3" customFormat="1" ht="22.95" customHeight="1">
      <c r="B9" s="104">
        <f t="shared" si="0"/>
        <v>4</v>
      </c>
      <c r="C9" s="10">
        <f t="shared" si="2"/>
        <v>3</v>
      </c>
      <c r="D9" s="9">
        <f t="shared" si="1"/>
        <v>46660</v>
      </c>
      <c r="E9" s="11" t="s">
        <v>67</v>
      </c>
    </row>
    <row r="10" spans="2:20" s="3" customFormat="1" ht="22.95" customHeight="1">
      <c r="B10" s="104">
        <f t="shared" si="0"/>
        <v>5</v>
      </c>
      <c r="C10" s="10">
        <f t="shared" si="2"/>
        <v>3</v>
      </c>
      <c r="D10" s="9">
        <f t="shared" si="1"/>
        <v>46752</v>
      </c>
      <c r="E10" s="11" t="s">
        <v>65</v>
      </c>
    </row>
    <row r="11" spans="2:20" s="3" customFormat="1" ht="22.95" customHeight="1">
      <c r="B11" s="104">
        <f t="shared" si="0"/>
        <v>6</v>
      </c>
      <c r="C11" s="10">
        <f t="shared" si="2"/>
        <v>3</v>
      </c>
      <c r="D11" s="9">
        <f t="shared" si="1"/>
        <v>46843</v>
      </c>
      <c r="E11" s="11" t="s">
        <v>67</v>
      </c>
    </row>
    <row r="12" spans="2:20" s="3" customFormat="1" ht="22.95" customHeight="1">
      <c r="B12" s="104">
        <f t="shared" si="0"/>
        <v>7</v>
      </c>
      <c r="C12" s="10">
        <f t="shared" si="2"/>
        <v>3</v>
      </c>
      <c r="D12" s="9">
        <f t="shared" si="1"/>
        <v>46934</v>
      </c>
      <c r="E12" s="11" t="s">
        <v>65</v>
      </c>
    </row>
    <row r="13" spans="2:20" s="3" customFormat="1" ht="22.95" customHeight="1">
      <c r="B13" s="104">
        <f t="shared" si="0"/>
        <v>8</v>
      </c>
      <c r="C13" s="10">
        <f t="shared" si="2"/>
        <v>3</v>
      </c>
      <c r="D13" s="9">
        <f t="shared" si="1"/>
        <v>47026</v>
      </c>
      <c r="E13" s="11" t="s">
        <v>67</v>
      </c>
    </row>
    <row r="14" spans="2:20" s="3" customFormat="1" ht="22.95" customHeight="1">
      <c r="B14" s="104">
        <f t="shared" si="0"/>
        <v>9</v>
      </c>
      <c r="C14" s="10">
        <f t="shared" si="2"/>
        <v>3</v>
      </c>
      <c r="D14" s="9">
        <f t="shared" si="1"/>
        <v>47118</v>
      </c>
      <c r="E14" s="11" t="s">
        <v>65</v>
      </c>
    </row>
    <row r="15" spans="2:20" s="3" customFormat="1" ht="22.95" customHeight="1">
      <c r="B15" s="104">
        <f t="shared" si="0"/>
        <v>10</v>
      </c>
      <c r="C15" s="10">
        <f t="shared" si="2"/>
        <v>3</v>
      </c>
      <c r="D15" s="9">
        <f t="shared" si="1"/>
        <v>47208</v>
      </c>
      <c r="E15" s="11" t="s">
        <v>67</v>
      </c>
    </row>
    <row r="16" spans="2:20" s="3" customFormat="1" ht="22.95" customHeight="1">
      <c r="B16" s="104"/>
      <c r="C16" s="10"/>
      <c r="D16" s="9"/>
    </row>
    <row r="17" spans="2:132" s="3" customFormat="1" ht="22.95" customHeight="1">
      <c r="B17" s="104"/>
      <c r="C17" s="10"/>
      <c r="D17" s="9"/>
    </row>
    <row r="18" spans="2:132" s="3" customFormat="1" ht="22.95" customHeight="1"/>
    <row r="19" spans="2:132" s="3" customFormat="1" ht="22.95" customHeight="1">
      <c r="B19" s="5" t="s">
        <v>69</v>
      </c>
      <c r="C19" s="4"/>
      <c r="D19" s="4"/>
      <c r="E19" s="4"/>
      <c r="F19" s="4"/>
      <c r="G19" s="4"/>
      <c r="H19" s="4"/>
      <c r="I19" s="4"/>
      <c r="J19" s="4"/>
      <c r="K19" s="4"/>
      <c r="L19" s="4"/>
      <c r="M19" s="4"/>
      <c r="N19" s="4"/>
      <c r="O19" s="4"/>
      <c r="P19" s="4"/>
      <c r="Q19" s="4"/>
      <c r="R19" s="4"/>
      <c r="S19" s="4"/>
      <c r="T19" s="4"/>
    </row>
    <row r="20" spans="2:132" s="3" customFormat="1" ht="22.95" customHeight="1"/>
    <row r="21" spans="2:132" s="3" customFormat="1" ht="22.95" customHeight="1">
      <c r="B21" s="109" t="s">
        <v>70</v>
      </c>
    </row>
    <row r="22" spans="2:132" s="3" customFormat="1" ht="22.95" customHeight="1">
      <c r="B22" s="112" t="s">
        <v>71</v>
      </c>
      <c r="C22" s="113" t="s">
        <v>72</v>
      </c>
      <c r="D22" s="114">
        <f>D6</f>
        <v>46387</v>
      </c>
      <c r="E22" s="115">
        <f t="shared" ref="E22:AJ22" si="3">EOMONTH(D22,1)</f>
        <v>46418</v>
      </c>
      <c r="F22" s="115">
        <f t="shared" si="3"/>
        <v>46446</v>
      </c>
      <c r="G22" s="115">
        <f t="shared" si="3"/>
        <v>46477</v>
      </c>
      <c r="H22" s="115">
        <f t="shared" si="3"/>
        <v>46507</v>
      </c>
      <c r="I22" s="115">
        <f t="shared" si="3"/>
        <v>46538</v>
      </c>
      <c r="J22" s="115">
        <f t="shared" si="3"/>
        <v>46568</v>
      </c>
      <c r="K22" s="115">
        <f t="shared" si="3"/>
        <v>46599</v>
      </c>
      <c r="L22" s="115">
        <f t="shared" si="3"/>
        <v>46630</v>
      </c>
      <c r="M22" s="115">
        <f t="shared" si="3"/>
        <v>46660</v>
      </c>
      <c r="N22" s="115">
        <f t="shared" si="3"/>
        <v>46691</v>
      </c>
      <c r="O22" s="115">
        <f t="shared" si="3"/>
        <v>46721</v>
      </c>
      <c r="P22" s="115">
        <f t="shared" si="3"/>
        <v>46752</v>
      </c>
      <c r="Q22" s="115">
        <f t="shared" si="3"/>
        <v>46783</v>
      </c>
      <c r="R22" s="115">
        <f t="shared" si="3"/>
        <v>46812</v>
      </c>
      <c r="S22" s="115">
        <f t="shared" si="3"/>
        <v>46843</v>
      </c>
      <c r="T22" s="115">
        <f t="shared" si="3"/>
        <v>46873</v>
      </c>
      <c r="U22" s="115">
        <f t="shared" si="3"/>
        <v>46904</v>
      </c>
      <c r="V22" s="115">
        <f t="shared" si="3"/>
        <v>46934</v>
      </c>
      <c r="W22" s="115">
        <f t="shared" si="3"/>
        <v>46965</v>
      </c>
      <c r="X22" s="115">
        <f t="shared" si="3"/>
        <v>46996</v>
      </c>
      <c r="Y22" s="115">
        <f t="shared" si="3"/>
        <v>47026</v>
      </c>
      <c r="Z22" s="115">
        <f t="shared" si="3"/>
        <v>47057</v>
      </c>
      <c r="AA22" s="115">
        <f t="shared" si="3"/>
        <v>47087</v>
      </c>
      <c r="AB22" s="115">
        <f t="shared" si="3"/>
        <v>47118</v>
      </c>
      <c r="AC22" s="115">
        <f t="shared" si="3"/>
        <v>47149</v>
      </c>
      <c r="AD22" s="115">
        <f t="shared" si="3"/>
        <v>47177</v>
      </c>
      <c r="AE22" s="115">
        <f t="shared" si="3"/>
        <v>47208</v>
      </c>
      <c r="AF22" s="115">
        <f t="shared" si="3"/>
        <v>47238</v>
      </c>
      <c r="AG22" s="115">
        <f t="shared" si="3"/>
        <v>47269</v>
      </c>
      <c r="AH22" s="115">
        <f t="shared" si="3"/>
        <v>47299</v>
      </c>
      <c r="AI22" s="115">
        <f t="shared" si="3"/>
        <v>47330</v>
      </c>
      <c r="AJ22" s="115">
        <f t="shared" si="3"/>
        <v>47361</v>
      </c>
      <c r="AK22" s="115">
        <f t="shared" ref="AK22:BP22" si="4">EOMONTH(AJ22,1)</f>
        <v>47391</v>
      </c>
      <c r="AL22" s="115">
        <f t="shared" si="4"/>
        <v>47422</v>
      </c>
      <c r="AM22" s="115">
        <f t="shared" si="4"/>
        <v>47452</v>
      </c>
      <c r="AN22" s="115">
        <f t="shared" si="4"/>
        <v>47483</v>
      </c>
      <c r="AO22" s="115">
        <f t="shared" si="4"/>
        <v>47514</v>
      </c>
      <c r="AP22" s="115">
        <f t="shared" si="4"/>
        <v>47542</v>
      </c>
      <c r="AQ22" s="115">
        <f t="shared" si="4"/>
        <v>47573</v>
      </c>
      <c r="AR22" s="115">
        <f t="shared" si="4"/>
        <v>47603</v>
      </c>
      <c r="AS22" s="115">
        <f t="shared" si="4"/>
        <v>47634</v>
      </c>
      <c r="AT22" s="115">
        <f t="shared" si="4"/>
        <v>47664</v>
      </c>
      <c r="AU22" s="115">
        <f t="shared" si="4"/>
        <v>47695</v>
      </c>
      <c r="AV22" s="115">
        <f t="shared" si="4"/>
        <v>47726</v>
      </c>
      <c r="AW22" s="115">
        <f t="shared" si="4"/>
        <v>47756</v>
      </c>
      <c r="AX22" s="115">
        <f t="shared" si="4"/>
        <v>47787</v>
      </c>
      <c r="AY22" s="115">
        <f t="shared" si="4"/>
        <v>47817</v>
      </c>
      <c r="AZ22" s="115">
        <f t="shared" si="4"/>
        <v>47848</v>
      </c>
      <c r="BA22" s="115">
        <f t="shared" si="4"/>
        <v>47879</v>
      </c>
      <c r="BB22" s="115">
        <f t="shared" si="4"/>
        <v>47907</v>
      </c>
      <c r="BC22" s="115">
        <f t="shared" si="4"/>
        <v>47938</v>
      </c>
      <c r="BD22" s="115">
        <f t="shared" si="4"/>
        <v>47968</v>
      </c>
      <c r="BE22" s="115">
        <f t="shared" si="4"/>
        <v>47999</v>
      </c>
      <c r="BF22" s="115">
        <f t="shared" si="4"/>
        <v>48029</v>
      </c>
      <c r="BG22" s="115">
        <f t="shared" si="4"/>
        <v>48060</v>
      </c>
      <c r="BH22" s="115">
        <f t="shared" si="4"/>
        <v>48091</v>
      </c>
      <c r="BI22" s="115">
        <f t="shared" si="4"/>
        <v>48121</v>
      </c>
      <c r="BJ22" s="115">
        <f t="shared" si="4"/>
        <v>48152</v>
      </c>
      <c r="BK22" s="115">
        <f t="shared" si="4"/>
        <v>48182</v>
      </c>
      <c r="BL22" s="115">
        <f t="shared" si="4"/>
        <v>48213</v>
      </c>
      <c r="BM22" s="115">
        <f t="shared" si="4"/>
        <v>48244</v>
      </c>
      <c r="BN22" s="115">
        <f t="shared" si="4"/>
        <v>48273</v>
      </c>
      <c r="BO22" s="115">
        <f t="shared" si="4"/>
        <v>48304</v>
      </c>
      <c r="BP22" s="115">
        <f t="shared" si="4"/>
        <v>48334</v>
      </c>
      <c r="BQ22" s="115">
        <f t="shared" ref="BQ22:CV22" si="5">EOMONTH(BP22,1)</f>
        <v>48365</v>
      </c>
      <c r="BR22" s="115">
        <f t="shared" si="5"/>
        <v>48395</v>
      </c>
      <c r="BS22" s="115">
        <f t="shared" si="5"/>
        <v>48426</v>
      </c>
      <c r="BT22" s="115">
        <f t="shared" si="5"/>
        <v>48457</v>
      </c>
      <c r="BU22" s="115">
        <f t="shared" si="5"/>
        <v>48487</v>
      </c>
      <c r="BV22" s="115">
        <f t="shared" si="5"/>
        <v>48518</v>
      </c>
      <c r="BW22" s="115">
        <f t="shared" si="5"/>
        <v>48548</v>
      </c>
      <c r="BX22" s="115">
        <f t="shared" si="5"/>
        <v>48579</v>
      </c>
      <c r="BY22" s="115">
        <f t="shared" si="5"/>
        <v>48610</v>
      </c>
      <c r="BZ22" s="115">
        <f t="shared" si="5"/>
        <v>48638</v>
      </c>
      <c r="CA22" s="115">
        <f t="shared" si="5"/>
        <v>48669</v>
      </c>
      <c r="CB22" s="115">
        <f t="shared" si="5"/>
        <v>48699</v>
      </c>
      <c r="CC22" s="115">
        <f t="shared" si="5"/>
        <v>48730</v>
      </c>
      <c r="CD22" s="115">
        <f t="shared" si="5"/>
        <v>48760</v>
      </c>
      <c r="CE22" s="115">
        <f t="shared" si="5"/>
        <v>48791</v>
      </c>
      <c r="CF22" s="115">
        <f t="shared" si="5"/>
        <v>48822</v>
      </c>
      <c r="CG22" s="115">
        <f t="shared" si="5"/>
        <v>48852</v>
      </c>
      <c r="CH22" s="115">
        <f t="shared" si="5"/>
        <v>48883</v>
      </c>
      <c r="CI22" s="115">
        <f t="shared" si="5"/>
        <v>48913</v>
      </c>
      <c r="CJ22" s="115">
        <f t="shared" si="5"/>
        <v>48944</v>
      </c>
      <c r="CK22" s="115">
        <f t="shared" si="5"/>
        <v>48975</v>
      </c>
      <c r="CL22" s="115">
        <f t="shared" si="5"/>
        <v>49003</v>
      </c>
      <c r="CM22" s="115">
        <f t="shared" si="5"/>
        <v>49034</v>
      </c>
      <c r="CN22" s="115">
        <f t="shared" si="5"/>
        <v>49064</v>
      </c>
      <c r="CO22" s="115">
        <f t="shared" si="5"/>
        <v>49095</v>
      </c>
      <c r="CP22" s="115">
        <f t="shared" si="5"/>
        <v>49125</v>
      </c>
      <c r="CQ22" s="115">
        <f t="shared" si="5"/>
        <v>49156</v>
      </c>
      <c r="CR22" s="115">
        <f t="shared" si="5"/>
        <v>49187</v>
      </c>
      <c r="CS22" s="115">
        <f t="shared" si="5"/>
        <v>49217</v>
      </c>
      <c r="CT22" s="115">
        <f t="shared" si="5"/>
        <v>49248</v>
      </c>
      <c r="CU22" s="115">
        <f t="shared" si="5"/>
        <v>49278</v>
      </c>
      <c r="CV22" s="115">
        <f t="shared" si="5"/>
        <v>49309</v>
      </c>
      <c r="CW22" s="115">
        <f t="shared" ref="CW22:DT22" si="6">EOMONTH(CV22,1)</f>
        <v>49340</v>
      </c>
      <c r="CX22" s="115">
        <f t="shared" si="6"/>
        <v>49368</v>
      </c>
      <c r="CY22" s="115">
        <f t="shared" si="6"/>
        <v>49399</v>
      </c>
      <c r="CZ22" s="115">
        <f t="shared" si="6"/>
        <v>49429</v>
      </c>
      <c r="DA22" s="115">
        <f t="shared" si="6"/>
        <v>49460</v>
      </c>
      <c r="DB22" s="115">
        <f t="shared" si="6"/>
        <v>49490</v>
      </c>
      <c r="DC22" s="115">
        <f t="shared" si="6"/>
        <v>49521</v>
      </c>
      <c r="DD22" s="115">
        <f t="shared" si="6"/>
        <v>49552</v>
      </c>
      <c r="DE22" s="115">
        <f t="shared" si="6"/>
        <v>49582</v>
      </c>
      <c r="DF22" s="115">
        <f t="shared" si="6"/>
        <v>49613</v>
      </c>
      <c r="DG22" s="115">
        <f t="shared" si="6"/>
        <v>49643</v>
      </c>
      <c r="DH22" s="115">
        <f t="shared" si="6"/>
        <v>49674</v>
      </c>
      <c r="DI22" s="115">
        <f t="shared" si="6"/>
        <v>49705</v>
      </c>
      <c r="DJ22" s="115">
        <f t="shared" si="6"/>
        <v>49734</v>
      </c>
      <c r="DK22" s="115">
        <f t="shared" si="6"/>
        <v>49765</v>
      </c>
      <c r="DL22" s="115">
        <f t="shared" si="6"/>
        <v>49795</v>
      </c>
      <c r="DM22" s="115">
        <f t="shared" si="6"/>
        <v>49826</v>
      </c>
      <c r="DN22" s="115">
        <f t="shared" si="6"/>
        <v>49856</v>
      </c>
      <c r="DO22" s="115">
        <f t="shared" si="6"/>
        <v>49887</v>
      </c>
      <c r="DP22" s="115">
        <f t="shared" si="6"/>
        <v>49918</v>
      </c>
      <c r="DQ22" s="115">
        <f t="shared" si="6"/>
        <v>49948</v>
      </c>
      <c r="DR22" s="115">
        <f t="shared" si="6"/>
        <v>49979</v>
      </c>
      <c r="DS22" s="115">
        <f t="shared" si="6"/>
        <v>50009</v>
      </c>
      <c r="DT22" s="115">
        <f t="shared" si="6"/>
        <v>50040</v>
      </c>
      <c r="DU22" s="58"/>
      <c r="DV22" s="58"/>
      <c r="DW22" s="58"/>
      <c r="DX22" s="58"/>
      <c r="DY22" s="58"/>
      <c r="DZ22" s="58"/>
      <c r="EA22" s="58"/>
      <c r="EB22" s="58"/>
    </row>
    <row r="23" spans="2:132" s="3" customFormat="1" ht="22.95" customHeight="1">
      <c r="B23" s="104" t="s">
        <v>73</v>
      </c>
      <c r="C23" s="22">
        <f>SUM(D23:DT23)</f>
        <v>3393551.9944464052</v>
      </c>
      <c r="D23" s="21">
        <f>IF($E$6="Yes",'Rolled Up Cash Flows'!E$31,'Rolled Up Cash Flows'!E$53)</f>
        <v>46666.666666666664</v>
      </c>
      <c r="E23" s="21">
        <f>IF($E$6="Yes",'Rolled Up Cash Flows'!F$31,'Rolled Up Cash Flows'!F$53)</f>
        <v>-3333.3333333333335</v>
      </c>
      <c r="F23" s="21">
        <f>IF($E$6="Yes",'Rolled Up Cash Flows'!G$31,'Rolled Up Cash Flows'!G$53)</f>
        <v>-3333.3333333333335</v>
      </c>
      <c r="G23" s="21">
        <f>IF($E$6="Yes",'Rolled Up Cash Flows'!H$31,'Rolled Up Cash Flows'!H$53)</f>
        <v>-3333.3333333333335</v>
      </c>
      <c r="H23" s="21">
        <f>IF($E$6="Yes",'Rolled Up Cash Flows'!I$31,'Rolled Up Cash Flows'!I$53)</f>
        <v>-3333.3333333333335</v>
      </c>
      <c r="I23" s="21">
        <f>IF($E$6="Yes",'Rolled Up Cash Flows'!J$31,'Rolled Up Cash Flows'!J$53)</f>
        <v>-3333.3333333333335</v>
      </c>
      <c r="J23" s="21">
        <f>IF($E$6="Yes",'Rolled Up Cash Flows'!K$31,'Rolled Up Cash Flows'!K$53)</f>
        <v>6250</v>
      </c>
      <c r="K23" s="21">
        <f>IF($E$6="Yes",'Rolled Up Cash Flows'!L$31,'Rolled Up Cash Flows'!L$53)</f>
        <v>6250</v>
      </c>
      <c r="L23" s="21">
        <f>IF($E$6="Yes",'Rolled Up Cash Flows'!M$31,'Rolled Up Cash Flows'!M$53)</f>
        <v>6250</v>
      </c>
      <c r="M23" s="21">
        <f>IF($E$6="Yes",'Rolled Up Cash Flows'!N$31,'Rolled Up Cash Flows'!N$53)</f>
        <v>6250</v>
      </c>
      <c r="N23" s="21">
        <f>IF($E$6="Yes",'Rolled Up Cash Flows'!O$31,'Rolled Up Cash Flows'!O$53)</f>
        <v>6250</v>
      </c>
      <c r="O23" s="21">
        <f>IF($E$6="Yes",'Rolled Up Cash Flows'!P$31,'Rolled Up Cash Flows'!P$53)</f>
        <v>6250</v>
      </c>
      <c r="P23" s="21">
        <f>IF($E$6="Yes",'Rolled Up Cash Flows'!Q$31,'Rolled Up Cash Flows'!Q$53)</f>
        <v>6250</v>
      </c>
      <c r="Q23" s="21">
        <f>IF($E$6="Yes",'Rolled Up Cash Flows'!R$31,'Rolled Up Cash Flows'!R$53)</f>
        <v>6250</v>
      </c>
      <c r="R23" s="21">
        <f>IF($E$6="Yes",'Rolled Up Cash Flows'!S$31,'Rolled Up Cash Flows'!S$53)</f>
        <v>6250</v>
      </c>
      <c r="S23" s="21">
        <f>IF($E$6="Yes",'Rolled Up Cash Flows'!T$31,'Rolled Up Cash Flows'!T$53)</f>
        <v>6250</v>
      </c>
      <c r="T23" s="21">
        <f>IF($E$6="Yes",'Rolled Up Cash Flows'!U$31,'Rolled Up Cash Flows'!U$53)</f>
        <v>6250</v>
      </c>
      <c r="U23" s="21">
        <f>IF($E$6="Yes",'Rolled Up Cash Flows'!V$31,'Rolled Up Cash Flows'!V$53)</f>
        <v>6250</v>
      </c>
      <c r="V23" s="21">
        <f>IF($E$6="Yes",'Rolled Up Cash Flows'!W$31,'Rolled Up Cash Flows'!W$53)</f>
        <v>37500</v>
      </c>
      <c r="W23" s="21">
        <f>IF($E$6="Yes",'Rolled Up Cash Flows'!X$31,'Rolled Up Cash Flows'!X$53)</f>
        <v>0</v>
      </c>
      <c r="X23" s="21">
        <f>IF($E$6="Yes",'Rolled Up Cash Flows'!Y$31,'Rolled Up Cash Flows'!Y$53)</f>
        <v>0</v>
      </c>
      <c r="Y23" s="21">
        <f>IF($E$6="Yes",'Rolled Up Cash Flows'!Z$31,'Rolled Up Cash Flows'!Z$53)</f>
        <v>0</v>
      </c>
      <c r="Z23" s="21">
        <f>IF($E$6="Yes",'Rolled Up Cash Flows'!AA$31,'Rolled Up Cash Flows'!AA$53)</f>
        <v>0</v>
      </c>
      <c r="AA23" s="21">
        <f>IF($E$6="Yes",'Rolled Up Cash Flows'!AB$31,'Rolled Up Cash Flows'!AB$53)</f>
        <v>0</v>
      </c>
      <c r="AB23" s="21">
        <f>IF($E$6="Yes",'Rolled Up Cash Flows'!AC$31,'Rolled Up Cash Flows'!AC$53)</f>
        <v>1350000</v>
      </c>
      <c r="AC23" s="21">
        <f>IF($E$6="Yes",'Rolled Up Cash Flows'!AD$31,'Rolled Up Cash Flows'!AD$53)</f>
        <v>0</v>
      </c>
      <c r="AD23" s="21">
        <f>IF($E$6="Yes",'Rolled Up Cash Flows'!AE$31,'Rolled Up Cash Flows'!AE$53)</f>
        <v>0</v>
      </c>
      <c r="AE23" s="21">
        <f>IF($E$6="Yes",'Rolled Up Cash Flows'!AF$31,'Rolled Up Cash Flows'!AF$53)</f>
        <v>9851.3671875</v>
      </c>
      <c r="AF23" s="21">
        <f>IF($E$6="Yes",'Rolled Up Cash Flows'!AG$31,'Rolled Up Cash Flows'!AG$53)</f>
        <v>9851.3671875</v>
      </c>
      <c r="AG23" s="21">
        <f>IF($E$6="Yes",'Rolled Up Cash Flows'!AH$31,'Rolled Up Cash Flows'!AH$53)</f>
        <v>9851.3671875</v>
      </c>
      <c r="AH23" s="21">
        <f>IF($E$6="Yes",'Rolled Up Cash Flows'!AI$31,'Rolled Up Cash Flows'!AI$53)</f>
        <v>9851.3671875</v>
      </c>
      <c r="AI23" s="21">
        <f>IF($E$6="Yes",'Rolled Up Cash Flows'!AJ$31,'Rolled Up Cash Flows'!AJ$53)</f>
        <v>9851.3671875</v>
      </c>
      <c r="AJ23" s="21">
        <f>IF($E$6="Yes",'Rolled Up Cash Flows'!AK$31,'Rolled Up Cash Flows'!AK$53)</f>
        <v>9851.3671875</v>
      </c>
      <c r="AK23" s="21">
        <f>IF($E$6="Yes",'Rolled Up Cash Flows'!AL$31,'Rolled Up Cash Flows'!AL$53)</f>
        <v>9851.3671875</v>
      </c>
      <c r="AL23" s="21">
        <f>IF($E$6="Yes",'Rolled Up Cash Flows'!AM$31,'Rolled Up Cash Flows'!AM$53)</f>
        <v>9851.3671875</v>
      </c>
      <c r="AM23" s="21">
        <f>IF($E$6="Yes",'Rolled Up Cash Flows'!AN$31,'Rolled Up Cash Flows'!AN$53)</f>
        <v>9851.3671875</v>
      </c>
      <c r="AN23" s="21">
        <f>IF($E$6="Yes",'Rolled Up Cash Flows'!AO$31,'Rolled Up Cash Flows'!AO$53)</f>
        <v>9851.3671875</v>
      </c>
      <c r="AO23" s="21">
        <f>IF($E$6="Yes",'Rolled Up Cash Flows'!AP$31,'Rolled Up Cash Flows'!AP$53)</f>
        <v>9851.3671875</v>
      </c>
      <c r="AP23" s="21">
        <f>IF($E$6="Yes",'Rolled Up Cash Flows'!AQ$31,'Rolled Up Cash Flows'!AQ$53)</f>
        <v>9851.3671875</v>
      </c>
      <c r="AQ23" s="21">
        <f>IF($E$6="Yes",'Rolled Up Cash Flows'!AR$31,'Rolled Up Cash Flows'!AR$53)</f>
        <v>9851.3671875</v>
      </c>
      <c r="AR23" s="21">
        <f>IF($E$6="Yes",'Rolled Up Cash Flows'!AS$31,'Rolled Up Cash Flows'!AS$53)</f>
        <v>9851.3671875</v>
      </c>
      <c r="AS23" s="21">
        <f>IF($E$6="Yes",'Rolled Up Cash Flows'!AT$31,'Rolled Up Cash Flows'!AT$53)</f>
        <v>9851.3671875</v>
      </c>
      <c r="AT23" s="21">
        <f>IF($E$6="Yes",'Rolled Up Cash Flows'!AU$31,'Rolled Up Cash Flows'!AU$53)</f>
        <v>9851.3671875</v>
      </c>
      <c r="AU23" s="21">
        <f>IF($E$6="Yes",'Rolled Up Cash Flows'!AV$31,'Rolled Up Cash Flows'!AV$53)</f>
        <v>9851.3671875</v>
      </c>
      <c r="AV23" s="21">
        <f>IF($E$6="Yes",'Rolled Up Cash Flows'!AW$31,'Rolled Up Cash Flows'!AW$53)</f>
        <v>9851.3671875</v>
      </c>
      <c r="AW23" s="21">
        <f>IF($E$6="Yes",'Rolled Up Cash Flows'!AX$31,'Rolled Up Cash Flows'!AX$53)</f>
        <v>21035.69370372003</v>
      </c>
      <c r="AX23" s="21">
        <f>IF($E$6="Yes",'Rolled Up Cash Flows'!AY$31,'Rolled Up Cash Flows'!AY$53)</f>
        <v>21035.69370372003</v>
      </c>
      <c r="AY23" s="21">
        <f>IF($E$6="Yes",'Rolled Up Cash Flows'!AZ$31,'Rolled Up Cash Flows'!AZ$53)</f>
        <v>21035.69370372003</v>
      </c>
      <c r="AZ23" s="21">
        <f>IF($E$6="Yes",'Rolled Up Cash Flows'!BA$31,'Rolled Up Cash Flows'!BA$53)</f>
        <v>21035.69370372003</v>
      </c>
      <c r="BA23" s="21">
        <f>IF($E$6="Yes",'Rolled Up Cash Flows'!BB$31,'Rolled Up Cash Flows'!BB$53)</f>
        <v>21035.69370372003</v>
      </c>
      <c r="BB23" s="21">
        <f>IF($E$6="Yes",'Rolled Up Cash Flows'!BC$31,'Rolled Up Cash Flows'!BC$53)</f>
        <v>21035.69370372003</v>
      </c>
      <c r="BC23" s="21">
        <f>IF($E$6="Yes",'Rolled Up Cash Flows'!BD$31,'Rolled Up Cash Flows'!BD$53)</f>
        <v>447829.27832628123</v>
      </c>
      <c r="BD23" s="21">
        <f>IF($E$6="Yes",'Rolled Up Cash Flows'!BE$31,'Rolled Up Cash Flows'!BE$53)</f>
        <v>68812.176774800188</v>
      </c>
      <c r="BE23" s="21">
        <f>IF($E$6="Yes",'Rolled Up Cash Flows'!BF$31,'Rolled Up Cash Flows'!BF$53)</f>
        <v>70062.176774800188</v>
      </c>
      <c r="BF23" s="21">
        <f>IF($E$6="Yes",'Rolled Up Cash Flows'!BG$31,'Rolled Up Cash Flows'!BG$53)</f>
        <v>71312.176774800188</v>
      </c>
      <c r="BG23" s="21">
        <f>IF($E$6="Yes",'Rolled Up Cash Flows'!BH$31,'Rolled Up Cash Flows'!BH$53)</f>
        <v>72562.176774800188</v>
      </c>
      <c r="BH23" s="21">
        <f>IF($E$6="Yes",'Rolled Up Cash Flows'!BI$31,'Rolled Up Cash Flows'!BI$53)</f>
        <v>73812.176774800188</v>
      </c>
      <c r="BI23" s="21">
        <f>IF($E$6="Yes",'Rolled Up Cash Flows'!BJ$31,'Rolled Up Cash Flows'!BJ$53)</f>
        <v>75062.176774800188</v>
      </c>
      <c r="BJ23" s="21">
        <f>IF($E$6="Yes",'Rolled Up Cash Flows'!BK$31,'Rolled Up Cash Flows'!BK$53)</f>
        <v>76312.176774800188</v>
      </c>
      <c r="BK23" s="21">
        <f>IF($E$6="Yes",'Rolled Up Cash Flows'!BL$31,'Rolled Up Cash Flows'!BL$53)</f>
        <v>77562.176774800188</v>
      </c>
      <c r="BL23" s="21">
        <f>IF($E$6="Yes",'Rolled Up Cash Flows'!BM$31,'Rolled Up Cash Flows'!BM$53)</f>
        <v>78812.176774800188</v>
      </c>
      <c r="BM23" s="21">
        <f>IF($E$6="Yes",'Rolled Up Cash Flows'!BN$31,'Rolled Up Cash Flows'!BN$53)</f>
        <v>80062.176774800188</v>
      </c>
      <c r="BN23" s="21">
        <f>IF($E$6="Yes",'Rolled Up Cash Flows'!BO$31,'Rolled Up Cash Flows'!BO$53)</f>
        <v>81312.176774800188</v>
      </c>
      <c r="BO23" s="21">
        <f>IF($E$6="Yes",'Rolled Up Cash Flows'!BP$31,'Rolled Up Cash Flows'!BP$53)</f>
        <v>6750</v>
      </c>
      <c r="BP23" s="21">
        <f>IF($E$6="Yes",'Rolled Up Cash Flows'!BQ$31,'Rolled Up Cash Flows'!BQ$53)</f>
        <v>6750</v>
      </c>
      <c r="BQ23" s="21">
        <f>IF($E$6="Yes",'Rolled Up Cash Flows'!BR$31,'Rolled Up Cash Flows'!BR$53)</f>
        <v>6750</v>
      </c>
      <c r="BR23" s="21">
        <f>IF($E$6="Yes",'Rolled Up Cash Flows'!BS$31,'Rolled Up Cash Flows'!BS$53)</f>
        <v>6750</v>
      </c>
      <c r="BS23" s="21">
        <f>IF($E$6="Yes",'Rolled Up Cash Flows'!BT$31,'Rolled Up Cash Flows'!BT$53)</f>
        <v>6750</v>
      </c>
      <c r="BT23" s="21">
        <f>IF($E$6="Yes",'Rolled Up Cash Flows'!BU$31,'Rolled Up Cash Flows'!BU$53)</f>
        <v>6750</v>
      </c>
      <c r="BU23" s="21">
        <f>IF($E$6="Yes",'Rolled Up Cash Flows'!BV$31,'Rolled Up Cash Flows'!BV$53)</f>
        <v>6750</v>
      </c>
      <c r="BV23" s="21">
        <f>IF($E$6="Yes",'Rolled Up Cash Flows'!BW$31,'Rolled Up Cash Flows'!BW$53)</f>
        <v>6750</v>
      </c>
      <c r="BW23" s="21">
        <f>IF($E$6="Yes",'Rolled Up Cash Flows'!BX$31,'Rolled Up Cash Flows'!BX$53)</f>
        <v>6750</v>
      </c>
      <c r="BX23" s="21">
        <f>IF($E$6="Yes",'Rolled Up Cash Flows'!BY$31,'Rolled Up Cash Flows'!BY$53)</f>
        <v>6750</v>
      </c>
      <c r="BY23" s="21">
        <f>IF($E$6="Yes",'Rolled Up Cash Flows'!BZ$31,'Rolled Up Cash Flows'!BZ$53)</f>
        <v>6750</v>
      </c>
      <c r="BZ23" s="21">
        <f>IF($E$6="Yes",'Rolled Up Cash Flows'!CA$31,'Rolled Up Cash Flows'!CA$53)</f>
        <v>6750</v>
      </c>
      <c r="CA23" s="21">
        <f>IF($E$6="Yes",'Rolled Up Cash Flows'!CB$31,'Rolled Up Cash Flows'!CB$53)</f>
        <v>6750</v>
      </c>
      <c r="CB23" s="21">
        <f>IF($E$6="Yes",'Rolled Up Cash Flows'!CC$31,'Rolled Up Cash Flows'!CC$53)</f>
        <v>6750</v>
      </c>
      <c r="CC23" s="21">
        <f>IF($E$6="Yes",'Rolled Up Cash Flows'!CD$31,'Rolled Up Cash Flows'!CD$53)</f>
        <v>6750</v>
      </c>
      <c r="CD23" s="21">
        <f>IF($E$6="Yes",'Rolled Up Cash Flows'!CE$31,'Rolled Up Cash Flows'!CE$53)</f>
        <v>6750</v>
      </c>
      <c r="CE23" s="21">
        <f>IF($E$6="Yes",'Rolled Up Cash Flows'!CF$31,'Rolled Up Cash Flows'!CF$53)</f>
        <v>6750</v>
      </c>
      <c r="CF23" s="21">
        <f>IF($E$6="Yes",'Rolled Up Cash Flows'!CG$31,'Rolled Up Cash Flows'!CG$53)</f>
        <v>6750</v>
      </c>
      <c r="CG23" s="21">
        <f>IF($E$6="Yes",'Rolled Up Cash Flows'!CH$31,'Rolled Up Cash Flows'!CH$53)</f>
        <v>6750</v>
      </c>
      <c r="CH23" s="21">
        <f>IF($E$6="Yes",'Rolled Up Cash Flows'!CI$31,'Rolled Up Cash Flows'!CI$53)</f>
        <v>6750</v>
      </c>
      <c r="CI23" s="21">
        <f>IF($E$6="Yes",'Rolled Up Cash Flows'!CJ$31,'Rolled Up Cash Flows'!CJ$53)</f>
        <v>6750</v>
      </c>
      <c r="CJ23" s="21">
        <f>IF($E$6="Yes",'Rolled Up Cash Flows'!CK$31,'Rolled Up Cash Flows'!CK$53)</f>
        <v>6750</v>
      </c>
      <c r="CK23" s="21">
        <f>IF($E$6="Yes",'Rolled Up Cash Flows'!CL$31,'Rolled Up Cash Flows'!CL$53)</f>
        <v>6750</v>
      </c>
      <c r="CL23" s="21">
        <f>IF($E$6="Yes",'Rolled Up Cash Flows'!CM$31,'Rolled Up Cash Flows'!CM$53)</f>
        <v>6750</v>
      </c>
      <c r="CM23" s="21">
        <f>IF($E$6="Yes",'Rolled Up Cash Flows'!CN$31,'Rolled Up Cash Flows'!CN$53)</f>
        <v>6750</v>
      </c>
      <c r="CN23" s="21">
        <f>IF($E$6="Yes",'Rolled Up Cash Flows'!CO$31,'Rolled Up Cash Flows'!CO$53)</f>
        <v>6750</v>
      </c>
      <c r="CO23" s="21">
        <f>IF($E$6="Yes",'Rolled Up Cash Flows'!CP$31,'Rolled Up Cash Flows'!CP$53)</f>
        <v>6750</v>
      </c>
      <c r="CP23" s="21">
        <f>IF($E$6="Yes",'Rolled Up Cash Flows'!CQ$31,'Rolled Up Cash Flows'!CQ$53)</f>
        <v>6750</v>
      </c>
      <c r="CQ23" s="21">
        <f>IF($E$6="Yes",'Rolled Up Cash Flows'!CR$31,'Rolled Up Cash Flows'!CR$53)</f>
        <v>6750</v>
      </c>
      <c r="CR23" s="21">
        <f>IF($E$6="Yes",'Rolled Up Cash Flows'!CS$31,'Rolled Up Cash Flows'!CS$53)</f>
        <v>6750</v>
      </c>
      <c r="CS23" s="21">
        <f>IF($E$6="Yes",'Rolled Up Cash Flows'!CT$31,'Rolled Up Cash Flows'!CT$53)</f>
        <v>6750</v>
      </c>
      <c r="CT23" s="21">
        <f>IF($E$6="Yes",'Rolled Up Cash Flows'!CU$31,'Rolled Up Cash Flows'!CU$53)</f>
        <v>6750</v>
      </c>
      <c r="CU23" s="21">
        <f>IF($E$6="Yes",'Rolled Up Cash Flows'!CV$31,'Rolled Up Cash Flows'!CV$53)</f>
        <v>6750</v>
      </c>
      <c r="CV23" s="21">
        <f>IF($E$6="Yes",'Rolled Up Cash Flows'!CW$31,'Rolled Up Cash Flows'!CW$53)</f>
        <v>6750</v>
      </c>
      <c r="CW23" s="21">
        <f>IF($E$6="Yes",'Rolled Up Cash Flows'!CX$31,'Rolled Up Cash Flows'!CX$53)</f>
        <v>6750</v>
      </c>
      <c r="CX23" s="21">
        <f>IF($E$6="Yes",'Rolled Up Cash Flows'!CY$31,'Rolled Up Cash Flows'!CY$53)</f>
        <v>6750</v>
      </c>
      <c r="CY23" s="21">
        <f>IF($E$6="Yes",'Rolled Up Cash Flows'!CZ$31,'Rolled Up Cash Flows'!CZ$53)</f>
        <v>6750</v>
      </c>
      <c r="CZ23" s="21">
        <f>IF($E$6="Yes",'Rolled Up Cash Flows'!DA$31,'Rolled Up Cash Flows'!DA$53)</f>
        <v>6750</v>
      </c>
      <c r="DA23" s="21">
        <f>IF($E$6="Yes",'Rolled Up Cash Flows'!DB$31,'Rolled Up Cash Flows'!DB$53)</f>
        <v>6750</v>
      </c>
      <c r="DB23" s="21">
        <f>IF($E$6="Yes",'Rolled Up Cash Flows'!DC$31,'Rolled Up Cash Flows'!DC$53)</f>
        <v>6750</v>
      </c>
      <c r="DC23" s="21">
        <f>IF($E$6="Yes",'Rolled Up Cash Flows'!DD$31,'Rolled Up Cash Flows'!DD$53)</f>
        <v>6750</v>
      </c>
      <c r="DD23" s="21">
        <f>IF($E$6="Yes",'Rolled Up Cash Flows'!DE$31,'Rolled Up Cash Flows'!DE$53)</f>
        <v>6750</v>
      </c>
      <c r="DE23" s="21">
        <f>IF($E$6="Yes",'Rolled Up Cash Flows'!DF$31,'Rolled Up Cash Flows'!DF$53)</f>
        <v>6750</v>
      </c>
      <c r="DF23" s="21">
        <f>IF($E$6="Yes",'Rolled Up Cash Flows'!DG$31,'Rolled Up Cash Flows'!DG$53)</f>
        <v>6750</v>
      </c>
      <c r="DG23" s="21">
        <f>IF($E$6="Yes",'Rolled Up Cash Flows'!DH$31,'Rolled Up Cash Flows'!DH$53)</f>
        <v>6750</v>
      </c>
      <c r="DH23" s="21">
        <f>IF($E$6="Yes",'Rolled Up Cash Flows'!DI$31,'Rolled Up Cash Flows'!DI$53)</f>
        <v>6750</v>
      </c>
      <c r="DI23" s="21">
        <f>IF($E$6="Yes",'Rolled Up Cash Flows'!DJ$31,'Rolled Up Cash Flows'!DJ$53)</f>
        <v>6750</v>
      </c>
      <c r="DJ23" s="21">
        <f>IF($E$6="Yes",'Rolled Up Cash Flows'!DK$31,'Rolled Up Cash Flows'!DK$53)</f>
        <v>6750</v>
      </c>
      <c r="DK23" s="21">
        <f>IF($E$6="Yes",'Rolled Up Cash Flows'!DL$31,'Rolled Up Cash Flows'!DL$53)</f>
        <v>0</v>
      </c>
      <c r="DL23" s="21">
        <f>IF($E$6="Yes",'Rolled Up Cash Flows'!DM$31,'Rolled Up Cash Flows'!DM$53)</f>
        <v>0</v>
      </c>
      <c r="DM23" s="21">
        <f>IF($E$6="Yes",'Rolled Up Cash Flows'!DN$31,'Rolled Up Cash Flows'!DN$53)</f>
        <v>0</v>
      </c>
      <c r="DN23" s="21">
        <f>IF($E$6="Yes",'Rolled Up Cash Flows'!DO$31,'Rolled Up Cash Flows'!DO$53)</f>
        <v>0</v>
      </c>
      <c r="DO23" s="21">
        <f>IF($E$6="Yes",'Rolled Up Cash Flows'!DP$31,'Rolled Up Cash Flows'!DP$53)</f>
        <v>0</v>
      </c>
      <c r="DP23" s="21">
        <f>IF($E$6="Yes",'Rolled Up Cash Flows'!DQ$31,'Rolled Up Cash Flows'!DQ$53)</f>
        <v>0</v>
      </c>
      <c r="DQ23" s="21">
        <f>IF($E$6="Yes",'Rolled Up Cash Flows'!DR$31,'Rolled Up Cash Flows'!DR$53)</f>
        <v>0</v>
      </c>
      <c r="DR23" s="21">
        <f>IF($E$6="Yes",'Rolled Up Cash Flows'!DS$31,'Rolled Up Cash Flows'!DS$53)</f>
        <v>0</v>
      </c>
      <c r="DS23" s="21">
        <f>IF($E$6="Yes",'Rolled Up Cash Flows'!DT$31,'Rolled Up Cash Flows'!DT$53)</f>
        <v>0</v>
      </c>
      <c r="DT23" s="21">
        <f>IF($E$6="Yes",'Rolled Up Cash Flows'!DU$31,'Rolled Up Cash Flows'!DU$53)</f>
        <v>0</v>
      </c>
    </row>
    <row r="24" spans="2:132" s="3" customFormat="1" ht="22.95" customHeight="1">
      <c r="B24" s="104"/>
    </row>
    <row r="25" spans="2:132" s="3" customFormat="1" ht="22.95" customHeight="1">
      <c r="B25" s="112" t="s">
        <v>74</v>
      </c>
      <c r="C25" s="113" t="s">
        <v>72</v>
      </c>
      <c r="D25" s="114">
        <f>D7</f>
        <v>46477</v>
      </c>
      <c r="E25" s="115">
        <f t="shared" ref="E25:AJ25" si="7">EOMONTH(D25,1)</f>
        <v>46507</v>
      </c>
      <c r="F25" s="115">
        <f t="shared" si="7"/>
        <v>46538</v>
      </c>
      <c r="G25" s="115">
        <f t="shared" si="7"/>
        <v>46568</v>
      </c>
      <c r="H25" s="115">
        <f t="shared" si="7"/>
        <v>46599</v>
      </c>
      <c r="I25" s="115">
        <f t="shared" si="7"/>
        <v>46630</v>
      </c>
      <c r="J25" s="115">
        <f t="shared" si="7"/>
        <v>46660</v>
      </c>
      <c r="K25" s="115">
        <f t="shared" si="7"/>
        <v>46691</v>
      </c>
      <c r="L25" s="115">
        <f t="shared" si="7"/>
        <v>46721</v>
      </c>
      <c r="M25" s="115">
        <f t="shared" si="7"/>
        <v>46752</v>
      </c>
      <c r="N25" s="115">
        <f t="shared" si="7"/>
        <v>46783</v>
      </c>
      <c r="O25" s="115">
        <f t="shared" si="7"/>
        <v>46812</v>
      </c>
      <c r="P25" s="115">
        <f t="shared" si="7"/>
        <v>46843</v>
      </c>
      <c r="Q25" s="115">
        <f t="shared" si="7"/>
        <v>46873</v>
      </c>
      <c r="R25" s="115">
        <f t="shared" si="7"/>
        <v>46904</v>
      </c>
      <c r="S25" s="115">
        <f t="shared" si="7"/>
        <v>46934</v>
      </c>
      <c r="T25" s="115">
        <f t="shared" si="7"/>
        <v>46965</v>
      </c>
      <c r="U25" s="115">
        <f t="shared" si="7"/>
        <v>46996</v>
      </c>
      <c r="V25" s="115">
        <f t="shared" si="7"/>
        <v>47026</v>
      </c>
      <c r="W25" s="115">
        <f t="shared" si="7"/>
        <v>47057</v>
      </c>
      <c r="X25" s="115">
        <f t="shared" si="7"/>
        <v>47087</v>
      </c>
      <c r="Y25" s="115">
        <f t="shared" si="7"/>
        <v>47118</v>
      </c>
      <c r="Z25" s="115">
        <f t="shared" si="7"/>
        <v>47149</v>
      </c>
      <c r="AA25" s="115">
        <f t="shared" si="7"/>
        <v>47177</v>
      </c>
      <c r="AB25" s="115">
        <f t="shared" si="7"/>
        <v>47208</v>
      </c>
      <c r="AC25" s="115">
        <f t="shared" si="7"/>
        <v>47238</v>
      </c>
      <c r="AD25" s="115">
        <f t="shared" si="7"/>
        <v>47269</v>
      </c>
      <c r="AE25" s="115">
        <f t="shared" si="7"/>
        <v>47299</v>
      </c>
      <c r="AF25" s="115">
        <f t="shared" si="7"/>
        <v>47330</v>
      </c>
      <c r="AG25" s="115">
        <f t="shared" si="7"/>
        <v>47361</v>
      </c>
      <c r="AH25" s="115">
        <f t="shared" si="7"/>
        <v>47391</v>
      </c>
      <c r="AI25" s="115">
        <f t="shared" si="7"/>
        <v>47422</v>
      </c>
      <c r="AJ25" s="115">
        <f t="shared" si="7"/>
        <v>47452</v>
      </c>
      <c r="AK25" s="115">
        <f t="shared" ref="AK25:BP25" si="8">EOMONTH(AJ25,1)</f>
        <v>47483</v>
      </c>
      <c r="AL25" s="115">
        <f t="shared" si="8"/>
        <v>47514</v>
      </c>
      <c r="AM25" s="115">
        <f t="shared" si="8"/>
        <v>47542</v>
      </c>
      <c r="AN25" s="115">
        <f t="shared" si="8"/>
        <v>47573</v>
      </c>
      <c r="AO25" s="115">
        <f t="shared" si="8"/>
        <v>47603</v>
      </c>
      <c r="AP25" s="115">
        <f t="shared" si="8"/>
        <v>47634</v>
      </c>
      <c r="AQ25" s="115">
        <f t="shared" si="8"/>
        <v>47664</v>
      </c>
      <c r="AR25" s="115">
        <f t="shared" si="8"/>
        <v>47695</v>
      </c>
      <c r="AS25" s="115">
        <f t="shared" si="8"/>
        <v>47726</v>
      </c>
      <c r="AT25" s="115">
        <f t="shared" si="8"/>
        <v>47756</v>
      </c>
      <c r="AU25" s="115">
        <f t="shared" si="8"/>
        <v>47787</v>
      </c>
      <c r="AV25" s="115">
        <f t="shared" si="8"/>
        <v>47817</v>
      </c>
      <c r="AW25" s="115">
        <f t="shared" si="8"/>
        <v>47848</v>
      </c>
      <c r="AX25" s="115">
        <f t="shared" si="8"/>
        <v>47879</v>
      </c>
      <c r="AY25" s="115">
        <f t="shared" si="8"/>
        <v>47907</v>
      </c>
      <c r="AZ25" s="115">
        <f t="shared" si="8"/>
        <v>47938</v>
      </c>
      <c r="BA25" s="115">
        <f t="shared" si="8"/>
        <v>47968</v>
      </c>
      <c r="BB25" s="115">
        <f t="shared" si="8"/>
        <v>47999</v>
      </c>
      <c r="BC25" s="115">
        <f t="shared" si="8"/>
        <v>48029</v>
      </c>
      <c r="BD25" s="115">
        <f t="shared" si="8"/>
        <v>48060</v>
      </c>
      <c r="BE25" s="115">
        <f t="shared" si="8"/>
        <v>48091</v>
      </c>
      <c r="BF25" s="115">
        <f t="shared" si="8"/>
        <v>48121</v>
      </c>
      <c r="BG25" s="115">
        <f t="shared" si="8"/>
        <v>48152</v>
      </c>
      <c r="BH25" s="115">
        <f t="shared" si="8"/>
        <v>48182</v>
      </c>
      <c r="BI25" s="115">
        <f t="shared" si="8"/>
        <v>48213</v>
      </c>
      <c r="BJ25" s="115">
        <f t="shared" si="8"/>
        <v>48244</v>
      </c>
      <c r="BK25" s="115">
        <f t="shared" si="8"/>
        <v>48273</v>
      </c>
      <c r="BL25" s="115">
        <f t="shared" si="8"/>
        <v>48304</v>
      </c>
      <c r="BM25" s="115">
        <f t="shared" si="8"/>
        <v>48334</v>
      </c>
      <c r="BN25" s="115">
        <f t="shared" si="8"/>
        <v>48365</v>
      </c>
      <c r="BO25" s="115">
        <f t="shared" si="8"/>
        <v>48395</v>
      </c>
      <c r="BP25" s="115">
        <f t="shared" si="8"/>
        <v>48426</v>
      </c>
      <c r="BQ25" s="115">
        <f t="shared" ref="BQ25:CV25" si="9">EOMONTH(BP25,1)</f>
        <v>48457</v>
      </c>
      <c r="BR25" s="115">
        <f t="shared" si="9"/>
        <v>48487</v>
      </c>
      <c r="BS25" s="115">
        <f t="shared" si="9"/>
        <v>48518</v>
      </c>
      <c r="BT25" s="115">
        <f t="shared" si="9"/>
        <v>48548</v>
      </c>
      <c r="BU25" s="115">
        <f t="shared" si="9"/>
        <v>48579</v>
      </c>
      <c r="BV25" s="115">
        <f t="shared" si="9"/>
        <v>48610</v>
      </c>
      <c r="BW25" s="115">
        <f t="shared" si="9"/>
        <v>48638</v>
      </c>
      <c r="BX25" s="115">
        <f t="shared" si="9"/>
        <v>48669</v>
      </c>
      <c r="BY25" s="115">
        <f t="shared" si="9"/>
        <v>48699</v>
      </c>
      <c r="BZ25" s="115">
        <f t="shared" si="9"/>
        <v>48730</v>
      </c>
      <c r="CA25" s="115">
        <f t="shared" si="9"/>
        <v>48760</v>
      </c>
      <c r="CB25" s="115">
        <f t="shared" si="9"/>
        <v>48791</v>
      </c>
      <c r="CC25" s="115">
        <f t="shared" si="9"/>
        <v>48822</v>
      </c>
      <c r="CD25" s="115">
        <f t="shared" si="9"/>
        <v>48852</v>
      </c>
      <c r="CE25" s="115">
        <f t="shared" si="9"/>
        <v>48883</v>
      </c>
      <c r="CF25" s="115">
        <f t="shared" si="9"/>
        <v>48913</v>
      </c>
      <c r="CG25" s="115">
        <f t="shared" si="9"/>
        <v>48944</v>
      </c>
      <c r="CH25" s="115">
        <f t="shared" si="9"/>
        <v>48975</v>
      </c>
      <c r="CI25" s="115">
        <f t="shared" si="9"/>
        <v>49003</v>
      </c>
      <c r="CJ25" s="115">
        <f t="shared" si="9"/>
        <v>49034</v>
      </c>
      <c r="CK25" s="115">
        <f t="shared" si="9"/>
        <v>49064</v>
      </c>
      <c r="CL25" s="115">
        <f t="shared" si="9"/>
        <v>49095</v>
      </c>
      <c r="CM25" s="115">
        <f t="shared" si="9"/>
        <v>49125</v>
      </c>
      <c r="CN25" s="115">
        <f t="shared" si="9"/>
        <v>49156</v>
      </c>
      <c r="CO25" s="115">
        <f t="shared" si="9"/>
        <v>49187</v>
      </c>
      <c r="CP25" s="115">
        <f t="shared" si="9"/>
        <v>49217</v>
      </c>
      <c r="CQ25" s="115">
        <f t="shared" si="9"/>
        <v>49248</v>
      </c>
      <c r="CR25" s="115">
        <f t="shared" si="9"/>
        <v>49278</v>
      </c>
      <c r="CS25" s="115">
        <f t="shared" si="9"/>
        <v>49309</v>
      </c>
      <c r="CT25" s="115">
        <f t="shared" si="9"/>
        <v>49340</v>
      </c>
      <c r="CU25" s="115">
        <f t="shared" si="9"/>
        <v>49368</v>
      </c>
      <c r="CV25" s="115">
        <f t="shared" si="9"/>
        <v>49399</v>
      </c>
      <c r="CW25" s="115">
        <f t="shared" ref="CW25:DT25" si="10">EOMONTH(CV25,1)</f>
        <v>49429</v>
      </c>
      <c r="CX25" s="115">
        <f t="shared" si="10"/>
        <v>49460</v>
      </c>
      <c r="CY25" s="115">
        <f t="shared" si="10"/>
        <v>49490</v>
      </c>
      <c r="CZ25" s="115">
        <f t="shared" si="10"/>
        <v>49521</v>
      </c>
      <c r="DA25" s="115">
        <f t="shared" si="10"/>
        <v>49552</v>
      </c>
      <c r="DB25" s="115">
        <f t="shared" si="10"/>
        <v>49582</v>
      </c>
      <c r="DC25" s="115">
        <f t="shared" si="10"/>
        <v>49613</v>
      </c>
      <c r="DD25" s="115">
        <f t="shared" si="10"/>
        <v>49643</v>
      </c>
      <c r="DE25" s="115">
        <f t="shared" si="10"/>
        <v>49674</v>
      </c>
      <c r="DF25" s="115">
        <f t="shared" si="10"/>
        <v>49705</v>
      </c>
      <c r="DG25" s="115">
        <f t="shared" si="10"/>
        <v>49734</v>
      </c>
      <c r="DH25" s="115">
        <f t="shared" si="10"/>
        <v>49765</v>
      </c>
      <c r="DI25" s="115">
        <f t="shared" si="10"/>
        <v>49795</v>
      </c>
      <c r="DJ25" s="115">
        <f t="shared" si="10"/>
        <v>49826</v>
      </c>
      <c r="DK25" s="115">
        <f t="shared" si="10"/>
        <v>49856</v>
      </c>
      <c r="DL25" s="115">
        <f t="shared" si="10"/>
        <v>49887</v>
      </c>
      <c r="DM25" s="115">
        <f t="shared" si="10"/>
        <v>49918</v>
      </c>
      <c r="DN25" s="115">
        <f t="shared" si="10"/>
        <v>49948</v>
      </c>
      <c r="DO25" s="115">
        <f t="shared" si="10"/>
        <v>49979</v>
      </c>
      <c r="DP25" s="115">
        <f t="shared" si="10"/>
        <v>50009</v>
      </c>
      <c r="DQ25" s="115">
        <f t="shared" si="10"/>
        <v>50040</v>
      </c>
      <c r="DR25" s="115">
        <f t="shared" si="10"/>
        <v>50071</v>
      </c>
      <c r="DS25" s="115">
        <f t="shared" si="10"/>
        <v>50099</v>
      </c>
      <c r="DT25" s="115">
        <f t="shared" si="10"/>
        <v>50130</v>
      </c>
    </row>
    <row r="26" spans="2:132" s="3" customFormat="1" ht="22.95" customHeight="1">
      <c r="B26" s="104" t="s">
        <v>73</v>
      </c>
      <c r="C26" s="22">
        <f>SUM(D26:DT26)</f>
        <v>104999.99999999999</v>
      </c>
      <c r="D26" s="21">
        <f>IF($E$7="Yes",'Rolled Up Cash Flows'!E$31,'Rolled Up Cash Flows'!E$53)</f>
        <v>46666.666666666664</v>
      </c>
      <c r="E26" s="21">
        <f>IF($E$7="Yes",'Rolled Up Cash Flows'!F$31,'Rolled Up Cash Flows'!F$53)</f>
        <v>-3333.3333333333335</v>
      </c>
      <c r="F26" s="21">
        <f>IF($E$7="Yes",'Rolled Up Cash Flows'!G$31,'Rolled Up Cash Flows'!G$53)</f>
        <v>-3333.3333333333335</v>
      </c>
      <c r="G26" s="21">
        <f>IF($E$7="Yes",'Rolled Up Cash Flows'!H$31,'Rolled Up Cash Flows'!H$53)</f>
        <v>-3333.3333333333335</v>
      </c>
      <c r="H26" s="21">
        <f>IF($E$7="Yes",'Rolled Up Cash Flows'!I$31,'Rolled Up Cash Flows'!I$53)</f>
        <v>-3333.3333333333335</v>
      </c>
      <c r="I26" s="21">
        <f>IF($E$7="Yes",'Rolled Up Cash Flows'!J$31,'Rolled Up Cash Flows'!J$53)</f>
        <v>-3333.3333333333335</v>
      </c>
      <c r="J26" s="21">
        <f>IF($E$7="Yes",'Rolled Up Cash Flows'!K$31,'Rolled Up Cash Flows'!K$53)</f>
        <v>6250</v>
      </c>
      <c r="K26" s="21">
        <f>IF($E$7="Yes",'Rolled Up Cash Flows'!L$31,'Rolled Up Cash Flows'!L$53)</f>
        <v>6250</v>
      </c>
      <c r="L26" s="21">
        <f>IF($E$7="Yes",'Rolled Up Cash Flows'!M$31,'Rolled Up Cash Flows'!M$53)</f>
        <v>6250</v>
      </c>
      <c r="M26" s="21">
        <f>IF($E$7="Yes",'Rolled Up Cash Flows'!N$31,'Rolled Up Cash Flows'!N$53)</f>
        <v>6250</v>
      </c>
      <c r="N26" s="21">
        <f>IF($E$7="Yes",'Rolled Up Cash Flows'!O$31,'Rolled Up Cash Flows'!O$53)</f>
        <v>6250</v>
      </c>
      <c r="O26" s="21">
        <f>IF($E$7="Yes",'Rolled Up Cash Flows'!P$31,'Rolled Up Cash Flows'!P$53)</f>
        <v>6250</v>
      </c>
      <c r="P26" s="21">
        <f>IF($E$7="Yes",'Rolled Up Cash Flows'!Q$31,'Rolled Up Cash Flows'!Q$53)</f>
        <v>6250</v>
      </c>
      <c r="Q26" s="21">
        <f>IF($E$7="Yes",'Rolled Up Cash Flows'!R$31,'Rolled Up Cash Flows'!R$53)</f>
        <v>6250</v>
      </c>
      <c r="R26" s="21">
        <f>IF($E$7="Yes",'Rolled Up Cash Flows'!S$31,'Rolled Up Cash Flows'!S$53)</f>
        <v>6250</v>
      </c>
      <c r="S26" s="21">
        <f>IF($E$7="Yes",'Rolled Up Cash Flows'!T$31,'Rolled Up Cash Flows'!T$53)</f>
        <v>6250</v>
      </c>
      <c r="T26" s="21">
        <f>IF($E$7="Yes",'Rolled Up Cash Flows'!U$31,'Rolled Up Cash Flows'!U$53)</f>
        <v>6250</v>
      </c>
      <c r="U26" s="21">
        <f>IF($E$7="Yes",'Rolled Up Cash Flows'!V$31,'Rolled Up Cash Flows'!V$53)</f>
        <v>6250</v>
      </c>
      <c r="V26" s="21">
        <f>IF($E$7="Yes",'Rolled Up Cash Flows'!W$31,'Rolled Up Cash Flows'!W$53)</f>
        <v>0</v>
      </c>
      <c r="W26" s="21">
        <f>IF($E$7="Yes",'Rolled Up Cash Flows'!X$31,'Rolled Up Cash Flows'!X$53)</f>
        <v>0</v>
      </c>
      <c r="X26" s="21">
        <f>IF($E$7="Yes",'Rolled Up Cash Flows'!Y$31,'Rolled Up Cash Flows'!Y$53)</f>
        <v>0</v>
      </c>
      <c r="Y26" s="21">
        <f>IF($E$7="Yes",'Rolled Up Cash Flows'!Z$31,'Rolled Up Cash Flows'!Z$53)</f>
        <v>0</v>
      </c>
      <c r="Z26" s="21">
        <f>IF($E$7="Yes",'Rolled Up Cash Flows'!AA$31,'Rolled Up Cash Flows'!AA$53)</f>
        <v>0</v>
      </c>
      <c r="AA26" s="21">
        <f>IF($E$7="Yes",'Rolled Up Cash Flows'!AB$31,'Rolled Up Cash Flows'!AB$53)</f>
        <v>0</v>
      </c>
      <c r="AB26" s="21">
        <f>IF($E$7="Yes",'Rolled Up Cash Flows'!AC$31,'Rolled Up Cash Flows'!AC$53)</f>
        <v>0</v>
      </c>
      <c r="AC26" s="21">
        <f>IF($E$7="Yes",'Rolled Up Cash Flows'!AD$31,'Rolled Up Cash Flows'!AD$53)</f>
        <v>0</v>
      </c>
      <c r="AD26" s="21">
        <f>IF($E$7="Yes",'Rolled Up Cash Flows'!AE$31,'Rolled Up Cash Flows'!AE$53)</f>
        <v>0</v>
      </c>
      <c r="AE26" s="21">
        <f>IF($E$7="Yes",'Rolled Up Cash Flows'!AF$31,'Rolled Up Cash Flows'!AF$53)</f>
        <v>0</v>
      </c>
      <c r="AF26" s="21">
        <f>IF($E$7="Yes",'Rolled Up Cash Flows'!AG$31,'Rolled Up Cash Flows'!AG$53)</f>
        <v>0</v>
      </c>
      <c r="AG26" s="21">
        <f>IF($E$7="Yes",'Rolled Up Cash Flows'!AH$31,'Rolled Up Cash Flows'!AH$53)</f>
        <v>0</v>
      </c>
      <c r="AH26" s="21">
        <f>IF($E$7="Yes",'Rolled Up Cash Flows'!AI$31,'Rolled Up Cash Flows'!AI$53)</f>
        <v>0</v>
      </c>
      <c r="AI26" s="21">
        <f>IF($E$7="Yes",'Rolled Up Cash Flows'!AJ$31,'Rolled Up Cash Flows'!AJ$53)</f>
        <v>0</v>
      </c>
      <c r="AJ26" s="21">
        <f>IF($E$7="Yes",'Rolled Up Cash Flows'!AK$31,'Rolled Up Cash Flows'!AK$53)</f>
        <v>0</v>
      </c>
      <c r="AK26" s="21">
        <f>IF($E$7="Yes",'Rolled Up Cash Flows'!AL$31,'Rolled Up Cash Flows'!AL$53)</f>
        <v>0</v>
      </c>
      <c r="AL26" s="21">
        <f>IF($E$7="Yes",'Rolled Up Cash Flows'!AM$31,'Rolled Up Cash Flows'!AM$53)</f>
        <v>0</v>
      </c>
      <c r="AM26" s="21">
        <f>IF($E$7="Yes",'Rolled Up Cash Flows'!AN$31,'Rolled Up Cash Flows'!AN$53)</f>
        <v>0</v>
      </c>
      <c r="AN26" s="21">
        <f>IF($E$7="Yes",'Rolled Up Cash Flows'!AO$31,'Rolled Up Cash Flows'!AO$53)</f>
        <v>0</v>
      </c>
      <c r="AO26" s="21">
        <f>IF($E$7="Yes",'Rolled Up Cash Flows'!AP$31,'Rolled Up Cash Flows'!AP$53)</f>
        <v>0</v>
      </c>
      <c r="AP26" s="21">
        <f>IF($E$7="Yes",'Rolled Up Cash Flows'!AQ$31,'Rolled Up Cash Flows'!AQ$53)</f>
        <v>0</v>
      </c>
      <c r="AQ26" s="21">
        <f>IF($E$7="Yes",'Rolled Up Cash Flows'!AR$31,'Rolled Up Cash Flows'!AR$53)</f>
        <v>0</v>
      </c>
      <c r="AR26" s="21">
        <f>IF($E$7="Yes",'Rolled Up Cash Flows'!AS$31,'Rolled Up Cash Flows'!AS$53)</f>
        <v>0</v>
      </c>
      <c r="AS26" s="21">
        <f>IF($E$7="Yes",'Rolled Up Cash Flows'!AT$31,'Rolled Up Cash Flows'!AT$53)</f>
        <v>0</v>
      </c>
      <c r="AT26" s="21">
        <f>IF($E$7="Yes",'Rolled Up Cash Flows'!AU$31,'Rolled Up Cash Flows'!AU$53)</f>
        <v>0</v>
      </c>
      <c r="AU26" s="21">
        <f>IF($E$7="Yes",'Rolled Up Cash Flows'!AV$31,'Rolled Up Cash Flows'!AV$53)</f>
        <v>0</v>
      </c>
      <c r="AV26" s="21">
        <f>IF($E$7="Yes",'Rolled Up Cash Flows'!AW$31,'Rolled Up Cash Flows'!AW$53)</f>
        <v>0</v>
      </c>
      <c r="AW26" s="21">
        <f>IF($E$7="Yes",'Rolled Up Cash Flows'!AX$31,'Rolled Up Cash Flows'!AX$53)</f>
        <v>0</v>
      </c>
      <c r="AX26" s="21">
        <f>IF($E$7="Yes",'Rolled Up Cash Flows'!AY$31,'Rolled Up Cash Flows'!AY$53)</f>
        <v>0</v>
      </c>
      <c r="AY26" s="21">
        <f>IF($E$7="Yes",'Rolled Up Cash Flows'!AZ$31,'Rolled Up Cash Flows'!AZ$53)</f>
        <v>0</v>
      </c>
      <c r="AZ26" s="21">
        <f>IF($E$7="Yes",'Rolled Up Cash Flows'!BA$31,'Rolled Up Cash Flows'!BA$53)</f>
        <v>0</v>
      </c>
      <c r="BA26" s="21">
        <f>IF($E$7="Yes",'Rolled Up Cash Flows'!BB$31,'Rolled Up Cash Flows'!BB$53)</f>
        <v>0</v>
      </c>
      <c r="BB26" s="21">
        <f>IF($E$7="Yes",'Rolled Up Cash Flows'!BC$31,'Rolled Up Cash Flows'!BC$53)</f>
        <v>0</v>
      </c>
      <c r="BC26" s="21">
        <f>IF($E$7="Yes",'Rolled Up Cash Flows'!BD$31,'Rolled Up Cash Flows'!BD$53)</f>
        <v>0</v>
      </c>
      <c r="BD26" s="21">
        <f>IF($E$7="Yes",'Rolled Up Cash Flows'!BE$31,'Rolled Up Cash Flows'!BE$53)</f>
        <v>0</v>
      </c>
      <c r="BE26" s="21">
        <f>IF($E$7="Yes",'Rolled Up Cash Flows'!BF$31,'Rolled Up Cash Flows'!BF$53)</f>
        <v>0</v>
      </c>
      <c r="BF26" s="21">
        <f>IF($E$7="Yes",'Rolled Up Cash Flows'!BG$31,'Rolled Up Cash Flows'!BG$53)</f>
        <v>0</v>
      </c>
      <c r="BG26" s="21">
        <f>IF($E$7="Yes",'Rolled Up Cash Flows'!BH$31,'Rolled Up Cash Flows'!BH$53)</f>
        <v>0</v>
      </c>
      <c r="BH26" s="21">
        <f>IF($E$7="Yes",'Rolled Up Cash Flows'!BI$31,'Rolled Up Cash Flows'!BI$53)</f>
        <v>0</v>
      </c>
      <c r="BI26" s="21">
        <f>IF($E$7="Yes",'Rolled Up Cash Flows'!BJ$31,'Rolled Up Cash Flows'!BJ$53)</f>
        <v>0</v>
      </c>
      <c r="BJ26" s="21">
        <f>IF($E$7="Yes",'Rolled Up Cash Flows'!BK$31,'Rolled Up Cash Flows'!BK$53)</f>
        <v>0</v>
      </c>
      <c r="BK26" s="21">
        <f>IF($E$7="Yes",'Rolled Up Cash Flows'!BL$31,'Rolled Up Cash Flows'!BL$53)</f>
        <v>0</v>
      </c>
      <c r="BL26" s="21">
        <f>IF($E$7="Yes",'Rolled Up Cash Flows'!BM$31,'Rolled Up Cash Flows'!BM$53)</f>
        <v>0</v>
      </c>
      <c r="BM26" s="21">
        <f>IF($E$7="Yes",'Rolled Up Cash Flows'!BN$31,'Rolled Up Cash Flows'!BN$53)</f>
        <v>0</v>
      </c>
      <c r="BN26" s="21">
        <f>IF($E$7="Yes",'Rolled Up Cash Flows'!BO$31,'Rolled Up Cash Flows'!BO$53)</f>
        <v>0</v>
      </c>
      <c r="BO26" s="21">
        <f>IF($E$7="Yes",'Rolled Up Cash Flows'!BP$31,'Rolled Up Cash Flows'!BP$53)</f>
        <v>0</v>
      </c>
      <c r="BP26" s="21">
        <f>IF($E$7="Yes",'Rolled Up Cash Flows'!BQ$31,'Rolled Up Cash Flows'!BQ$53)</f>
        <v>0</v>
      </c>
      <c r="BQ26" s="21">
        <f>IF($E$7="Yes",'Rolled Up Cash Flows'!BR$31,'Rolled Up Cash Flows'!BR$53)</f>
        <v>0</v>
      </c>
      <c r="BR26" s="21">
        <f>IF($E$7="Yes",'Rolled Up Cash Flows'!BS$31,'Rolled Up Cash Flows'!BS$53)</f>
        <v>0</v>
      </c>
      <c r="BS26" s="21">
        <f>IF($E$7="Yes",'Rolled Up Cash Flows'!BT$31,'Rolled Up Cash Flows'!BT$53)</f>
        <v>0</v>
      </c>
      <c r="BT26" s="21">
        <f>IF($E$7="Yes",'Rolled Up Cash Flows'!BU$31,'Rolled Up Cash Flows'!BU$53)</f>
        <v>0</v>
      </c>
      <c r="BU26" s="21">
        <f>IF($E$7="Yes",'Rolled Up Cash Flows'!BV$31,'Rolled Up Cash Flows'!BV$53)</f>
        <v>0</v>
      </c>
      <c r="BV26" s="21">
        <f>IF($E$7="Yes",'Rolled Up Cash Flows'!BW$31,'Rolled Up Cash Flows'!BW$53)</f>
        <v>0</v>
      </c>
      <c r="BW26" s="21">
        <f>IF($E$7="Yes",'Rolled Up Cash Flows'!BX$31,'Rolled Up Cash Flows'!BX$53)</f>
        <v>0</v>
      </c>
      <c r="BX26" s="21">
        <f>IF($E$7="Yes",'Rolled Up Cash Flows'!BY$31,'Rolled Up Cash Flows'!BY$53)</f>
        <v>0</v>
      </c>
      <c r="BY26" s="21">
        <f>IF($E$7="Yes",'Rolled Up Cash Flows'!BZ$31,'Rolled Up Cash Flows'!BZ$53)</f>
        <v>0</v>
      </c>
      <c r="BZ26" s="21">
        <f>IF($E$7="Yes",'Rolled Up Cash Flows'!CA$31,'Rolled Up Cash Flows'!CA$53)</f>
        <v>0</v>
      </c>
      <c r="CA26" s="21">
        <f>IF($E$7="Yes",'Rolled Up Cash Flows'!CB$31,'Rolled Up Cash Flows'!CB$53)</f>
        <v>0</v>
      </c>
      <c r="CB26" s="21">
        <f>IF($E$7="Yes",'Rolled Up Cash Flows'!CC$31,'Rolled Up Cash Flows'!CC$53)</f>
        <v>0</v>
      </c>
      <c r="CC26" s="21">
        <f>IF($E$7="Yes",'Rolled Up Cash Flows'!CD$31,'Rolled Up Cash Flows'!CD$53)</f>
        <v>0</v>
      </c>
      <c r="CD26" s="21">
        <f>IF($E$7="Yes",'Rolled Up Cash Flows'!CE$31,'Rolled Up Cash Flows'!CE$53)</f>
        <v>0</v>
      </c>
      <c r="CE26" s="21">
        <f>IF($E$7="Yes",'Rolled Up Cash Flows'!CF$31,'Rolled Up Cash Flows'!CF$53)</f>
        <v>0</v>
      </c>
      <c r="CF26" s="21">
        <f>IF($E$7="Yes",'Rolled Up Cash Flows'!CG$31,'Rolled Up Cash Flows'!CG$53)</f>
        <v>0</v>
      </c>
      <c r="CG26" s="21">
        <f>IF($E$7="Yes",'Rolled Up Cash Flows'!CH$31,'Rolled Up Cash Flows'!CH$53)</f>
        <v>0</v>
      </c>
      <c r="CH26" s="21">
        <f>IF($E$7="Yes",'Rolled Up Cash Flows'!CI$31,'Rolled Up Cash Flows'!CI$53)</f>
        <v>0</v>
      </c>
      <c r="CI26" s="21">
        <f>IF($E$7="Yes",'Rolled Up Cash Flows'!CJ$31,'Rolled Up Cash Flows'!CJ$53)</f>
        <v>0</v>
      </c>
      <c r="CJ26" s="21">
        <f>IF($E$7="Yes",'Rolled Up Cash Flows'!CK$31,'Rolled Up Cash Flows'!CK$53)</f>
        <v>0</v>
      </c>
      <c r="CK26" s="21">
        <f>IF($E$7="Yes",'Rolled Up Cash Flows'!CL$31,'Rolled Up Cash Flows'!CL$53)</f>
        <v>0</v>
      </c>
      <c r="CL26" s="21">
        <f>IF($E$7="Yes",'Rolled Up Cash Flows'!CM$31,'Rolled Up Cash Flows'!CM$53)</f>
        <v>0</v>
      </c>
      <c r="CM26" s="21">
        <f>IF($E$7="Yes",'Rolled Up Cash Flows'!CN$31,'Rolled Up Cash Flows'!CN$53)</f>
        <v>0</v>
      </c>
      <c r="CN26" s="21">
        <f>IF($E$7="Yes",'Rolled Up Cash Flows'!CO$31,'Rolled Up Cash Flows'!CO$53)</f>
        <v>0</v>
      </c>
      <c r="CO26" s="21">
        <f>IF($E$7="Yes",'Rolled Up Cash Flows'!CP$31,'Rolled Up Cash Flows'!CP$53)</f>
        <v>0</v>
      </c>
      <c r="CP26" s="21">
        <f>IF($E$7="Yes",'Rolled Up Cash Flows'!CQ$31,'Rolled Up Cash Flows'!CQ$53)</f>
        <v>0</v>
      </c>
      <c r="CQ26" s="21">
        <f>IF($E$7="Yes",'Rolled Up Cash Flows'!CR$31,'Rolled Up Cash Flows'!CR$53)</f>
        <v>0</v>
      </c>
      <c r="CR26" s="21">
        <f>IF($E$7="Yes",'Rolled Up Cash Flows'!CS$31,'Rolled Up Cash Flows'!CS$53)</f>
        <v>0</v>
      </c>
      <c r="CS26" s="21">
        <f>IF($E$7="Yes",'Rolled Up Cash Flows'!CT$31,'Rolled Up Cash Flows'!CT$53)</f>
        <v>0</v>
      </c>
      <c r="CT26" s="21">
        <f>IF($E$7="Yes",'Rolled Up Cash Flows'!CU$31,'Rolled Up Cash Flows'!CU$53)</f>
        <v>0</v>
      </c>
      <c r="CU26" s="21">
        <f>IF($E$7="Yes",'Rolled Up Cash Flows'!CV$31,'Rolled Up Cash Flows'!CV$53)</f>
        <v>0</v>
      </c>
      <c r="CV26" s="21">
        <f>IF($E$7="Yes",'Rolled Up Cash Flows'!CW$31,'Rolled Up Cash Flows'!CW$53)</f>
        <v>0</v>
      </c>
      <c r="CW26" s="21">
        <f>IF($E$7="Yes",'Rolled Up Cash Flows'!CX$31,'Rolled Up Cash Flows'!CX$53)</f>
        <v>0</v>
      </c>
      <c r="CX26" s="21">
        <f>IF($E$7="Yes",'Rolled Up Cash Flows'!CY$31,'Rolled Up Cash Flows'!CY$53)</f>
        <v>0</v>
      </c>
      <c r="CY26" s="21">
        <f>IF($E$7="Yes",'Rolled Up Cash Flows'!CZ$31,'Rolled Up Cash Flows'!CZ$53)</f>
        <v>0</v>
      </c>
      <c r="CZ26" s="21">
        <f>IF($E$7="Yes",'Rolled Up Cash Flows'!DA$31,'Rolled Up Cash Flows'!DA$53)</f>
        <v>0</v>
      </c>
      <c r="DA26" s="21">
        <f>IF($E$7="Yes",'Rolled Up Cash Flows'!DB$31,'Rolled Up Cash Flows'!DB$53)</f>
        <v>0</v>
      </c>
      <c r="DB26" s="21">
        <f>IF($E$7="Yes",'Rolled Up Cash Flows'!DC$31,'Rolled Up Cash Flows'!DC$53)</f>
        <v>0</v>
      </c>
      <c r="DC26" s="21">
        <f>IF($E$7="Yes",'Rolled Up Cash Flows'!DD$31,'Rolled Up Cash Flows'!DD$53)</f>
        <v>0</v>
      </c>
      <c r="DD26" s="21">
        <f>IF($E$7="Yes",'Rolled Up Cash Flows'!DE$31,'Rolled Up Cash Flows'!DE$53)</f>
        <v>0</v>
      </c>
      <c r="DE26" s="21">
        <f>IF($E$7="Yes",'Rolled Up Cash Flows'!DF$31,'Rolled Up Cash Flows'!DF$53)</f>
        <v>0</v>
      </c>
      <c r="DF26" s="21">
        <f>IF($E$7="Yes",'Rolled Up Cash Flows'!DG$31,'Rolled Up Cash Flows'!DG$53)</f>
        <v>0</v>
      </c>
      <c r="DG26" s="21">
        <f>IF($E$7="Yes",'Rolled Up Cash Flows'!DH$31,'Rolled Up Cash Flows'!DH$53)</f>
        <v>0</v>
      </c>
      <c r="DH26" s="21">
        <f>IF($E$7="Yes",'Rolled Up Cash Flows'!DI$31,'Rolled Up Cash Flows'!DI$53)</f>
        <v>0</v>
      </c>
      <c r="DI26" s="21">
        <f>IF($E$7="Yes",'Rolled Up Cash Flows'!DJ$31,'Rolled Up Cash Flows'!DJ$53)</f>
        <v>0</v>
      </c>
      <c r="DJ26" s="21">
        <f>IF($E$7="Yes",'Rolled Up Cash Flows'!DK$31,'Rolled Up Cash Flows'!DK$53)</f>
        <v>0</v>
      </c>
      <c r="DK26" s="21">
        <f>IF($E$7="Yes",'Rolled Up Cash Flows'!DL$31,'Rolled Up Cash Flows'!DL$53)</f>
        <v>0</v>
      </c>
      <c r="DL26" s="21">
        <f>IF($E$7="Yes",'Rolled Up Cash Flows'!DM$31,'Rolled Up Cash Flows'!DM$53)</f>
        <v>0</v>
      </c>
      <c r="DM26" s="21">
        <f>IF($E$7="Yes",'Rolled Up Cash Flows'!DN$31,'Rolled Up Cash Flows'!DN$53)</f>
        <v>0</v>
      </c>
      <c r="DN26" s="21">
        <f>IF($E$7="Yes",'Rolled Up Cash Flows'!DO$31,'Rolled Up Cash Flows'!DO$53)</f>
        <v>0</v>
      </c>
      <c r="DO26" s="21">
        <f>IF($E$7="Yes",'Rolled Up Cash Flows'!DP$31,'Rolled Up Cash Flows'!DP$53)</f>
        <v>0</v>
      </c>
      <c r="DP26" s="21">
        <f>IF($E$7="Yes",'Rolled Up Cash Flows'!DQ$31,'Rolled Up Cash Flows'!DQ$53)</f>
        <v>0</v>
      </c>
      <c r="DQ26" s="21">
        <f>IF($E$7="Yes",'Rolled Up Cash Flows'!DR$31,'Rolled Up Cash Flows'!DR$53)</f>
        <v>0</v>
      </c>
      <c r="DR26" s="21">
        <f>IF($E$7="Yes",'Rolled Up Cash Flows'!DS$31,'Rolled Up Cash Flows'!DS$53)</f>
        <v>0</v>
      </c>
      <c r="DS26" s="21">
        <f>IF($E$7="Yes",'Rolled Up Cash Flows'!DT$31,'Rolled Up Cash Flows'!DT$53)</f>
        <v>0</v>
      </c>
      <c r="DT26" s="21">
        <f>IF($E$7="Yes",'Rolled Up Cash Flows'!DU$31,'Rolled Up Cash Flows'!DU$53)</f>
        <v>0</v>
      </c>
    </row>
    <row r="27" spans="2:132" s="3" customFormat="1" ht="22.95" customHeight="1">
      <c r="B27" s="104"/>
    </row>
    <row r="28" spans="2:132" s="3" customFormat="1" ht="22.95" customHeight="1">
      <c r="B28" s="112" t="s">
        <v>75</v>
      </c>
      <c r="C28" s="113" t="s">
        <v>72</v>
      </c>
      <c r="D28" s="114">
        <f>D8</f>
        <v>46568</v>
      </c>
      <c r="E28" s="115">
        <f t="shared" ref="E28:AJ28" si="11">EOMONTH(D28,1)</f>
        <v>46599</v>
      </c>
      <c r="F28" s="115">
        <f t="shared" si="11"/>
        <v>46630</v>
      </c>
      <c r="G28" s="115">
        <f t="shared" si="11"/>
        <v>46660</v>
      </c>
      <c r="H28" s="115">
        <f t="shared" si="11"/>
        <v>46691</v>
      </c>
      <c r="I28" s="115">
        <f t="shared" si="11"/>
        <v>46721</v>
      </c>
      <c r="J28" s="115">
        <f t="shared" si="11"/>
        <v>46752</v>
      </c>
      <c r="K28" s="115">
        <f t="shared" si="11"/>
        <v>46783</v>
      </c>
      <c r="L28" s="115">
        <f t="shared" si="11"/>
        <v>46812</v>
      </c>
      <c r="M28" s="115">
        <f t="shared" si="11"/>
        <v>46843</v>
      </c>
      <c r="N28" s="115">
        <f t="shared" si="11"/>
        <v>46873</v>
      </c>
      <c r="O28" s="115">
        <f t="shared" si="11"/>
        <v>46904</v>
      </c>
      <c r="P28" s="115">
        <f t="shared" si="11"/>
        <v>46934</v>
      </c>
      <c r="Q28" s="115">
        <f t="shared" si="11"/>
        <v>46965</v>
      </c>
      <c r="R28" s="115">
        <f t="shared" si="11"/>
        <v>46996</v>
      </c>
      <c r="S28" s="115">
        <f t="shared" si="11"/>
        <v>47026</v>
      </c>
      <c r="T28" s="115">
        <f t="shared" si="11"/>
        <v>47057</v>
      </c>
      <c r="U28" s="115">
        <f t="shared" si="11"/>
        <v>47087</v>
      </c>
      <c r="V28" s="115">
        <f t="shared" si="11"/>
        <v>47118</v>
      </c>
      <c r="W28" s="115">
        <f t="shared" si="11"/>
        <v>47149</v>
      </c>
      <c r="X28" s="115">
        <f t="shared" si="11"/>
        <v>47177</v>
      </c>
      <c r="Y28" s="115">
        <f t="shared" si="11"/>
        <v>47208</v>
      </c>
      <c r="Z28" s="115">
        <f t="shared" si="11"/>
        <v>47238</v>
      </c>
      <c r="AA28" s="115">
        <f t="shared" si="11"/>
        <v>47269</v>
      </c>
      <c r="AB28" s="115">
        <f t="shared" si="11"/>
        <v>47299</v>
      </c>
      <c r="AC28" s="115">
        <f t="shared" si="11"/>
        <v>47330</v>
      </c>
      <c r="AD28" s="115">
        <f t="shared" si="11"/>
        <v>47361</v>
      </c>
      <c r="AE28" s="115">
        <f t="shared" si="11"/>
        <v>47391</v>
      </c>
      <c r="AF28" s="115">
        <f t="shared" si="11"/>
        <v>47422</v>
      </c>
      <c r="AG28" s="115">
        <f t="shared" si="11"/>
        <v>47452</v>
      </c>
      <c r="AH28" s="115">
        <f t="shared" si="11"/>
        <v>47483</v>
      </c>
      <c r="AI28" s="115">
        <f t="shared" si="11"/>
        <v>47514</v>
      </c>
      <c r="AJ28" s="115">
        <f t="shared" si="11"/>
        <v>47542</v>
      </c>
      <c r="AK28" s="115">
        <f t="shared" ref="AK28:BP28" si="12">EOMONTH(AJ28,1)</f>
        <v>47573</v>
      </c>
      <c r="AL28" s="115">
        <f t="shared" si="12"/>
        <v>47603</v>
      </c>
      <c r="AM28" s="115">
        <f t="shared" si="12"/>
        <v>47634</v>
      </c>
      <c r="AN28" s="115">
        <f t="shared" si="12"/>
        <v>47664</v>
      </c>
      <c r="AO28" s="115">
        <f t="shared" si="12"/>
        <v>47695</v>
      </c>
      <c r="AP28" s="115">
        <f t="shared" si="12"/>
        <v>47726</v>
      </c>
      <c r="AQ28" s="115">
        <f t="shared" si="12"/>
        <v>47756</v>
      </c>
      <c r="AR28" s="115">
        <f t="shared" si="12"/>
        <v>47787</v>
      </c>
      <c r="AS28" s="115">
        <f t="shared" si="12"/>
        <v>47817</v>
      </c>
      <c r="AT28" s="115">
        <f t="shared" si="12"/>
        <v>47848</v>
      </c>
      <c r="AU28" s="115">
        <f t="shared" si="12"/>
        <v>47879</v>
      </c>
      <c r="AV28" s="115">
        <f t="shared" si="12"/>
        <v>47907</v>
      </c>
      <c r="AW28" s="115">
        <f t="shared" si="12"/>
        <v>47938</v>
      </c>
      <c r="AX28" s="115">
        <f t="shared" si="12"/>
        <v>47968</v>
      </c>
      <c r="AY28" s="115">
        <f t="shared" si="12"/>
        <v>47999</v>
      </c>
      <c r="AZ28" s="115">
        <f t="shared" si="12"/>
        <v>48029</v>
      </c>
      <c r="BA28" s="115">
        <f t="shared" si="12"/>
        <v>48060</v>
      </c>
      <c r="BB28" s="115">
        <f t="shared" si="12"/>
        <v>48091</v>
      </c>
      <c r="BC28" s="115">
        <f t="shared" si="12"/>
        <v>48121</v>
      </c>
      <c r="BD28" s="115">
        <f t="shared" si="12"/>
        <v>48152</v>
      </c>
      <c r="BE28" s="115">
        <f t="shared" si="12"/>
        <v>48182</v>
      </c>
      <c r="BF28" s="115">
        <f t="shared" si="12"/>
        <v>48213</v>
      </c>
      <c r="BG28" s="115">
        <f t="shared" si="12"/>
        <v>48244</v>
      </c>
      <c r="BH28" s="115">
        <f t="shared" si="12"/>
        <v>48273</v>
      </c>
      <c r="BI28" s="115">
        <f t="shared" si="12"/>
        <v>48304</v>
      </c>
      <c r="BJ28" s="115">
        <f t="shared" si="12"/>
        <v>48334</v>
      </c>
      <c r="BK28" s="115">
        <f t="shared" si="12"/>
        <v>48365</v>
      </c>
      <c r="BL28" s="115">
        <f t="shared" si="12"/>
        <v>48395</v>
      </c>
      <c r="BM28" s="115">
        <f t="shared" si="12"/>
        <v>48426</v>
      </c>
      <c r="BN28" s="115">
        <f t="shared" si="12"/>
        <v>48457</v>
      </c>
      <c r="BO28" s="115">
        <f t="shared" si="12"/>
        <v>48487</v>
      </c>
      <c r="BP28" s="115">
        <f t="shared" si="12"/>
        <v>48518</v>
      </c>
      <c r="BQ28" s="115">
        <f t="shared" ref="BQ28:CV28" si="13">EOMONTH(BP28,1)</f>
        <v>48548</v>
      </c>
      <c r="BR28" s="115">
        <f t="shared" si="13"/>
        <v>48579</v>
      </c>
      <c r="BS28" s="115">
        <f t="shared" si="13"/>
        <v>48610</v>
      </c>
      <c r="BT28" s="115">
        <f t="shared" si="13"/>
        <v>48638</v>
      </c>
      <c r="BU28" s="115">
        <f t="shared" si="13"/>
        <v>48669</v>
      </c>
      <c r="BV28" s="115">
        <f t="shared" si="13"/>
        <v>48699</v>
      </c>
      <c r="BW28" s="115">
        <f t="shared" si="13"/>
        <v>48730</v>
      </c>
      <c r="BX28" s="115">
        <f t="shared" si="13"/>
        <v>48760</v>
      </c>
      <c r="BY28" s="115">
        <f t="shared" si="13"/>
        <v>48791</v>
      </c>
      <c r="BZ28" s="115">
        <f t="shared" si="13"/>
        <v>48822</v>
      </c>
      <c r="CA28" s="115">
        <f t="shared" si="13"/>
        <v>48852</v>
      </c>
      <c r="CB28" s="115">
        <f t="shared" si="13"/>
        <v>48883</v>
      </c>
      <c r="CC28" s="115">
        <f t="shared" si="13"/>
        <v>48913</v>
      </c>
      <c r="CD28" s="115">
        <f t="shared" si="13"/>
        <v>48944</v>
      </c>
      <c r="CE28" s="115">
        <f t="shared" si="13"/>
        <v>48975</v>
      </c>
      <c r="CF28" s="115">
        <f t="shared" si="13"/>
        <v>49003</v>
      </c>
      <c r="CG28" s="115">
        <f t="shared" si="13"/>
        <v>49034</v>
      </c>
      <c r="CH28" s="115">
        <f t="shared" si="13"/>
        <v>49064</v>
      </c>
      <c r="CI28" s="115">
        <f t="shared" si="13"/>
        <v>49095</v>
      </c>
      <c r="CJ28" s="115">
        <f t="shared" si="13"/>
        <v>49125</v>
      </c>
      <c r="CK28" s="115">
        <f t="shared" si="13"/>
        <v>49156</v>
      </c>
      <c r="CL28" s="115">
        <f t="shared" si="13"/>
        <v>49187</v>
      </c>
      <c r="CM28" s="115">
        <f t="shared" si="13"/>
        <v>49217</v>
      </c>
      <c r="CN28" s="115">
        <f t="shared" si="13"/>
        <v>49248</v>
      </c>
      <c r="CO28" s="115">
        <f t="shared" si="13"/>
        <v>49278</v>
      </c>
      <c r="CP28" s="115">
        <f t="shared" si="13"/>
        <v>49309</v>
      </c>
      <c r="CQ28" s="115">
        <f t="shared" si="13"/>
        <v>49340</v>
      </c>
      <c r="CR28" s="115">
        <f t="shared" si="13"/>
        <v>49368</v>
      </c>
      <c r="CS28" s="115">
        <f t="shared" si="13"/>
        <v>49399</v>
      </c>
      <c r="CT28" s="115">
        <f t="shared" si="13"/>
        <v>49429</v>
      </c>
      <c r="CU28" s="115">
        <f t="shared" si="13"/>
        <v>49460</v>
      </c>
      <c r="CV28" s="115">
        <f t="shared" si="13"/>
        <v>49490</v>
      </c>
      <c r="CW28" s="115">
        <f t="shared" ref="CW28:DT28" si="14">EOMONTH(CV28,1)</f>
        <v>49521</v>
      </c>
      <c r="CX28" s="115">
        <f t="shared" si="14"/>
        <v>49552</v>
      </c>
      <c r="CY28" s="115">
        <f t="shared" si="14"/>
        <v>49582</v>
      </c>
      <c r="CZ28" s="115">
        <f t="shared" si="14"/>
        <v>49613</v>
      </c>
      <c r="DA28" s="115">
        <f t="shared" si="14"/>
        <v>49643</v>
      </c>
      <c r="DB28" s="115">
        <f t="shared" si="14"/>
        <v>49674</v>
      </c>
      <c r="DC28" s="115">
        <f t="shared" si="14"/>
        <v>49705</v>
      </c>
      <c r="DD28" s="115">
        <f t="shared" si="14"/>
        <v>49734</v>
      </c>
      <c r="DE28" s="115">
        <f t="shared" si="14"/>
        <v>49765</v>
      </c>
      <c r="DF28" s="115">
        <f t="shared" si="14"/>
        <v>49795</v>
      </c>
      <c r="DG28" s="115">
        <f t="shared" si="14"/>
        <v>49826</v>
      </c>
      <c r="DH28" s="115">
        <f t="shared" si="14"/>
        <v>49856</v>
      </c>
      <c r="DI28" s="115">
        <f t="shared" si="14"/>
        <v>49887</v>
      </c>
      <c r="DJ28" s="115">
        <f t="shared" si="14"/>
        <v>49918</v>
      </c>
      <c r="DK28" s="115">
        <f t="shared" si="14"/>
        <v>49948</v>
      </c>
      <c r="DL28" s="115">
        <f t="shared" si="14"/>
        <v>49979</v>
      </c>
      <c r="DM28" s="115">
        <f t="shared" si="14"/>
        <v>50009</v>
      </c>
      <c r="DN28" s="115">
        <f t="shared" si="14"/>
        <v>50040</v>
      </c>
      <c r="DO28" s="115">
        <f t="shared" si="14"/>
        <v>50071</v>
      </c>
      <c r="DP28" s="115">
        <f t="shared" si="14"/>
        <v>50099</v>
      </c>
      <c r="DQ28" s="115">
        <f t="shared" si="14"/>
        <v>50130</v>
      </c>
      <c r="DR28" s="115">
        <f t="shared" si="14"/>
        <v>50160</v>
      </c>
      <c r="DS28" s="115">
        <f t="shared" si="14"/>
        <v>50191</v>
      </c>
      <c r="DT28" s="115">
        <f t="shared" si="14"/>
        <v>50221</v>
      </c>
    </row>
    <row r="29" spans="2:132" s="3" customFormat="1" ht="22.95" customHeight="1">
      <c r="B29" s="104" t="s">
        <v>73</v>
      </c>
      <c r="C29" s="22">
        <f>SUM(D29:DT29)</f>
        <v>3393551.9944464052</v>
      </c>
      <c r="D29" s="21">
        <f>IF($E$8="Yes",'Rolled Up Cash Flows'!E$31,'Rolled Up Cash Flows'!E$53)</f>
        <v>46666.666666666664</v>
      </c>
      <c r="E29" s="21">
        <f>IF($E$8="Yes",'Rolled Up Cash Flows'!F$31,'Rolled Up Cash Flows'!F$53)</f>
        <v>-3333.3333333333335</v>
      </c>
      <c r="F29" s="21">
        <f>IF($E$8="Yes",'Rolled Up Cash Flows'!G$31,'Rolled Up Cash Flows'!G$53)</f>
        <v>-3333.3333333333335</v>
      </c>
      <c r="G29" s="21">
        <f>IF($E$8="Yes",'Rolled Up Cash Flows'!H$31,'Rolled Up Cash Flows'!H$53)</f>
        <v>-3333.3333333333335</v>
      </c>
      <c r="H29" s="21">
        <f>IF($E$8="Yes",'Rolled Up Cash Flows'!I$31,'Rolled Up Cash Flows'!I$53)</f>
        <v>-3333.3333333333335</v>
      </c>
      <c r="I29" s="21">
        <f>IF($E$8="Yes",'Rolled Up Cash Flows'!J$31,'Rolled Up Cash Flows'!J$53)</f>
        <v>-3333.3333333333335</v>
      </c>
      <c r="J29" s="21">
        <f>IF($E$8="Yes",'Rolled Up Cash Flows'!K$31,'Rolled Up Cash Flows'!K$53)</f>
        <v>6250</v>
      </c>
      <c r="K29" s="21">
        <f>IF($E$8="Yes",'Rolled Up Cash Flows'!L$31,'Rolled Up Cash Flows'!L$53)</f>
        <v>6250</v>
      </c>
      <c r="L29" s="21">
        <f>IF($E$8="Yes",'Rolled Up Cash Flows'!M$31,'Rolled Up Cash Flows'!M$53)</f>
        <v>6250</v>
      </c>
      <c r="M29" s="21">
        <f>IF($E$8="Yes",'Rolled Up Cash Flows'!N$31,'Rolled Up Cash Flows'!N$53)</f>
        <v>6250</v>
      </c>
      <c r="N29" s="21">
        <f>IF($E$8="Yes",'Rolled Up Cash Flows'!O$31,'Rolled Up Cash Flows'!O$53)</f>
        <v>6250</v>
      </c>
      <c r="O29" s="21">
        <f>IF($E$8="Yes",'Rolled Up Cash Flows'!P$31,'Rolled Up Cash Flows'!P$53)</f>
        <v>6250</v>
      </c>
      <c r="P29" s="21">
        <f>IF($E$8="Yes",'Rolled Up Cash Flows'!Q$31,'Rolled Up Cash Flows'!Q$53)</f>
        <v>6250</v>
      </c>
      <c r="Q29" s="21">
        <f>IF($E$8="Yes",'Rolled Up Cash Flows'!R$31,'Rolled Up Cash Flows'!R$53)</f>
        <v>6250</v>
      </c>
      <c r="R29" s="21">
        <f>IF($E$8="Yes",'Rolled Up Cash Flows'!S$31,'Rolled Up Cash Flows'!S$53)</f>
        <v>6250</v>
      </c>
      <c r="S29" s="21">
        <f>IF($E$8="Yes",'Rolled Up Cash Flows'!T$31,'Rolled Up Cash Flows'!T$53)</f>
        <v>6250</v>
      </c>
      <c r="T29" s="21">
        <f>IF($E$8="Yes",'Rolled Up Cash Flows'!U$31,'Rolled Up Cash Flows'!U$53)</f>
        <v>6250</v>
      </c>
      <c r="U29" s="21">
        <f>IF($E$8="Yes",'Rolled Up Cash Flows'!V$31,'Rolled Up Cash Flows'!V$53)</f>
        <v>6250</v>
      </c>
      <c r="V29" s="21">
        <f>IF($E$8="Yes",'Rolled Up Cash Flows'!W$31,'Rolled Up Cash Flows'!W$53)</f>
        <v>37500</v>
      </c>
      <c r="W29" s="21">
        <f>IF($E$8="Yes",'Rolled Up Cash Flows'!X$31,'Rolled Up Cash Flows'!X$53)</f>
        <v>0</v>
      </c>
      <c r="X29" s="21">
        <f>IF($E$8="Yes",'Rolled Up Cash Flows'!Y$31,'Rolled Up Cash Flows'!Y$53)</f>
        <v>0</v>
      </c>
      <c r="Y29" s="21">
        <f>IF($E$8="Yes",'Rolled Up Cash Flows'!Z$31,'Rolled Up Cash Flows'!Z$53)</f>
        <v>0</v>
      </c>
      <c r="Z29" s="21">
        <f>IF($E$8="Yes",'Rolled Up Cash Flows'!AA$31,'Rolled Up Cash Flows'!AA$53)</f>
        <v>0</v>
      </c>
      <c r="AA29" s="21">
        <f>IF($E$8="Yes",'Rolled Up Cash Flows'!AB$31,'Rolled Up Cash Flows'!AB$53)</f>
        <v>0</v>
      </c>
      <c r="AB29" s="21">
        <f>IF($E$8="Yes",'Rolled Up Cash Flows'!AC$31,'Rolled Up Cash Flows'!AC$53)</f>
        <v>1350000</v>
      </c>
      <c r="AC29" s="21">
        <f>IF($E$8="Yes",'Rolled Up Cash Flows'!AD$31,'Rolled Up Cash Flows'!AD$53)</f>
        <v>0</v>
      </c>
      <c r="AD29" s="21">
        <f>IF($E$8="Yes",'Rolled Up Cash Flows'!AE$31,'Rolled Up Cash Flows'!AE$53)</f>
        <v>0</v>
      </c>
      <c r="AE29" s="21">
        <f>IF($E$8="Yes",'Rolled Up Cash Flows'!AF$31,'Rolled Up Cash Flows'!AF$53)</f>
        <v>9851.3671875</v>
      </c>
      <c r="AF29" s="21">
        <f>IF($E$8="Yes",'Rolled Up Cash Flows'!AG$31,'Rolled Up Cash Flows'!AG$53)</f>
        <v>9851.3671875</v>
      </c>
      <c r="AG29" s="21">
        <f>IF($E$8="Yes",'Rolled Up Cash Flows'!AH$31,'Rolled Up Cash Flows'!AH$53)</f>
        <v>9851.3671875</v>
      </c>
      <c r="AH29" s="21">
        <f>IF($E$8="Yes",'Rolled Up Cash Flows'!AI$31,'Rolled Up Cash Flows'!AI$53)</f>
        <v>9851.3671875</v>
      </c>
      <c r="AI29" s="21">
        <f>IF($E$8="Yes",'Rolled Up Cash Flows'!AJ$31,'Rolled Up Cash Flows'!AJ$53)</f>
        <v>9851.3671875</v>
      </c>
      <c r="AJ29" s="21">
        <f>IF($E$8="Yes",'Rolled Up Cash Flows'!AK$31,'Rolled Up Cash Flows'!AK$53)</f>
        <v>9851.3671875</v>
      </c>
      <c r="AK29" s="21">
        <f>IF($E$8="Yes",'Rolled Up Cash Flows'!AL$31,'Rolled Up Cash Flows'!AL$53)</f>
        <v>9851.3671875</v>
      </c>
      <c r="AL29" s="21">
        <f>IF($E$8="Yes",'Rolled Up Cash Flows'!AM$31,'Rolled Up Cash Flows'!AM$53)</f>
        <v>9851.3671875</v>
      </c>
      <c r="AM29" s="21">
        <f>IF($E$8="Yes",'Rolled Up Cash Flows'!AN$31,'Rolled Up Cash Flows'!AN$53)</f>
        <v>9851.3671875</v>
      </c>
      <c r="AN29" s="21">
        <f>IF($E$8="Yes",'Rolled Up Cash Flows'!AO$31,'Rolled Up Cash Flows'!AO$53)</f>
        <v>9851.3671875</v>
      </c>
      <c r="AO29" s="21">
        <f>IF($E$8="Yes",'Rolled Up Cash Flows'!AP$31,'Rolled Up Cash Flows'!AP$53)</f>
        <v>9851.3671875</v>
      </c>
      <c r="AP29" s="21">
        <f>IF($E$8="Yes",'Rolled Up Cash Flows'!AQ$31,'Rolled Up Cash Flows'!AQ$53)</f>
        <v>9851.3671875</v>
      </c>
      <c r="AQ29" s="21">
        <f>IF($E$8="Yes",'Rolled Up Cash Flows'!AR$31,'Rolled Up Cash Flows'!AR$53)</f>
        <v>9851.3671875</v>
      </c>
      <c r="AR29" s="21">
        <f>IF($E$8="Yes",'Rolled Up Cash Flows'!AS$31,'Rolled Up Cash Flows'!AS$53)</f>
        <v>9851.3671875</v>
      </c>
      <c r="AS29" s="21">
        <f>IF($E$8="Yes",'Rolled Up Cash Flows'!AT$31,'Rolled Up Cash Flows'!AT$53)</f>
        <v>9851.3671875</v>
      </c>
      <c r="AT29" s="21">
        <f>IF($E$8="Yes",'Rolled Up Cash Flows'!AU$31,'Rolled Up Cash Flows'!AU$53)</f>
        <v>9851.3671875</v>
      </c>
      <c r="AU29" s="21">
        <f>IF($E$8="Yes",'Rolled Up Cash Flows'!AV$31,'Rolled Up Cash Flows'!AV$53)</f>
        <v>9851.3671875</v>
      </c>
      <c r="AV29" s="21">
        <f>IF($E$8="Yes",'Rolled Up Cash Flows'!AW$31,'Rolled Up Cash Flows'!AW$53)</f>
        <v>9851.3671875</v>
      </c>
      <c r="AW29" s="21">
        <f>IF($E$8="Yes",'Rolled Up Cash Flows'!AX$31,'Rolled Up Cash Flows'!AX$53)</f>
        <v>21035.69370372003</v>
      </c>
      <c r="AX29" s="21">
        <f>IF($E$8="Yes",'Rolled Up Cash Flows'!AY$31,'Rolled Up Cash Flows'!AY$53)</f>
        <v>21035.69370372003</v>
      </c>
      <c r="AY29" s="21">
        <f>IF($E$8="Yes",'Rolled Up Cash Flows'!AZ$31,'Rolled Up Cash Flows'!AZ$53)</f>
        <v>21035.69370372003</v>
      </c>
      <c r="AZ29" s="21">
        <f>IF($E$8="Yes",'Rolled Up Cash Flows'!BA$31,'Rolled Up Cash Flows'!BA$53)</f>
        <v>21035.69370372003</v>
      </c>
      <c r="BA29" s="21">
        <f>IF($E$8="Yes",'Rolled Up Cash Flows'!BB$31,'Rolled Up Cash Flows'!BB$53)</f>
        <v>21035.69370372003</v>
      </c>
      <c r="BB29" s="21">
        <f>IF($E$8="Yes",'Rolled Up Cash Flows'!BC$31,'Rolled Up Cash Flows'!BC$53)</f>
        <v>21035.69370372003</v>
      </c>
      <c r="BC29" s="21">
        <f>IF($E$8="Yes",'Rolled Up Cash Flows'!BD$31,'Rolled Up Cash Flows'!BD$53)</f>
        <v>447829.27832628123</v>
      </c>
      <c r="BD29" s="21">
        <f>IF($E$8="Yes",'Rolled Up Cash Flows'!BE$31,'Rolled Up Cash Flows'!BE$53)</f>
        <v>68812.176774800188</v>
      </c>
      <c r="BE29" s="21">
        <f>IF($E$8="Yes",'Rolled Up Cash Flows'!BF$31,'Rolled Up Cash Flows'!BF$53)</f>
        <v>70062.176774800188</v>
      </c>
      <c r="BF29" s="21">
        <f>IF($E$8="Yes",'Rolled Up Cash Flows'!BG$31,'Rolled Up Cash Flows'!BG$53)</f>
        <v>71312.176774800188</v>
      </c>
      <c r="BG29" s="21">
        <f>IF($E$8="Yes",'Rolled Up Cash Flows'!BH$31,'Rolled Up Cash Flows'!BH$53)</f>
        <v>72562.176774800188</v>
      </c>
      <c r="BH29" s="21">
        <f>IF($E$8="Yes",'Rolled Up Cash Flows'!BI$31,'Rolled Up Cash Flows'!BI$53)</f>
        <v>73812.176774800188</v>
      </c>
      <c r="BI29" s="21">
        <f>IF($E$8="Yes",'Rolled Up Cash Flows'!BJ$31,'Rolled Up Cash Flows'!BJ$53)</f>
        <v>75062.176774800188</v>
      </c>
      <c r="BJ29" s="21">
        <f>IF($E$8="Yes",'Rolled Up Cash Flows'!BK$31,'Rolled Up Cash Flows'!BK$53)</f>
        <v>76312.176774800188</v>
      </c>
      <c r="BK29" s="21">
        <f>IF($E$8="Yes",'Rolled Up Cash Flows'!BL$31,'Rolled Up Cash Flows'!BL$53)</f>
        <v>77562.176774800188</v>
      </c>
      <c r="BL29" s="21">
        <f>IF($E$8="Yes",'Rolled Up Cash Flows'!BM$31,'Rolled Up Cash Flows'!BM$53)</f>
        <v>78812.176774800188</v>
      </c>
      <c r="BM29" s="21">
        <f>IF($E$8="Yes",'Rolled Up Cash Flows'!BN$31,'Rolled Up Cash Flows'!BN$53)</f>
        <v>80062.176774800188</v>
      </c>
      <c r="BN29" s="21">
        <f>IF($E$8="Yes",'Rolled Up Cash Flows'!BO$31,'Rolled Up Cash Flows'!BO$53)</f>
        <v>81312.176774800188</v>
      </c>
      <c r="BO29" s="21">
        <f>IF($E$8="Yes",'Rolled Up Cash Flows'!BP$31,'Rolled Up Cash Flows'!BP$53)</f>
        <v>6750</v>
      </c>
      <c r="BP29" s="21">
        <f>IF($E$8="Yes",'Rolled Up Cash Flows'!BQ$31,'Rolled Up Cash Flows'!BQ$53)</f>
        <v>6750</v>
      </c>
      <c r="BQ29" s="21">
        <f>IF($E$8="Yes",'Rolled Up Cash Flows'!BR$31,'Rolled Up Cash Flows'!BR$53)</f>
        <v>6750</v>
      </c>
      <c r="BR29" s="21">
        <f>IF($E$8="Yes",'Rolled Up Cash Flows'!BS$31,'Rolled Up Cash Flows'!BS$53)</f>
        <v>6750</v>
      </c>
      <c r="BS29" s="21">
        <f>IF($E$8="Yes",'Rolled Up Cash Flows'!BT$31,'Rolled Up Cash Flows'!BT$53)</f>
        <v>6750</v>
      </c>
      <c r="BT29" s="21">
        <f>IF($E$8="Yes",'Rolled Up Cash Flows'!BU$31,'Rolled Up Cash Flows'!BU$53)</f>
        <v>6750</v>
      </c>
      <c r="BU29" s="21">
        <f>IF($E$8="Yes",'Rolled Up Cash Flows'!BV$31,'Rolled Up Cash Flows'!BV$53)</f>
        <v>6750</v>
      </c>
      <c r="BV29" s="21">
        <f>IF($E$8="Yes",'Rolled Up Cash Flows'!BW$31,'Rolled Up Cash Flows'!BW$53)</f>
        <v>6750</v>
      </c>
      <c r="BW29" s="21">
        <f>IF($E$8="Yes",'Rolled Up Cash Flows'!BX$31,'Rolled Up Cash Flows'!BX$53)</f>
        <v>6750</v>
      </c>
      <c r="BX29" s="21">
        <f>IF($E$8="Yes",'Rolled Up Cash Flows'!BY$31,'Rolled Up Cash Flows'!BY$53)</f>
        <v>6750</v>
      </c>
      <c r="BY29" s="21">
        <f>IF($E$8="Yes",'Rolled Up Cash Flows'!BZ$31,'Rolled Up Cash Flows'!BZ$53)</f>
        <v>6750</v>
      </c>
      <c r="BZ29" s="21">
        <f>IF($E$8="Yes",'Rolled Up Cash Flows'!CA$31,'Rolled Up Cash Flows'!CA$53)</f>
        <v>6750</v>
      </c>
      <c r="CA29" s="21">
        <f>IF($E$8="Yes",'Rolled Up Cash Flows'!CB$31,'Rolled Up Cash Flows'!CB$53)</f>
        <v>6750</v>
      </c>
      <c r="CB29" s="21">
        <f>IF($E$8="Yes",'Rolled Up Cash Flows'!CC$31,'Rolled Up Cash Flows'!CC$53)</f>
        <v>6750</v>
      </c>
      <c r="CC29" s="21">
        <f>IF($E$8="Yes",'Rolled Up Cash Flows'!CD$31,'Rolled Up Cash Flows'!CD$53)</f>
        <v>6750</v>
      </c>
      <c r="CD29" s="21">
        <f>IF($E$8="Yes",'Rolled Up Cash Flows'!CE$31,'Rolled Up Cash Flows'!CE$53)</f>
        <v>6750</v>
      </c>
      <c r="CE29" s="21">
        <f>IF($E$8="Yes",'Rolled Up Cash Flows'!CF$31,'Rolled Up Cash Flows'!CF$53)</f>
        <v>6750</v>
      </c>
      <c r="CF29" s="21">
        <f>IF($E$8="Yes",'Rolled Up Cash Flows'!CG$31,'Rolled Up Cash Flows'!CG$53)</f>
        <v>6750</v>
      </c>
      <c r="CG29" s="21">
        <f>IF($E$8="Yes",'Rolled Up Cash Flows'!CH$31,'Rolled Up Cash Flows'!CH$53)</f>
        <v>6750</v>
      </c>
      <c r="CH29" s="21">
        <f>IF($E$8="Yes",'Rolled Up Cash Flows'!CI$31,'Rolled Up Cash Flows'!CI$53)</f>
        <v>6750</v>
      </c>
      <c r="CI29" s="21">
        <f>IF($E$8="Yes",'Rolled Up Cash Flows'!CJ$31,'Rolled Up Cash Flows'!CJ$53)</f>
        <v>6750</v>
      </c>
      <c r="CJ29" s="21">
        <f>IF($E$8="Yes",'Rolled Up Cash Flows'!CK$31,'Rolled Up Cash Flows'!CK$53)</f>
        <v>6750</v>
      </c>
      <c r="CK29" s="21">
        <f>IF($E$8="Yes",'Rolled Up Cash Flows'!CL$31,'Rolled Up Cash Flows'!CL$53)</f>
        <v>6750</v>
      </c>
      <c r="CL29" s="21">
        <f>IF($E$8="Yes",'Rolled Up Cash Flows'!CM$31,'Rolled Up Cash Flows'!CM$53)</f>
        <v>6750</v>
      </c>
      <c r="CM29" s="21">
        <f>IF($E$8="Yes",'Rolled Up Cash Flows'!CN$31,'Rolled Up Cash Flows'!CN$53)</f>
        <v>6750</v>
      </c>
      <c r="CN29" s="21">
        <f>IF($E$8="Yes",'Rolled Up Cash Flows'!CO$31,'Rolled Up Cash Flows'!CO$53)</f>
        <v>6750</v>
      </c>
      <c r="CO29" s="21">
        <f>IF($E$8="Yes",'Rolled Up Cash Flows'!CP$31,'Rolled Up Cash Flows'!CP$53)</f>
        <v>6750</v>
      </c>
      <c r="CP29" s="21">
        <f>IF($E$8="Yes",'Rolled Up Cash Flows'!CQ$31,'Rolled Up Cash Flows'!CQ$53)</f>
        <v>6750</v>
      </c>
      <c r="CQ29" s="21">
        <f>IF($E$8="Yes",'Rolled Up Cash Flows'!CR$31,'Rolled Up Cash Flows'!CR$53)</f>
        <v>6750</v>
      </c>
      <c r="CR29" s="21">
        <f>IF($E$8="Yes",'Rolled Up Cash Flows'!CS$31,'Rolled Up Cash Flows'!CS$53)</f>
        <v>6750</v>
      </c>
      <c r="CS29" s="21">
        <f>IF($E$8="Yes",'Rolled Up Cash Flows'!CT$31,'Rolled Up Cash Flows'!CT$53)</f>
        <v>6750</v>
      </c>
      <c r="CT29" s="21">
        <f>IF($E$8="Yes",'Rolled Up Cash Flows'!CU$31,'Rolled Up Cash Flows'!CU$53)</f>
        <v>6750</v>
      </c>
      <c r="CU29" s="21">
        <f>IF($E$8="Yes",'Rolled Up Cash Flows'!CV$31,'Rolled Up Cash Flows'!CV$53)</f>
        <v>6750</v>
      </c>
      <c r="CV29" s="21">
        <f>IF($E$8="Yes",'Rolled Up Cash Flows'!CW$31,'Rolled Up Cash Flows'!CW$53)</f>
        <v>6750</v>
      </c>
      <c r="CW29" s="21">
        <f>IF($E$8="Yes",'Rolled Up Cash Flows'!CX$31,'Rolled Up Cash Flows'!CX$53)</f>
        <v>6750</v>
      </c>
      <c r="CX29" s="21">
        <f>IF($E$8="Yes",'Rolled Up Cash Flows'!CY$31,'Rolled Up Cash Flows'!CY$53)</f>
        <v>6750</v>
      </c>
      <c r="CY29" s="21">
        <f>IF($E$8="Yes",'Rolled Up Cash Flows'!CZ$31,'Rolled Up Cash Flows'!CZ$53)</f>
        <v>6750</v>
      </c>
      <c r="CZ29" s="21">
        <f>IF($E$8="Yes",'Rolled Up Cash Flows'!DA$31,'Rolled Up Cash Flows'!DA$53)</f>
        <v>6750</v>
      </c>
      <c r="DA29" s="21">
        <f>IF($E$8="Yes",'Rolled Up Cash Flows'!DB$31,'Rolled Up Cash Flows'!DB$53)</f>
        <v>6750</v>
      </c>
      <c r="DB29" s="21">
        <f>IF($E$8="Yes",'Rolled Up Cash Flows'!DC$31,'Rolled Up Cash Flows'!DC$53)</f>
        <v>6750</v>
      </c>
      <c r="DC29" s="21">
        <f>IF($E$8="Yes",'Rolled Up Cash Flows'!DD$31,'Rolled Up Cash Flows'!DD$53)</f>
        <v>6750</v>
      </c>
      <c r="DD29" s="21">
        <f>IF($E$8="Yes",'Rolled Up Cash Flows'!DE$31,'Rolled Up Cash Flows'!DE$53)</f>
        <v>6750</v>
      </c>
      <c r="DE29" s="21">
        <f>IF($E$8="Yes",'Rolled Up Cash Flows'!DF$31,'Rolled Up Cash Flows'!DF$53)</f>
        <v>6750</v>
      </c>
      <c r="DF29" s="21">
        <f>IF($E$8="Yes",'Rolled Up Cash Flows'!DG$31,'Rolled Up Cash Flows'!DG$53)</f>
        <v>6750</v>
      </c>
      <c r="DG29" s="21">
        <f>IF($E$8="Yes",'Rolled Up Cash Flows'!DH$31,'Rolled Up Cash Flows'!DH$53)</f>
        <v>6750</v>
      </c>
      <c r="DH29" s="21">
        <f>IF($E$8="Yes",'Rolled Up Cash Flows'!DI$31,'Rolled Up Cash Flows'!DI$53)</f>
        <v>6750</v>
      </c>
      <c r="DI29" s="21">
        <f>IF($E$8="Yes",'Rolled Up Cash Flows'!DJ$31,'Rolled Up Cash Flows'!DJ$53)</f>
        <v>6750</v>
      </c>
      <c r="DJ29" s="21">
        <f>IF($E$8="Yes",'Rolled Up Cash Flows'!DK$31,'Rolled Up Cash Flows'!DK$53)</f>
        <v>6750</v>
      </c>
      <c r="DK29" s="21">
        <f>IF($E$8="Yes",'Rolled Up Cash Flows'!DL$31,'Rolled Up Cash Flows'!DL$53)</f>
        <v>0</v>
      </c>
      <c r="DL29" s="21">
        <f>IF($E$8="Yes",'Rolled Up Cash Flows'!DM$31,'Rolled Up Cash Flows'!DM$53)</f>
        <v>0</v>
      </c>
      <c r="DM29" s="21">
        <f>IF($E$8="Yes",'Rolled Up Cash Flows'!DN$31,'Rolled Up Cash Flows'!DN$53)</f>
        <v>0</v>
      </c>
      <c r="DN29" s="21">
        <f>IF($E$8="Yes",'Rolled Up Cash Flows'!DO$31,'Rolled Up Cash Flows'!DO$53)</f>
        <v>0</v>
      </c>
      <c r="DO29" s="21">
        <f>IF($E$8="Yes",'Rolled Up Cash Flows'!DP$31,'Rolled Up Cash Flows'!DP$53)</f>
        <v>0</v>
      </c>
      <c r="DP29" s="21">
        <f>IF($E$8="Yes",'Rolled Up Cash Flows'!DQ$31,'Rolled Up Cash Flows'!DQ$53)</f>
        <v>0</v>
      </c>
      <c r="DQ29" s="21">
        <f>IF($E$8="Yes",'Rolled Up Cash Flows'!DR$31,'Rolled Up Cash Flows'!DR$53)</f>
        <v>0</v>
      </c>
      <c r="DR29" s="21">
        <f>IF($E$8="Yes",'Rolled Up Cash Flows'!DS$31,'Rolled Up Cash Flows'!DS$53)</f>
        <v>0</v>
      </c>
      <c r="DS29" s="21">
        <f>IF($E$8="Yes",'Rolled Up Cash Flows'!DT$31,'Rolled Up Cash Flows'!DT$53)</f>
        <v>0</v>
      </c>
      <c r="DT29" s="21">
        <f>IF($E$8="Yes",'Rolled Up Cash Flows'!DU$31,'Rolled Up Cash Flows'!DU$53)</f>
        <v>0</v>
      </c>
    </row>
    <row r="30" spans="2:132" s="3" customFormat="1" ht="22.95" customHeight="1">
      <c r="B30" s="104"/>
    </row>
    <row r="31" spans="2:132" s="3" customFormat="1" ht="22.95" customHeight="1">
      <c r="B31" s="112" t="s">
        <v>76</v>
      </c>
      <c r="C31" s="113" t="s">
        <v>72</v>
      </c>
      <c r="D31" s="114">
        <f>D9</f>
        <v>46660</v>
      </c>
      <c r="E31" s="115">
        <f t="shared" ref="E31:AJ31" si="15">EOMONTH(D31,1)</f>
        <v>46691</v>
      </c>
      <c r="F31" s="115">
        <f t="shared" si="15"/>
        <v>46721</v>
      </c>
      <c r="G31" s="115">
        <f t="shared" si="15"/>
        <v>46752</v>
      </c>
      <c r="H31" s="115">
        <f t="shared" si="15"/>
        <v>46783</v>
      </c>
      <c r="I31" s="115">
        <f t="shared" si="15"/>
        <v>46812</v>
      </c>
      <c r="J31" s="115">
        <f t="shared" si="15"/>
        <v>46843</v>
      </c>
      <c r="K31" s="115">
        <f t="shared" si="15"/>
        <v>46873</v>
      </c>
      <c r="L31" s="115">
        <f t="shared" si="15"/>
        <v>46904</v>
      </c>
      <c r="M31" s="115">
        <f t="shared" si="15"/>
        <v>46934</v>
      </c>
      <c r="N31" s="115">
        <f t="shared" si="15"/>
        <v>46965</v>
      </c>
      <c r="O31" s="115">
        <f t="shared" si="15"/>
        <v>46996</v>
      </c>
      <c r="P31" s="115">
        <f t="shared" si="15"/>
        <v>47026</v>
      </c>
      <c r="Q31" s="115">
        <f t="shared" si="15"/>
        <v>47057</v>
      </c>
      <c r="R31" s="115">
        <f t="shared" si="15"/>
        <v>47087</v>
      </c>
      <c r="S31" s="115">
        <f t="shared" si="15"/>
        <v>47118</v>
      </c>
      <c r="T31" s="115">
        <f t="shared" si="15"/>
        <v>47149</v>
      </c>
      <c r="U31" s="115">
        <f t="shared" si="15"/>
        <v>47177</v>
      </c>
      <c r="V31" s="115">
        <f t="shared" si="15"/>
        <v>47208</v>
      </c>
      <c r="W31" s="115">
        <f t="shared" si="15"/>
        <v>47238</v>
      </c>
      <c r="X31" s="115">
        <f t="shared" si="15"/>
        <v>47269</v>
      </c>
      <c r="Y31" s="115">
        <f t="shared" si="15"/>
        <v>47299</v>
      </c>
      <c r="Z31" s="115">
        <f t="shared" si="15"/>
        <v>47330</v>
      </c>
      <c r="AA31" s="115">
        <f t="shared" si="15"/>
        <v>47361</v>
      </c>
      <c r="AB31" s="115">
        <f t="shared" si="15"/>
        <v>47391</v>
      </c>
      <c r="AC31" s="115">
        <f t="shared" si="15"/>
        <v>47422</v>
      </c>
      <c r="AD31" s="115">
        <f t="shared" si="15"/>
        <v>47452</v>
      </c>
      <c r="AE31" s="115">
        <f t="shared" si="15"/>
        <v>47483</v>
      </c>
      <c r="AF31" s="115">
        <f t="shared" si="15"/>
        <v>47514</v>
      </c>
      <c r="AG31" s="115">
        <f t="shared" si="15"/>
        <v>47542</v>
      </c>
      <c r="AH31" s="115">
        <f t="shared" si="15"/>
        <v>47573</v>
      </c>
      <c r="AI31" s="115">
        <f t="shared" si="15"/>
        <v>47603</v>
      </c>
      <c r="AJ31" s="115">
        <f t="shared" si="15"/>
        <v>47634</v>
      </c>
      <c r="AK31" s="115">
        <f t="shared" ref="AK31:BP31" si="16">EOMONTH(AJ31,1)</f>
        <v>47664</v>
      </c>
      <c r="AL31" s="115">
        <f t="shared" si="16"/>
        <v>47695</v>
      </c>
      <c r="AM31" s="115">
        <f t="shared" si="16"/>
        <v>47726</v>
      </c>
      <c r="AN31" s="115">
        <f t="shared" si="16"/>
        <v>47756</v>
      </c>
      <c r="AO31" s="115">
        <f t="shared" si="16"/>
        <v>47787</v>
      </c>
      <c r="AP31" s="115">
        <f t="shared" si="16"/>
        <v>47817</v>
      </c>
      <c r="AQ31" s="115">
        <f t="shared" si="16"/>
        <v>47848</v>
      </c>
      <c r="AR31" s="115">
        <f t="shared" si="16"/>
        <v>47879</v>
      </c>
      <c r="AS31" s="115">
        <f t="shared" si="16"/>
        <v>47907</v>
      </c>
      <c r="AT31" s="115">
        <f t="shared" si="16"/>
        <v>47938</v>
      </c>
      <c r="AU31" s="115">
        <f t="shared" si="16"/>
        <v>47968</v>
      </c>
      <c r="AV31" s="115">
        <f t="shared" si="16"/>
        <v>47999</v>
      </c>
      <c r="AW31" s="115">
        <f t="shared" si="16"/>
        <v>48029</v>
      </c>
      <c r="AX31" s="115">
        <f t="shared" si="16"/>
        <v>48060</v>
      </c>
      <c r="AY31" s="115">
        <f t="shared" si="16"/>
        <v>48091</v>
      </c>
      <c r="AZ31" s="115">
        <f t="shared" si="16"/>
        <v>48121</v>
      </c>
      <c r="BA31" s="115">
        <f t="shared" si="16"/>
        <v>48152</v>
      </c>
      <c r="BB31" s="115">
        <f t="shared" si="16"/>
        <v>48182</v>
      </c>
      <c r="BC31" s="115">
        <f t="shared" si="16"/>
        <v>48213</v>
      </c>
      <c r="BD31" s="115">
        <f t="shared" si="16"/>
        <v>48244</v>
      </c>
      <c r="BE31" s="115">
        <f t="shared" si="16"/>
        <v>48273</v>
      </c>
      <c r="BF31" s="115">
        <f t="shared" si="16"/>
        <v>48304</v>
      </c>
      <c r="BG31" s="115">
        <f t="shared" si="16"/>
        <v>48334</v>
      </c>
      <c r="BH31" s="115">
        <f t="shared" si="16"/>
        <v>48365</v>
      </c>
      <c r="BI31" s="115">
        <f t="shared" si="16"/>
        <v>48395</v>
      </c>
      <c r="BJ31" s="115">
        <f t="shared" si="16"/>
        <v>48426</v>
      </c>
      <c r="BK31" s="115">
        <f t="shared" si="16"/>
        <v>48457</v>
      </c>
      <c r="BL31" s="115">
        <f t="shared" si="16"/>
        <v>48487</v>
      </c>
      <c r="BM31" s="115">
        <f t="shared" si="16"/>
        <v>48518</v>
      </c>
      <c r="BN31" s="115">
        <f t="shared" si="16"/>
        <v>48548</v>
      </c>
      <c r="BO31" s="115">
        <f t="shared" si="16"/>
        <v>48579</v>
      </c>
      <c r="BP31" s="115">
        <f t="shared" si="16"/>
        <v>48610</v>
      </c>
      <c r="BQ31" s="115">
        <f t="shared" ref="BQ31:CV31" si="17">EOMONTH(BP31,1)</f>
        <v>48638</v>
      </c>
      <c r="BR31" s="115">
        <f t="shared" si="17"/>
        <v>48669</v>
      </c>
      <c r="BS31" s="115">
        <f t="shared" si="17"/>
        <v>48699</v>
      </c>
      <c r="BT31" s="115">
        <f t="shared" si="17"/>
        <v>48730</v>
      </c>
      <c r="BU31" s="115">
        <f t="shared" si="17"/>
        <v>48760</v>
      </c>
      <c r="BV31" s="115">
        <f t="shared" si="17"/>
        <v>48791</v>
      </c>
      <c r="BW31" s="115">
        <f t="shared" si="17"/>
        <v>48822</v>
      </c>
      <c r="BX31" s="115">
        <f t="shared" si="17"/>
        <v>48852</v>
      </c>
      <c r="BY31" s="115">
        <f t="shared" si="17"/>
        <v>48883</v>
      </c>
      <c r="BZ31" s="115">
        <f t="shared" si="17"/>
        <v>48913</v>
      </c>
      <c r="CA31" s="115">
        <f t="shared" si="17"/>
        <v>48944</v>
      </c>
      <c r="CB31" s="115">
        <f t="shared" si="17"/>
        <v>48975</v>
      </c>
      <c r="CC31" s="115">
        <f t="shared" si="17"/>
        <v>49003</v>
      </c>
      <c r="CD31" s="115">
        <f t="shared" si="17"/>
        <v>49034</v>
      </c>
      <c r="CE31" s="115">
        <f t="shared" si="17"/>
        <v>49064</v>
      </c>
      <c r="CF31" s="115">
        <f t="shared" si="17"/>
        <v>49095</v>
      </c>
      <c r="CG31" s="115">
        <f t="shared" si="17"/>
        <v>49125</v>
      </c>
      <c r="CH31" s="115">
        <f t="shared" si="17"/>
        <v>49156</v>
      </c>
      <c r="CI31" s="115">
        <f t="shared" si="17"/>
        <v>49187</v>
      </c>
      <c r="CJ31" s="115">
        <f t="shared" si="17"/>
        <v>49217</v>
      </c>
      <c r="CK31" s="115">
        <f t="shared" si="17"/>
        <v>49248</v>
      </c>
      <c r="CL31" s="115">
        <f t="shared" si="17"/>
        <v>49278</v>
      </c>
      <c r="CM31" s="115">
        <f t="shared" si="17"/>
        <v>49309</v>
      </c>
      <c r="CN31" s="115">
        <f t="shared" si="17"/>
        <v>49340</v>
      </c>
      <c r="CO31" s="115">
        <f t="shared" si="17"/>
        <v>49368</v>
      </c>
      <c r="CP31" s="115">
        <f t="shared" si="17"/>
        <v>49399</v>
      </c>
      <c r="CQ31" s="115">
        <f t="shared" si="17"/>
        <v>49429</v>
      </c>
      <c r="CR31" s="115">
        <f t="shared" si="17"/>
        <v>49460</v>
      </c>
      <c r="CS31" s="115">
        <f t="shared" si="17"/>
        <v>49490</v>
      </c>
      <c r="CT31" s="115">
        <f t="shared" si="17"/>
        <v>49521</v>
      </c>
      <c r="CU31" s="115">
        <f t="shared" si="17"/>
        <v>49552</v>
      </c>
      <c r="CV31" s="115">
        <f t="shared" si="17"/>
        <v>49582</v>
      </c>
      <c r="CW31" s="115">
        <f t="shared" ref="CW31:DT31" si="18">EOMONTH(CV31,1)</f>
        <v>49613</v>
      </c>
      <c r="CX31" s="115">
        <f t="shared" si="18"/>
        <v>49643</v>
      </c>
      <c r="CY31" s="115">
        <f t="shared" si="18"/>
        <v>49674</v>
      </c>
      <c r="CZ31" s="115">
        <f t="shared" si="18"/>
        <v>49705</v>
      </c>
      <c r="DA31" s="115">
        <f t="shared" si="18"/>
        <v>49734</v>
      </c>
      <c r="DB31" s="115">
        <f t="shared" si="18"/>
        <v>49765</v>
      </c>
      <c r="DC31" s="115">
        <f t="shared" si="18"/>
        <v>49795</v>
      </c>
      <c r="DD31" s="115">
        <f t="shared" si="18"/>
        <v>49826</v>
      </c>
      <c r="DE31" s="115">
        <f t="shared" si="18"/>
        <v>49856</v>
      </c>
      <c r="DF31" s="115">
        <f t="shared" si="18"/>
        <v>49887</v>
      </c>
      <c r="DG31" s="115">
        <f t="shared" si="18"/>
        <v>49918</v>
      </c>
      <c r="DH31" s="115">
        <f t="shared" si="18"/>
        <v>49948</v>
      </c>
      <c r="DI31" s="115">
        <f t="shared" si="18"/>
        <v>49979</v>
      </c>
      <c r="DJ31" s="115">
        <f t="shared" si="18"/>
        <v>50009</v>
      </c>
      <c r="DK31" s="115">
        <f t="shared" si="18"/>
        <v>50040</v>
      </c>
      <c r="DL31" s="115">
        <f t="shared" si="18"/>
        <v>50071</v>
      </c>
      <c r="DM31" s="115">
        <f t="shared" si="18"/>
        <v>50099</v>
      </c>
      <c r="DN31" s="115">
        <f t="shared" si="18"/>
        <v>50130</v>
      </c>
      <c r="DO31" s="115">
        <f t="shared" si="18"/>
        <v>50160</v>
      </c>
      <c r="DP31" s="115">
        <f t="shared" si="18"/>
        <v>50191</v>
      </c>
      <c r="DQ31" s="115">
        <f t="shared" si="18"/>
        <v>50221</v>
      </c>
      <c r="DR31" s="115">
        <f t="shared" si="18"/>
        <v>50252</v>
      </c>
      <c r="DS31" s="115">
        <f t="shared" si="18"/>
        <v>50283</v>
      </c>
      <c r="DT31" s="115">
        <f t="shared" si="18"/>
        <v>50313</v>
      </c>
    </row>
    <row r="32" spans="2:132" s="3" customFormat="1" ht="22.95" customHeight="1">
      <c r="B32" s="104" t="s">
        <v>73</v>
      </c>
      <c r="C32" s="22">
        <f>SUM(D32:DT32)</f>
        <v>104999.99999999999</v>
      </c>
      <c r="D32" s="21">
        <f>IF($E$9="Yes",'Rolled Up Cash Flows'!E$31,'Rolled Up Cash Flows'!E$53)</f>
        <v>46666.666666666664</v>
      </c>
      <c r="E32" s="21">
        <f>IF($E$9="Yes",'Rolled Up Cash Flows'!F$31,'Rolled Up Cash Flows'!F$53)</f>
        <v>-3333.3333333333335</v>
      </c>
      <c r="F32" s="21">
        <f>IF($E$9="Yes",'Rolled Up Cash Flows'!G$31,'Rolled Up Cash Flows'!G$53)</f>
        <v>-3333.3333333333335</v>
      </c>
      <c r="G32" s="21">
        <f>IF($E$9="Yes",'Rolled Up Cash Flows'!H$31,'Rolled Up Cash Flows'!H$53)</f>
        <v>-3333.3333333333335</v>
      </c>
      <c r="H32" s="21">
        <f>IF($E$9="Yes",'Rolled Up Cash Flows'!I$31,'Rolled Up Cash Flows'!I$53)</f>
        <v>-3333.3333333333335</v>
      </c>
      <c r="I32" s="21">
        <f>IF($E$9="Yes",'Rolled Up Cash Flows'!J$31,'Rolled Up Cash Flows'!J$53)</f>
        <v>-3333.3333333333335</v>
      </c>
      <c r="J32" s="21">
        <f>IF($E$9="Yes",'Rolled Up Cash Flows'!K$31,'Rolled Up Cash Flows'!K$53)</f>
        <v>6250</v>
      </c>
      <c r="K32" s="21">
        <f>IF($E$9="Yes",'Rolled Up Cash Flows'!L$31,'Rolled Up Cash Flows'!L$53)</f>
        <v>6250</v>
      </c>
      <c r="L32" s="21">
        <f>IF($E$9="Yes",'Rolled Up Cash Flows'!M$31,'Rolled Up Cash Flows'!M$53)</f>
        <v>6250</v>
      </c>
      <c r="M32" s="21">
        <f>IF($E$9="Yes",'Rolled Up Cash Flows'!N$31,'Rolled Up Cash Flows'!N$53)</f>
        <v>6250</v>
      </c>
      <c r="N32" s="21">
        <f>IF($E$9="Yes",'Rolled Up Cash Flows'!O$31,'Rolled Up Cash Flows'!O$53)</f>
        <v>6250</v>
      </c>
      <c r="O32" s="21">
        <f>IF($E$9="Yes",'Rolled Up Cash Flows'!P$31,'Rolled Up Cash Flows'!P$53)</f>
        <v>6250</v>
      </c>
      <c r="P32" s="21">
        <f>IF($E$9="Yes",'Rolled Up Cash Flows'!Q$31,'Rolled Up Cash Flows'!Q$53)</f>
        <v>6250</v>
      </c>
      <c r="Q32" s="21">
        <f>IF($E$9="Yes",'Rolled Up Cash Flows'!R$31,'Rolled Up Cash Flows'!R$53)</f>
        <v>6250</v>
      </c>
      <c r="R32" s="21">
        <f>IF($E$9="Yes",'Rolled Up Cash Flows'!S$31,'Rolled Up Cash Flows'!S$53)</f>
        <v>6250</v>
      </c>
      <c r="S32" s="21">
        <f>IF($E$9="Yes",'Rolled Up Cash Flows'!T$31,'Rolled Up Cash Flows'!T$53)</f>
        <v>6250</v>
      </c>
      <c r="T32" s="21">
        <f>IF($E$9="Yes",'Rolled Up Cash Flows'!U$31,'Rolled Up Cash Flows'!U$53)</f>
        <v>6250</v>
      </c>
      <c r="U32" s="21">
        <f>IF($E$9="Yes",'Rolled Up Cash Flows'!V$31,'Rolled Up Cash Flows'!V$53)</f>
        <v>6250</v>
      </c>
      <c r="V32" s="21">
        <f>IF($E$9="Yes",'Rolled Up Cash Flows'!W$31,'Rolled Up Cash Flows'!W$53)</f>
        <v>0</v>
      </c>
      <c r="W32" s="21">
        <f>IF($E$9="Yes",'Rolled Up Cash Flows'!X$31,'Rolled Up Cash Flows'!X$53)</f>
        <v>0</v>
      </c>
      <c r="X32" s="21">
        <f>IF($E$9="Yes",'Rolled Up Cash Flows'!Y$31,'Rolled Up Cash Flows'!Y$53)</f>
        <v>0</v>
      </c>
      <c r="Y32" s="21">
        <f>IF($E$9="Yes",'Rolled Up Cash Flows'!Z$31,'Rolled Up Cash Flows'!Z$53)</f>
        <v>0</v>
      </c>
      <c r="Z32" s="21">
        <f>IF($E$9="Yes",'Rolled Up Cash Flows'!AA$31,'Rolled Up Cash Flows'!AA$53)</f>
        <v>0</v>
      </c>
      <c r="AA32" s="21">
        <f>IF($E$9="Yes",'Rolled Up Cash Flows'!AB$31,'Rolled Up Cash Flows'!AB$53)</f>
        <v>0</v>
      </c>
      <c r="AB32" s="21">
        <f>IF($E$9="Yes",'Rolled Up Cash Flows'!AC$31,'Rolled Up Cash Flows'!AC$53)</f>
        <v>0</v>
      </c>
      <c r="AC32" s="21">
        <f>IF($E$9="Yes",'Rolled Up Cash Flows'!AD$31,'Rolled Up Cash Flows'!AD$53)</f>
        <v>0</v>
      </c>
      <c r="AD32" s="21">
        <f>IF($E$9="Yes",'Rolled Up Cash Flows'!AE$31,'Rolled Up Cash Flows'!AE$53)</f>
        <v>0</v>
      </c>
      <c r="AE32" s="21">
        <f>IF($E$9="Yes",'Rolled Up Cash Flows'!AF$31,'Rolled Up Cash Flows'!AF$53)</f>
        <v>0</v>
      </c>
      <c r="AF32" s="21">
        <f>IF($E$9="Yes",'Rolled Up Cash Flows'!AG$31,'Rolled Up Cash Flows'!AG$53)</f>
        <v>0</v>
      </c>
      <c r="AG32" s="21">
        <f>IF($E$9="Yes",'Rolled Up Cash Flows'!AH$31,'Rolled Up Cash Flows'!AH$53)</f>
        <v>0</v>
      </c>
      <c r="AH32" s="21">
        <f>IF($E$9="Yes",'Rolled Up Cash Flows'!AI$31,'Rolled Up Cash Flows'!AI$53)</f>
        <v>0</v>
      </c>
      <c r="AI32" s="21">
        <f>IF($E$9="Yes",'Rolled Up Cash Flows'!AJ$31,'Rolled Up Cash Flows'!AJ$53)</f>
        <v>0</v>
      </c>
      <c r="AJ32" s="21">
        <f>IF($E$9="Yes",'Rolled Up Cash Flows'!AK$31,'Rolled Up Cash Flows'!AK$53)</f>
        <v>0</v>
      </c>
      <c r="AK32" s="21">
        <f>IF($E$9="Yes",'Rolled Up Cash Flows'!AL$31,'Rolled Up Cash Flows'!AL$53)</f>
        <v>0</v>
      </c>
      <c r="AL32" s="21">
        <f>IF($E$9="Yes",'Rolled Up Cash Flows'!AM$31,'Rolled Up Cash Flows'!AM$53)</f>
        <v>0</v>
      </c>
      <c r="AM32" s="21">
        <f>IF($E$9="Yes",'Rolled Up Cash Flows'!AN$31,'Rolled Up Cash Flows'!AN$53)</f>
        <v>0</v>
      </c>
      <c r="AN32" s="21">
        <f>IF($E$9="Yes",'Rolled Up Cash Flows'!AO$31,'Rolled Up Cash Flows'!AO$53)</f>
        <v>0</v>
      </c>
      <c r="AO32" s="21">
        <f>IF($E$9="Yes",'Rolled Up Cash Flows'!AP$31,'Rolled Up Cash Flows'!AP$53)</f>
        <v>0</v>
      </c>
      <c r="AP32" s="21">
        <f>IF($E$9="Yes",'Rolled Up Cash Flows'!AQ$31,'Rolled Up Cash Flows'!AQ$53)</f>
        <v>0</v>
      </c>
      <c r="AQ32" s="21">
        <f>IF($E$9="Yes",'Rolled Up Cash Flows'!AR$31,'Rolled Up Cash Flows'!AR$53)</f>
        <v>0</v>
      </c>
      <c r="AR32" s="21">
        <f>IF($E$9="Yes",'Rolled Up Cash Flows'!AS$31,'Rolled Up Cash Flows'!AS$53)</f>
        <v>0</v>
      </c>
      <c r="AS32" s="21">
        <f>IF($E$9="Yes",'Rolled Up Cash Flows'!AT$31,'Rolled Up Cash Flows'!AT$53)</f>
        <v>0</v>
      </c>
      <c r="AT32" s="21">
        <f>IF($E$9="Yes",'Rolled Up Cash Flows'!AU$31,'Rolled Up Cash Flows'!AU$53)</f>
        <v>0</v>
      </c>
      <c r="AU32" s="21">
        <f>IF($E$9="Yes",'Rolled Up Cash Flows'!AV$31,'Rolled Up Cash Flows'!AV$53)</f>
        <v>0</v>
      </c>
      <c r="AV32" s="21">
        <f>IF($E$9="Yes",'Rolled Up Cash Flows'!AW$31,'Rolled Up Cash Flows'!AW$53)</f>
        <v>0</v>
      </c>
      <c r="AW32" s="21">
        <f>IF($E$9="Yes",'Rolled Up Cash Flows'!AX$31,'Rolled Up Cash Flows'!AX$53)</f>
        <v>0</v>
      </c>
      <c r="AX32" s="21">
        <f>IF($E$9="Yes",'Rolled Up Cash Flows'!AY$31,'Rolled Up Cash Flows'!AY$53)</f>
        <v>0</v>
      </c>
      <c r="AY32" s="21">
        <f>IF($E$9="Yes",'Rolled Up Cash Flows'!AZ$31,'Rolled Up Cash Flows'!AZ$53)</f>
        <v>0</v>
      </c>
      <c r="AZ32" s="21">
        <f>IF($E$9="Yes",'Rolled Up Cash Flows'!BA$31,'Rolled Up Cash Flows'!BA$53)</f>
        <v>0</v>
      </c>
      <c r="BA32" s="21">
        <f>IF($E$9="Yes",'Rolled Up Cash Flows'!BB$31,'Rolled Up Cash Flows'!BB$53)</f>
        <v>0</v>
      </c>
      <c r="BB32" s="21">
        <f>IF($E$9="Yes",'Rolled Up Cash Flows'!BC$31,'Rolled Up Cash Flows'!BC$53)</f>
        <v>0</v>
      </c>
      <c r="BC32" s="21">
        <f>IF($E$9="Yes",'Rolled Up Cash Flows'!BD$31,'Rolled Up Cash Flows'!BD$53)</f>
        <v>0</v>
      </c>
      <c r="BD32" s="21">
        <f>IF($E$9="Yes",'Rolled Up Cash Flows'!BE$31,'Rolled Up Cash Flows'!BE$53)</f>
        <v>0</v>
      </c>
      <c r="BE32" s="21">
        <f>IF($E$9="Yes",'Rolled Up Cash Flows'!BF$31,'Rolled Up Cash Flows'!BF$53)</f>
        <v>0</v>
      </c>
      <c r="BF32" s="21">
        <f>IF($E$9="Yes",'Rolled Up Cash Flows'!BG$31,'Rolled Up Cash Flows'!BG$53)</f>
        <v>0</v>
      </c>
      <c r="BG32" s="21">
        <f>IF($E$9="Yes",'Rolled Up Cash Flows'!BH$31,'Rolled Up Cash Flows'!BH$53)</f>
        <v>0</v>
      </c>
      <c r="BH32" s="21">
        <f>IF($E$9="Yes",'Rolled Up Cash Flows'!BI$31,'Rolled Up Cash Flows'!BI$53)</f>
        <v>0</v>
      </c>
      <c r="BI32" s="21">
        <f>IF($E$9="Yes",'Rolled Up Cash Flows'!BJ$31,'Rolled Up Cash Flows'!BJ$53)</f>
        <v>0</v>
      </c>
      <c r="BJ32" s="21">
        <f>IF($E$9="Yes",'Rolled Up Cash Flows'!BK$31,'Rolled Up Cash Flows'!BK$53)</f>
        <v>0</v>
      </c>
      <c r="BK32" s="21">
        <f>IF($E$9="Yes",'Rolled Up Cash Flows'!BL$31,'Rolled Up Cash Flows'!BL$53)</f>
        <v>0</v>
      </c>
      <c r="BL32" s="21">
        <f>IF($E$9="Yes",'Rolled Up Cash Flows'!BM$31,'Rolled Up Cash Flows'!BM$53)</f>
        <v>0</v>
      </c>
      <c r="BM32" s="21">
        <f>IF($E$9="Yes",'Rolled Up Cash Flows'!BN$31,'Rolled Up Cash Flows'!BN$53)</f>
        <v>0</v>
      </c>
      <c r="BN32" s="21">
        <f>IF($E$9="Yes",'Rolled Up Cash Flows'!BO$31,'Rolled Up Cash Flows'!BO$53)</f>
        <v>0</v>
      </c>
      <c r="BO32" s="21">
        <f>IF($E$9="Yes",'Rolled Up Cash Flows'!BP$31,'Rolled Up Cash Flows'!BP$53)</f>
        <v>0</v>
      </c>
      <c r="BP32" s="21">
        <f>IF($E$9="Yes",'Rolled Up Cash Flows'!BQ$31,'Rolled Up Cash Flows'!BQ$53)</f>
        <v>0</v>
      </c>
      <c r="BQ32" s="21">
        <f>IF($E$9="Yes",'Rolled Up Cash Flows'!BR$31,'Rolled Up Cash Flows'!BR$53)</f>
        <v>0</v>
      </c>
      <c r="BR32" s="21">
        <f>IF($E$9="Yes",'Rolled Up Cash Flows'!BS$31,'Rolled Up Cash Flows'!BS$53)</f>
        <v>0</v>
      </c>
      <c r="BS32" s="21">
        <f>IF($E$9="Yes",'Rolled Up Cash Flows'!BT$31,'Rolled Up Cash Flows'!BT$53)</f>
        <v>0</v>
      </c>
      <c r="BT32" s="21">
        <f>IF($E$9="Yes",'Rolled Up Cash Flows'!BU$31,'Rolled Up Cash Flows'!BU$53)</f>
        <v>0</v>
      </c>
      <c r="BU32" s="21">
        <f>IF($E$9="Yes",'Rolled Up Cash Flows'!BV$31,'Rolled Up Cash Flows'!BV$53)</f>
        <v>0</v>
      </c>
      <c r="BV32" s="21">
        <f>IF($E$9="Yes",'Rolled Up Cash Flows'!BW$31,'Rolled Up Cash Flows'!BW$53)</f>
        <v>0</v>
      </c>
      <c r="BW32" s="21">
        <f>IF($E$9="Yes",'Rolled Up Cash Flows'!BX$31,'Rolled Up Cash Flows'!BX$53)</f>
        <v>0</v>
      </c>
      <c r="BX32" s="21">
        <f>IF($E$9="Yes",'Rolled Up Cash Flows'!BY$31,'Rolled Up Cash Flows'!BY$53)</f>
        <v>0</v>
      </c>
      <c r="BY32" s="21">
        <f>IF($E$9="Yes",'Rolled Up Cash Flows'!BZ$31,'Rolled Up Cash Flows'!BZ$53)</f>
        <v>0</v>
      </c>
      <c r="BZ32" s="21">
        <f>IF($E$9="Yes",'Rolled Up Cash Flows'!CA$31,'Rolled Up Cash Flows'!CA$53)</f>
        <v>0</v>
      </c>
      <c r="CA32" s="21">
        <f>IF($E$9="Yes",'Rolled Up Cash Flows'!CB$31,'Rolled Up Cash Flows'!CB$53)</f>
        <v>0</v>
      </c>
      <c r="CB32" s="21">
        <f>IF($E$9="Yes",'Rolled Up Cash Flows'!CC$31,'Rolled Up Cash Flows'!CC$53)</f>
        <v>0</v>
      </c>
      <c r="CC32" s="21">
        <f>IF($E$9="Yes",'Rolled Up Cash Flows'!CD$31,'Rolled Up Cash Flows'!CD$53)</f>
        <v>0</v>
      </c>
      <c r="CD32" s="21">
        <f>IF($E$9="Yes",'Rolled Up Cash Flows'!CE$31,'Rolled Up Cash Flows'!CE$53)</f>
        <v>0</v>
      </c>
      <c r="CE32" s="21">
        <f>IF($E$9="Yes",'Rolled Up Cash Flows'!CF$31,'Rolled Up Cash Flows'!CF$53)</f>
        <v>0</v>
      </c>
      <c r="CF32" s="21">
        <f>IF($E$9="Yes",'Rolled Up Cash Flows'!CG$31,'Rolled Up Cash Flows'!CG$53)</f>
        <v>0</v>
      </c>
      <c r="CG32" s="21">
        <f>IF($E$9="Yes",'Rolled Up Cash Flows'!CH$31,'Rolled Up Cash Flows'!CH$53)</f>
        <v>0</v>
      </c>
      <c r="CH32" s="21">
        <f>IF($E$9="Yes",'Rolled Up Cash Flows'!CI$31,'Rolled Up Cash Flows'!CI$53)</f>
        <v>0</v>
      </c>
      <c r="CI32" s="21">
        <f>IF($E$9="Yes",'Rolled Up Cash Flows'!CJ$31,'Rolled Up Cash Flows'!CJ$53)</f>
        <v>0</v>
      </c>
      <c r="CJ32" s="21">
        <f>IF($E$9="Yes",'Rolled Up Cash Flows'!CK$31,'Rolled Up Cash Flows'!CK$53)</f>
        <v>0</v>
      </c>
      <c r="CK32" s="21">
        <f>IF($E$9="Yes",'Rolled Up Cash Flows'!CL$31,'Rolled Up Cash Flows'!CL$53)</f>
        <v>0</v>
      </c>
      <c r="CL32" s="21">
        <f>IF($E$9="Yes",'Rolled Up Cash Flows'!CM$31,'Rolled Up Cash Flows'!CM$53)</f>
        <v>0</v>
      </c>
      <c r="CM32" s="21">
        <f>IF($E$9="Yes",'Rolled Up Cash Flows'!CN$31,'Rolled Up Cash Flows'!CN$53)</f>
        <v>0</v>
      </c>
      <c r="CN32" s="21">
        <f>IF($E$9="Yes",'Rolled Up Cash Flows'!CO$31,'Rolled Up Cash Flows'!CO$53)</f>
        <v>0</v>
      </c>
      <c r="CO32" s="21">
        <f>IF($E$9="Yes",'Rolled Up Cash Flows'!CP$31,'Rolled Up Cash Flows'!CP$53)</f>
        <v>0</v>
      </c>
      <c r="CP32" s="21">
        <f>IF($E$9="Yes",'Rolled Up Cash Flows'!CQ$31,'Rolled Up Cash Flows'!CQ$53)</f>
        <v>0</v>
      </c>
      <c r="CQ32" s="21">
        <f>IF($E$9="Yes",'Rolled Up Cash Flows'!CR$31,'Rolled Up Cash Flows'!CR$53)</f>
        <v>0</v>
      </c>
      <c r="CR32" s="21">
        <f>IF($E$9="Yes",'Rolled Up Cash Flows'!CS$31,'Rolled Up Cash Flows'!CS$53)</f>
        <v>0</v>
      </c>
      <c r="CS32" s="21">
        <f>IF($E$9="Yes",'Rolled Up Cash Flows'!CT$31,'Rolled Up Cash Flows'!CT$53)</f>
        <v>0</v>
      </c>
      <c r="CT32" s="21">
        <f>IF($E$9="Yes",'Rolled Up Cash Flows'!CU$31,'Rolled Up Cash Flows'!CU$53)</f>
        <v>0</v>
      </c>
      <c r="CU32" s="21">
        <f>IF($E$9="Yes",'Rolled Up Cash Flows'!CV$31,'Rolled Up Cash Flows'!CV$53)</f>
        <v>0</v>
      </c>
      <c r="CV32" s="21">
        <f>IF($E$9="Yes",'Rolled Up Cash Flows'!CW$31,'Rolled Up Cash Flows'!CW$53)</f>
        <v>0</v>
      </c>
      <c r="CW32" s="21">
        <f>IF($E$9="Yes",'Rolled Up Cash Flows'!CX$31,'Rolled Up Cash Flows'!CX$53)</f>
        <v>0</v>
      </c>
      <c r="CX32" s="21">
        <f>IF($E$9="Yes",'Rolled Up Cash Flows'!CY$31,'Rolled Up Cash Flows'!CY$53)</f>
        <v>0</v>
      </c>
      <c r="CY32" s="21">
        <f>IF($E$9="Yes",'Rolled Up Cash Flows'!CZ$31,'Rolled Up Cash Flows'!CZ$53)</f>
        <v>0</v>
      </c>
      <c r="CZ32" s="21">
        <f>IF($E$9="Yes",'Rolled Up Cash Flows'!DA$31,'Rolled Up Cash Flows'!DA$53)</f>
        <v>0</v>
      </c>
      <c r="DA32" s="21">
        <f>IF($E$9="Yes",'Rolled Up Cash Flows'!DB$31,'Rolled Up Cash Flows'!DB$53)</f>
        <v>0</v>
      </c>
      <c r="DB32" s="21">
        <f>IF($E$9="Yes",'Rolled Up Cash Flows'!DC$31,'Rolled Up Cash Flows'!DC$53)</f>
        <v>0</v>
      </c>
      <c r="DC32" s="21">
        <f>IF($E$9="Yes",'Rolled Up Cash Flows'!DD$31,'Rolled Up Cash Flows'!DD$53)</f>
        <v>0</v>
      </c>
      <c r="DD32" s="21">
        <f>IF($E$9="Yes",'Rolled Up Cash Flows'!DE$31,'Rolled Up Cash Flows'!DE$53)</f>
        <v>0</v>
      </c>
      <c r="DE32" s="21">
        <f>IF($E$9="Yes",'Rolled Up Cash Flows'!DF$31,'Rolled Up Cash Flows'!DF$53)</f>
        <v>0</v>
      </c>
      <c r="DF32" s="21">
        <f>IF($E$9="Yes",'Rolled Up Cash Flows'!DG$31,'Rolled Up Cash Flows'!DG$53)</f>
        <v>0</v>
      </c>
      <c r="DG32" s="21">
        <f>IF($E$9="Yes",'Rolled Up Cash Flows'!DH$31,'Rolled Up Cash Flows'!DH$53)</f>
        <v>0</v>
      </c>
      <c r="DH32" s="21">
        <f>IF($E$9="Yes",'Rolled Up Cash Flows'!DI$31,'Rolled Up Cash Flows'!DI$53)</f>
        <v>0</v>
      </c>
      <c r="DI32" s="21">
        <f>IF($E$9="Yes",'Rolled Up Cash Flows'!DJ$31,'Rolled Up Cash Flows'!DJ$53)</f>
        <v>0</v>
      </c>
      <c r="DJ32" s="21">
        <f>IF($E$9="Yes",'Rolled Up Cash Flows'!DK$31,'Rolled Up Cash Flows'!DK$53)</f>
        <v>0</v>
      </c>
      <c r="DK32" s="21">
        <f>IF($E$9="Yes",'Rolled Up Cash Flows'!DL$31,'Rolled Up Cash Flows'!DL$53)</f>
        <v>0</v>
      </c>
      <c r="DL32" s="21">
        <f>IF($E$9="Yes",'Rolled Up Cash Flows'!DM$31,'Rolled Up Cash Flows'!DM$53)</f>
        <v>0</v>
      </c>
      <c r="DM32" s="21">
        <f>IF($E$9="Yes",'Rolled Up Cash Flows'!DN$31,'Rolled Up Cash Flows'!DN$53)</f>
        <v>0</v>
      </c>
      <c r="DN32" s="21">
        <f>IF($E$9="Yes",'Rolled Up Cash Flows'!DO$31,'Rolled Up Cash Flows'!DO$53)</f>
        <v>0</v>
      </c>
      <c r="DO32" s="21">
        <f>IF($E$9="Yes",'Rolled Up Cash Flows'!DP$31,'Rolled Up Cash Flows'!DP$53)</f>
        <v>0</v>
      </c>
      <c r="DP32" s="21">
        <f>IF($E$9="Yes",'Rolled Up Cash Flows'!DQ$31,'Rolled Up Cash Flows'!DQ$53)</f>
        <v>0</v>
      </c>
      <c r="DQ32" s="21">
        <f>IF($E$9="Yes",'Rolled Up Cash Flows'!DR$31,'Rolled Up Cash Flows'!DR$53)</f>
        <v>0</v>
      </c>
      <c r="DR32" s="21">
        <f>IF($E$9="Yes",'Rolled Up Cash Flows'!DS$31,'Rolled Up Cash Flows'!DS$53)</f>
        <v>0</v>
      </c>
      <c r="DS32" s="21">
        <f>IF($E$9="Yes",'Rolled Up Cash Flows'!DT$31,'Rolled Up Cash Flows'!DT$53)</f>
        <v>0</v>
      </c>
      <c r="DT32" s="21">
        <f>IF($E$9="Yes",'Rolled Up Cash Flows'!DU$31,'Rolled Up Cash Flows'!DU$53)</f>
        <v>0</v>
      </c>
    </row>
    <row r="33" spans="2:124" s="3" customFormat="1" ht="22.95" customHeight="1"/>
    <row r="34" spans="2:124" s="3" customFormat="1" ht="22.95" customHeight="1">
      <c r="B34" s="112" t="s">
        <v>77</v>
      </c>
      <c r="C34" s="113" t="s">
        <v>72</v>
      </c>
      <c r="D34" s="114">
        <f>D10</f>
        <v>46752</v>
      </c>
      <c r="E34" s="115">
        <f t="shared" ref="E34:AJ34" si="19">EOMONTH(D34,1)</f>
        <v>46783</v>
      </c>
      <c r="F34" s="115">
        <f t="shared" si="19"/>
        <v>46812</v>
      </c>
      <c r="G34" s="115">
        <f t="shared" si="19"/>
        <v>46843</v>
      </c>
      <c r="H34" s="115">
        <f t="shared" si="19"/>
        <v>46873</v>
      </c>
      <c r="I34" s="115">
        <f t="shared" si="19"/>
        <v>46904</v>
      </c>
      <c r="J34" s="115">
        <f t="shared" si="19"/>
        <v>46934</v>
      </c>
      <c r="K34" s="115">
        <f t="shared" si="19"/>
        <v>46965</v>
      </c>
      <c r="L34" s="115">
        <f t="shared" si="19"/>
        <v>46996</v>
      </c>
      <c r="M34" s="115">
        <f t="shared" si="19"/>
        <v>47026</v>
      </c>
      <c r="N34" s="115">
        <f t="shared" si="19"/>
        <v>47057</v>
      </c>
      <c r="O34" s="115">
        <f t="shared" si="19"/>
        <v>47087</v>
      </c>
      <c r="P34" s="115">
        <f t="shared" si="19"/>
        <v>47118</v>
      </c>
      <c r="Q34" s="115">
        <f t="shared" si="19"/>
        <v>47149</v>
      </c>
      <c r="R34" s="115">
        <f t="shared" si="19"/>
        <v>47177</v>
      </c>
      <c r="S34" s="115">
        <f t="shared" si="19"/>
        <v>47208</v>
      </c>
      <c r="T34" s="115">
        <f t="shared" si="19"/>
        <v>47238</v>
      </c>
      <c r="U34" s="115">
        <f t="shared" si="19"/>
        <v>47269</v>
      </c>
      <c r="V34" s="115">
        <f t="shared" si="19"/>
        <v>47299</v>
      </c>
      <c r="W34" s="115">
        <f t="shared" si="19"/>
        <v>47330</v>
      </c>
      <c r="X34" s="115">
        <f t="shared" si="19"/>
        <v>47361</v>
      </c>
      <c r="Y34" s="115">
        <f t="shared" si="19"/>
        <v>47391</v>
      </c>
      <c r="Z34" s="115">
        <f t="shared" si="19"/>
        <v>47422</v>
      </c>
      <c r="AA34" s="115">
        <f t="shared" si="19"/>
        <v>47452</v>
      </c>
      <c r="AB34" s="115">
        <f t="shared" si="19"/>
        <v>47483</v>
      </c>
      <c r="AC34" s="115">
        <f t="shared" si="19"/>
        <v>47514</v>
      </c>
      <c r="AD34" s="115">
        <f t="shared" si="19"/>
        <v>47542</v>
      </c>
      <c r="AE34" s="115">
        <f t="shared" si="19"/>
        <v>47573</v>
      </c>
      <c r="AF34" s="115">
        <f t="shared" si="19"/>
        <v>47603</v>
      </c>
      <c r="AG34" s="115">
        <f t="shared" si="19"/>
        <v>47634</v>
      </c>
      <c r="AH34" s="115">
        <f t="shared" si="19"/>
        <v>47664</v>
      </c>
      <c r="AI34" s="115">
        <f t="shared" si="19"/>
        <v>47695</v>
      </c>
      <c r="AJ34" s="115">
        <f t="shared" si="19"/>
        <v>47726</v>
      </c>
      <c r="AK34" s="115">
        <f t="shared" ref="AK34:BP34" si="20">EOMONTH(AJ34,1)</f>
        <v>47756</v>
      </c>
      <c r="AL34" s="115">
        <f t="shared" si="20"/>
        <v>47787</v>
      </c>
      <c r="AM34" s="115">
        <f t="shared" si="20"/>
        <v>47817</v>
      </c>
      <c r="AN34" s="115">
        <f t="shared" si="20"/>
        <v>47848</v>
      </c>
      <c r="AO34" s="115">
        <f t="shared" si="20"/>
        <v>47879</v>
      </c>
      <c r="AP34" s="115">
        <f t="shared" si="20"/>
        <v>47907</v>
      </c>
      <c r="AQ34" s="115">
        <f t="shared" si="20"/>
        <v>47938</v>
      </c>
      <c r="AR34" s="115">
        <f t="shared" si="20"/>
        <v>47968</v>
      </c>
      <c r="AS34" s="115">
        <f t="shared" si="20"/>
        <v>47999</v>
      </c>
      <c r="AT34" s="115">
        <f t="shared" si="20"/>
        <v>48029</v>
      </c>
      <c r="AU34" s="115">
        <f t="shared" si="20"/>
        <v>48060</v>
      </c>
      <c r="AV34" s="115">
        <f t="shared" si="20"/>
        <v>48091</v>
      </c>
      <c r="AW34" s="115">
        <f t="shared" si="20"/>
        <v>48121</v>
      </c>
      <c r="AX34" s="115">
        <f t="shared" si="20"/>
        <v>48152</v>
      </c>
      <c r="AY34" s="115">
        <f t="shared" si="20"/>
        <v>48182</v>
      </c>
      <c r="AZ34" s="115">
        <f t="shared" si="20"/>
        <v>48213</v>
      </c>
      <c r="BA34" s="115">
        <f t="shared" si="20"/>
        <v>48244</v>
      </c>
      <c r="BB34" s="115">
        <f t="shared" si="20"/>
        <v>48273</v>
      </c>
      <c r="BC34" s="115">
        <f t="shared" si="20"/>
        <v>48304</v>
      </c>
      <c r="BD34" s="115">
        <f t="shared" si="20"/>
        <v>48334</v>
      </c>
      <c r="BE34" s="115">
        <f t="shared" si="20"/>
        <v>48365</v>
      </c>
      <c r="BF34" s="115">
        <f t="shared" si="20"/>
        <v>48395</v>
      </c>
      <c r="BG34" s="115">
        <f t="shared" si="20"/>
        <v>48426</v>
      </c>
      <c r="BH34" s="115">
        <f t="shared" si="20"/>
        <v>48457</v>
      </c>
      <c r="BI34" s="115">
        <f t="shared" si="20"/>
        <v>48487</v>
      </c>
      <c r="BJ34" s="115">
        <f t="shared" si="20"/>
        <v>48518</v>
      </c>
      <c r="BK34" s="115">
        <f t="shared" si="20"/>
        <v>48548</v>
      </c>
      <c r="BL34" s="115">
        <f t="shared" si="20"/>
        <v>48579</v>
      </c>
      <c r="BM34" s="115">
        <f t="shared" si="20"/>
        <v>48610</v>
      </c>
      <c r="BN34" s="115">
        <f t="shared" si="20"/>
        <v>48638</v>
      </c>
      <c r="BO34" s="115">
        <f t="shared" si="20"/>
        <v>48669</v>
      </c>
      <c r="BP34" s="115">
        <f t="shared" si="20"/>
        <v>48699</v>
      </c>
      <c r="BQ34" s="115">
        <f t="shared" ref="BQ34:CV34" si="21">EOMONTH(BP34,1)</f>
        <v>48730</v>
      </c>
      <c r="BR34" s="115">
        <f t="shared" si="21"/>
        <v>48760</v>
      </c>
      <c r="BS34" s="115">
        <f t="shared" si="21"/>
        <v>48791</v>
      </c>
      <c r="BT34" s="115">
        <f t="shared" si="21"/>
        <v>48822</v>
      </c>
      <c r="BU34" s="115">
        <f t="shared" si="21"/>
        <v>48852</v>
      </c>
      <c r="BV34" s="115">
        <f t="shared" si="21"/>
        <v>48883</v>
      </c>
      <c r="BW34" s="115">
        <f t="shared" si="21"/>
        <v>48913</v>
      </c>
      <c r="BX34" s="115">
        <f t="shared" si="21"/>
        <v>48944</v>
      </c>
      <c r="BY34" s="115">
        <f t="shared" si="21"/>
        <v>48975</v>
      </c>
      <c r="BZ34" s="115">
        <f t="shared" si="21"/>
        <v>49003</v>
      </c>
      <c r="CA34" s="115">
        <f t="shared" si="21"/>
        <v>49034</v>
      </c>
      <c r="CB34" s="115">
        <f t="shared" si="21"/>
        <v>49064</v>
      </c>
      <c r="CC34" s="115">
        <f t="shared" si="21"/>
        <v>49095</v>
      </c>
      <c r="CD34" s="115">
        <f t="shared" si="21"/>
        <v>49125</v>
      </c>
      <c r="CE34" s="115">
        <f t="shared" si="21"/>
        <v>49156</v>
      </c>
      <c r="CF34" s="115">
        <f t="shared" si="21"/>
        <v>49187</v>
      </c>
      <c r="CG34" s="115">
        <f t="shared" si="21"/>
        <v>49217</v>
      </c>
      <c r="CH34" s="115">
        <f t="shared" si="21"/>
        <v>49248</v>
      </c>
      <c r="CI34" s="115">
        <f t="shared" si="21"/>
        <v>49278</v>
      </c>
      <c r="CJ34" s="115">
        <f t="shared" si="21"/>
        <v>49309</v>
      </c>
      <c r="CK34" s="115">
        <f t="shared" si="21"/>
        <v>49340</v>
      </c>
      <c r="CL34" s="115">
        <f t="shared" si="21"/>
        <v>49368</v>
      </c>
      <c r="CM34" s="115">
        <f t="shared" si="21"/>
        <v>49399</v>
      </c>
      <c r="CN34" s="115">
        <f t="shared" si="21"/>
        <v>49429</v>
      </c>
      <c r="CO34" s="115">
        <f t="shared" si="21"/>
        <v>49460</v>
      </c>
      <c r="CP34" s="115">
        <f t="shared" si="21"/>
        <v>49490</v>
      </c>
      <c r="CQ34" s="115">
        <f t="shared" si="21"/>
        <v>49521</v>
      </c>
      <c r="CR34" s="115">
        <f t="shared" si="21"/>
        <v>49552</v>
      </c>
      <c r="CS34" s="115">
        <f t="shared" si="21"/>
        <v>49582</v>
      </c>
      <c r="CT34" s="115">
        <f t="shared" si="21"/>
        <v>49613</v>
      </c>
      <c r="CU34" s="115">
        <f t="shared" si="21"/>
        <v>49643</v>
      </c>
      <c r="CV34" s="115">
        <f t="shared" si="21"/>
        <v>49674</v>
      </c>
      <c r="CW34" s="115">
        <f t="shared" ref="CW34:DT34" si="22">EOMONTH(CV34,1)</f>
        <v>49705</v>
      </c>
      <c r="CX34" s="115">
        <f t="shared" si="22"/>
        <v>49734</v>
      </c>
      <c r="CY34" s="115">
        <f t="shared" si="22"/>
        <v>49765</v>
      </c>
      <c r="CZ34" s="115">
        <f t="shared" si="22"/>
        <v>49795</v>
      </c>
      <c r="DA34" s="115">
        <f t="shared" si="22"/>
        <v>49826</v>
      </c>
      <c r="DB34" s="115">
        <f t="shared" si="22"/>
        <v>49856</v>
      </c>
      <c r="DC34" s="115">
        <f t="shared" si="22"/>
        <v>49887</v>
      </c>
      <c r="DD34" s="115">
        <f t="shared" si="22"/>
        <v>49918</v>
      </c>
      <c r="DE34" s="115">
        <f t="shared" si="22"/>
        <v>49948</v>
      </c>
      <c r="DF34" s="115">
        <f t="shared" si="22"/>
        <v>49979</v>
      </c>
      <c r="DG34" s="115">
        <f t="shared" si="22"/>
        <v>50009</v>
      </c>
      <c r="DH34" s="115">
        <f t="shared" si="22"/>
        <v>50040</v>
      </c>
      <c r="DI34" s="115">
        <f t="shared" si="22"/>
        <v>50071</v>
      </c>
      <c r="DJ34" s="115">
        <f t="shared" si="22"/>
        <v>50099</v>
      </c>
      <c r="DK34" s="115">
        <f t="shared" si="22"/>
        <v>50130</v>
      </c>
      <c r="DL34" s="115">
        <f t="shared" si="22"/>
        <v>50160</v>
      </c>
      <c r="DM34" s="115">
        <f t="shared" si="22"/>
        <v>50191</v>
      </c>
      <c r="DN34" s="115">
        <f t="shared" si="22"/>
        <v>50221</v>
      </c>
      <c r="DO34" s="115">
        <f t="shared" si="22"/>
        <v>50252</v>
      </c>
      <c r="DP34" s="115">
        <f t="shared" si="22"/>
        <v>50283</v>
      </c>
      <c r="DQ34" s="115">
        <f t="shared" si="22"/>
        <v>50313</v>
      </c>
      <c r="DR34" s="115">
        <f t="shared" si="22"/>
        <v>50344</v>
      </c>
      <c r="DS34" s="115">
        <f t="shared" si="22"/>
        <v>50374</v>
      </c>
      <c r="DT34" s="115">
        <f t="shared" si="22"/>
        <v>50405</v>
      </c>
    </row>
    <row r="35" spans="2:124" s="3" customFormat="1" ht="22.95" customHeight="1">
      <c r="B35" s="104" t="s">
        <v>73</v>
      </c>
      <c r="C35" s="22">
        <f>SUM(D35:DT35)</f>
        <v>3393551.9944464052</v>
      </c>
      <c r="D35" s="21">
        <f>IF($E$10="Yes",'Rolled Up Cash Flows'!E$31,'Rolled Up Cash Flows'!E$53)</f>
        <v>46666.666666666664</v>
      </c>
      <c r="E35" s="21">
        <f>IF($E$10="Yes",'Rolled Up Cash Flows'!F$31,'Rolled Up Cash Flows'!F$53)</f>
        <v>-3333.3333333333335</v>
      </c>
      <c r="F35" s="21">
        <f>IF($E$10="Yes",'Rolled Up Cash Flows'!G$31,'Rolled Up Cash Flows'!G$53)</f>
        <v>-3333.3333333333335</v>
      </c>
      <c r="G35" s="21">
        <f>IF($E$10="Yes",'Rolled Up Cash Flows'!H$31,'Rolled Up Cash Flows'!H$53)</f>
        <v>-3333.3333333333335</v>
      </c>
      <c r="H35" s="21">
        <f>IF($E$10="Yes",'Rolled Up Cash Flows'!I$31,'Rolled Up Cash Flows'!I$53)</f>
        <v>-3333.3333333333335</v>
      </c>
      <c r="I35" s="21">
        <f>IF($E$10="Yes",'Rolled Up Cash Flows'!J$31,'Rolled Up Cash Flows'!J$53)</f>
        <v>-3333.3333333333335</v>
      </c>
      <c r="J35" s="21">
        <f>IF($E$10="Yes",'Rolled Up Cash Flows'!K$31,'Rolled Up Cash Flows'!K$53)</f>
        <v>6250</v>
      </c>
      <c r="K35" s="21">
        <f>IF($E$10="Yes",'Rolled Up Cash Flows'!L$31,'Rolled Up Cash Flows'!L$53)</f>
        <v>6250</v>
      </c>
      <c r="L35" s="21">
        <f>IF($E$10="Yes",'Rolled Up Cash Flows'!M$31,'Rolled Up Cash Flows'!M$53)</f>
        <v>6250</v>
      </c>
      <c r="M35" s="21">
        <f>IF($E$10="Yes",'Rolled Up Cash Flows'!N$31,'Rolled Up Cash Flows'!N$53)</f>
        <v>6250</v>
      </c>
      <c r="N35" s="21">
        <f>IF($E$10="Yes",'Rolled Up Cash Flows'!O$31,'Rolled Up Cash Flows'!O$53)</f>
        <v>6250</v>
      </c>
      <c r="O35" s="21">
        <f>IF($E$10="Yes",'Rolled Up Cash Flows'!P$31,'Rolled Up Cash Flows'!P$53)</f>
        <v>6250</v>
      </c>
      <c r="P35" s="21">
        <f>IF($E$10="Yes",'Rolled Up Cash Flows'!Q$31,'Rolled Up Cash Flows'!Q$53)</f>
        <v>6250</v>
      </c>
      <c r="Q35" s="21">
        <f>IF($E$10="Yes",'Rolled Up Cash Flows'!R$31,'Rolled Up Cash Flows'!R$53)</f>
        <v>6250</v>
      </c>
      <c r="R35" s="21">
        <f>IF($E$10="Yes",'Rolled Up Cash Flows'!S$31,'Rolled Up Cash Flows'!S$53)</f>
        <v>6250</v>
      </c>
      <c r="S35" s="21">
        <f>IF($E$10="Yes",'Rolled Up Cash Flows'!T$31,'Rolled Up Cash Flows'!T$53)</f>
        <v>6250</v>
      </c>
      <c r="T35" s="21">
        <f>IF($E$10="Yes",'Rolled Up Cash Flows'!U$31,'Rolled Up Cash Flows'!U$53)</f>
        <v>6250</v>
      </c>
      <c r="U35" s="21">
        <f>IF($E$10="Yes",'Rolled Up Cash Flows'!V$31,'Rolled Up Cash Flows'!V$53)</f>
        <v>6250</v>
      </c>
      <c r="V35" s="21">
        <f>IF($E$10="Yes",'Rolled Up Cash Flows'!W$31,'Rolled Up Cash Flows'!W$53)</f>
        <v>37500</v>
      </c>
      <c r="W35" s="21">
        <f>IF($E$10="Yes",'Rolled Up Cash Flows'!X$31,'Rolled Up Cash Flows'!X$53)</f>
        <v>0</v>
      </c>
      <c r="X35" s="21">
        <f>IF($E$10="Yes",'Rolled Up Cash Flows'!Y$31,'Rolled Up Cash Flows'!Y$53)</f>
        <v>0</v>
      </c>
      <c r="Y35" s="21">
        <f>IF($E$10="Yes",'Rolled Up Cash Flows'!Z$31,'Rolled Up Cash Flows'!Z$53)</f>
        <v>0</v>
      </c>
      <c r="Z35" s="21">
        <f>IF($E$10="Yes",'Rolled Up Cash Flows'!AA$31,'Rolled Up Cash Flows'!AA$53)</f>
        <v>0</v>
      </c>
      <c r="AA35" s="21">
        <f>IF($E$10="Yes",'Rolled Up Cash Flows'!AB$31,'Rolled Up Cash Flows'!AB$53)</f>
        <v>0</v>
      </c>
      <c r="AB35" s="21">
        <f>IF($E$10="Yes",'Rolled Up Cash Flows'!AC$31,'Rolled Up Cash Flows'!AC$53)</f>
        <v>1350000</v>
      </c>
      <c r="AC35" s="21">
        <f>IF($E$10="Yes",'Rolled Up Cash Flows'!AD$31,'Rolled Up Cash Flows'!AD$53)</f>
        <v>0</v>
      </c>
      <c r="AD35" s="21">
        <f>IF($E$10="Yes",'Rolled Up Cash Flows'!AE$31,'Rolled Up Cash Flows'!AE$53)</f>
        <v>0</v>
      </c>
      <c r="AE35" s="21">
        <f>IF($E$10="Yes",'Rolled Up Cash Flows'!AF$31,'Rolled Up Cash Flows'!AF$53)</f>
        <v>9851.3671875</v>
      </c>
      <c r="AF35" s="21">
        <f>IF($E$10="Yes",'Rolled Up Cash Flows'!AG$31,'Rolled Up Cash Flows'!AG$53)</f>
        <v>9851.3671875</v>
      </c>
      <c r="AG35" s="21">
        <f>IF($E$10="Yes",'Rolled Up Cash Flows'!AH$31,'Rolled Up Cash Flows'!AH$53)</f>
        <v>9851.3671875</v>
      </c>
      <c r="AH35" s="21">
        <f>IF($E$10="Yes",'Rolled Up Cash Flows'!AI$31,'Rolled Up Cash Flows'!AI$53)</f>
        <v>9851.3671875</v>
      </c>
      <c r="AI35" s="21">
        <f>IF($E$10="Yes",'Rolled Up Cash Flows'!AJ$31,'Rolled Up Cash Flows'!AJ$53)</f>
        <v>9851.3671875</v>
      </c>
      <c r="AJ35" s="21">
        <f>IF($E$10="Yes",'Rolled Up Cash Flows'!AK$31,'Rolled Up Cash Flows'!AK$53)</f>
        <v>9851.3671875</v>
      </c>
      <c r="AK35" s="21">
        <f>IF($E$10="Yes",'Rolled Up Cash Flows'!AL$31,'Rolled Up Cash Flows'!AL$53)</f>
        <v>9851.3671875</v>
      </c>
      <c r="AL35" s="21">
        <f>IF($E$10="Yes",'Rolled Up Cash Flows'!AM$31,'Rolled Up Cash Flows'!AM$53)</f>
        <v>9851.3671875</v>
      </c>
      <c r="AM35" s="21">
        <f>IF($E$10="Yes",'Rolled Up Cash Flows'!AN$31,'Rolled Up Cash Flows'!AN$53)</f>
        <v>9851.3671875</v>
      </c>
      <c r="AN35" s="21">
        <f>IF($E$10="Yes",'Rolled Up Cash Flows'!AO$31,'Rolled Up Cash Flows'!AO$53)</f>
        <v>9851.3671875</v>
      </c>
      <c r="AO35" s="21">
        <f>IF($E$10="Yes",'Rolled Up Cash Flows'!AP$31,'Rolled Up Cash Flows'!AP$53)</f>
        <v>9851.3671875</v>
      </c>
      <c r="AP35" s="21">
        <f>IF($E$10="Yes",'Rolled Up Cash Flows'!AQ$31,'Rolled Up Cash Flows'!AQ$53)</f>
        <v>9851.3671875</v>
      </c>
      <c r="AQ35" s="21">
        <f>IF($E$10="Yes",'Rolled Up Cash Flows'!AR$31,'Rolled Up Cash Flows'!AR$53)</f>
        <v>9851.3671875</v>
      </c>
      <c r="AR35" s="21">
        <f>IF($E$10="Yes",'Rolled Up Cash Flows'!AS$31,'Rolled Up Cash Flows'!AS$53)</f>
        <v>9851.3671875</v>
      </c>
      <c r="AS35" s="21">
        <f>IF($E$10="Yes",'Rolled Up Cash Flows'!AT$31,'Rolled Up Cash Flows'!AT$53)</f>
        <v>9851.3671875</v>
      </c>
      <c r="AT35" s="21">
        <f>IF($E$10="Yes",'Rolled Up Cash Flows'!AU$31,'Rolled Up Cash Flows'!AU$53)</f>
        <v>9851.3671875</v>
      </c>
      <c r="AU35" s="21">
        <f>IF($E$10="Yes",'Rolled Up Cash Flows'!AV$31,'Rolled Up Cash Flows'!AV$53)</f>
        <v>9851.3671875</v>
      </c>
      <c r="AV35" s="21">
        <f>IF($E$10="Yes",'Rolled Up Cash Flows'!AW$31,'Rolled Up Cash Flows'!AW$53)</f>
        <v>9851.3671875</v>
      </c>
      <c r="AW35" s="21">
        <f>IF($E$10="Yes",'Rolled Up Cash Flows'!AX$31,'Rolled Up Cash Flows'!AX$53)</f>
        <v>21035.69370372003</v>
      </c>
      <c r="AX35" s="21">
        <f>IF($E$10="Yes",'Rolled Up Cash Flows'!AY$31,'Rolled Up Cash Flows'!AY$53)</f>
        <v>21035.69370372003</v>
      </c>
      <c r="AY35" s="21">
        <f>IF($E$10="Yes",'Rolled Up Cash Flows'!AZ$31,'Rolled Up Cash Flows'!AZ$53)</f>
        <v>21035.69370372003</v>
      </c>
      <c r="AZ35" s="21">
        <f>IF($E$10="Yes",'Rolled Up Cash Flows'!BA$31,'Rolled Up Cash Flows'!BA$53)</f>
        <v>21035.69370372003</v>
      </c>
      <c r="BA35" s="21">
        <f>IF($E$10="Yes",'Rolled Up Cash Flows'!BB$31,'Rolled Up Cash Flows'!BB$53)</f>
        <v>21035.69370372003</v>
      </c>
      <c r="BB35" s="21">
        <f>IF($E$10="Yes",'Rolled Up Cash Flows'!BC$31,'Rolled Up Cash Flows'!BC$53)</f>
        <v>21035.69370372003</v>
      </c>
      <c r="BC35" s="21">
        <f>IF($E$10="Yes",'Rolled Up Cash Flows'!BD$31,'Rolled Up Cash Flows'!BD$53)</f>
        <v>447829.27832628123</v>
      </c>
      <c r="BD35" s="21">
        <f>IF($E$10="Yes",'Rolled Up Cash Flows'!BE$31,'Rolled Up Cash Flows'!BE$53)</f>
        <v>68812.176774800188</v>
      </c>
      <c r="BE35" s="21">
        <f>IF($E$10="Yes",'Rolled Up Cash Flows'!BF$31,'Rolled Up Cash Flows'!BF$53)</f>
        <v>70062.176774800188</v>
      </c>
      <c r="BF35" s="21">
        <f>IF($E$10="Yes",'Rolled Up Cash Flows'!BG$31,'Rolled Up Cash Flows'!BG$53)</f>
        <v>71312.176774800188</v>
      </c>
      <c r="BG35" s="21">
        <f>IF($E$10="Yes",'Rolled Up Cash Flows'!BH$31,'Rolled Up Cash Flows'!BH$53)</f>
        <v>72562.176774800188</v>
      </c>
      <c r="BH35" s="21">
        <f>IF($E$10="Yes",'Rolled Up Cash Flows'!BI$31,'Rolled Up Cash Flows'!BI$53)</f>
        <v>73812.176774800188</v>
      </c>
      <c r="BI35" s="21">
        <f>IF($E$10="Yes",'Rolled Up Cash Flows'!BJ$31,'Rolled Up Cash Flows'!BJ$53)</f>
        <v>75062.176774800188</v>
      </c>
      <c r="BJ35" s="21">
        <f>IF($E$10="Yes",'Rolled Up Cash Flows'!BK$31,'Rolled Up Cash Flows'!BK$53)</f>
        <v>76312.176774800188</v>
      </c>
      <c r="BK35" s="21">
        <f>IF($E$10="Yes",'Rolled Up Cash Flows'!BL$31,'Rolled Up Cash Flows'!BL$53)</f>
        <v>77562.176774800188</v>
      </c>
      <c r="BL35" s="21">
        <f>IF($E$10="Yes",'Rolled Up Cash Flows'!BM$31,'Rolled Up Cash Flows'!BM$53)</f>
        <v>78812.176774800188</v>
      </c>
      <c r="BM35" s="21">
        <f>IF($E$10="Yes",'Rolled Up Cash Flows'!BN$31,'Rolled Up Cash Flows'!BN$53)</f>
        <v>80062.176774800188</v>
      </c>
      <c r="BN35" s="21">
        <f>IF($E$10="Yes",'Rolled Up Cash Flows'!BO$31,'Rolled Up Cash Flows'!BO$53)</f>
        <v>81312.176774800188</v>
      </c>
      <c r="BO35" s="21">
        <f>IF($E$10="Yes",'Rolled Up Cash Flows'!BP$31,'Rolled Up Cash Flows'!BP$53)</f>
        <v>6750</v>
      </c>
      <c r="BP35" s="21">
        <f>IF($E$10="Yes",'Rolled Up Cash Flows'!BQ$31,'Rolled Up Cash Flows'!BQ$53)</f>
        <v>6750</v>
      </c>
      <c r="BQ35" s="21">
        <f>IF($E$10="Yes",'Rolled Up Cash Flows'!BR$31,'Rolled Up Cash Flows'!BR$53)</f>
        <v>6750</v>
      </c>
      <c r="BR35" s="21">
        <f>IF($E$10="Yes",'Rolled Up Cash Flows'!BS$31,'Rolled Up Cash Flows'!BS$53)</f>
        <v>6750</v>
      </c>
      <c r="BS35" s="21">
        <f>IF($E$10="Yes",'Rolled Up Cash Flows'!BT$31,'Rolled Up Cash Flows'!BT$53)</f>
        <v>6750</v>
      </c>
      <c r="BT35" s="21">
        <f>IF($E$10="Yes",'Rolled Up Cash Flows'!BU$31,'Rolled Up Cash Flows'!BU$53)</f>
        <v>6750</v>
      </c>
      <c r="BU35" s="21">
        <f>IF($E$10="Yes",'Rolled Up Cash Flows'!BV$31,'Rolled Up Cash Flows'!BV$53)</f>
        <v>6750</v>
      </c>
      <c r="BV35" s="21">
        <f>IF($E$10="Yes",'Rolled Up Cash Flows'!BW$31,'Rolled Up Cash Flows'!BW$53)</f>
        <v>6750</v>
      </c>
      <c r="BW35" s="21">
        <f>IF($E$10="Yes",'Rolled Up Cash Flows'!BX$31,'Rolled Up Cash Flows'!BX$53)</f>
        <v>6750</v>
      </c>
      <c r="BX35" s="21">
        <f>IF($E$10="Yes",'Rolled Up Cash Flows'!BY$31,'Rolled Up Cash Flows'!BY$53)</f>
        <v>6750</v>
      </c>
      <c r="BY35" s="21">
        <f>IF($E$10="Yes",'Rolled Up Cash Flows'!BZ$31,'Rolled Up Cash Flows'!BZ$53)</f>
        <v>6750</v>
      </c>
      <c r="BZ35" s="21">
        <f>IF($E$10="Yes",'Rolled Up Cash Flows'!CA$31,'Rolled Up Cash Flows'!CA$53)</f>
        <v>6750</v>
      </c>
      <c r="CA35" s="21">
        <f>IF($E$10="Yes",'Rolled Up Cash Flows'!CB$31,'Rolled Up Cash Flows'!CB$53)</f>
        <v>6750</v>
      </c>
      <c r="CB35" s="21">
        <f>IF($E$10="Yes",'Rolled Up Cash Flows'!CC$31,'Rolled Up Cash Flows'!CC$53)</f>
        <v>6750</v>
      </c>
      <c r="CC35" s="21">
        <f>IF($E$10="Yes",'Rolled Up Cash Flows'!CD$31,'Rolled Up Cash Flows'!CD$53)</f>
        <v>6750</v>
      </c>
      <c r="CD35" s="21">
        <f>IF($E$10="Yes",'Rolled Up Cash Flows'!CE$31,'Rolled Up Cash Flows'!CE$53)</f>
        <v>6750</v>
      </c>
      <c r="CE35" s="21">
        <f>IF($E$10="Yes",'Rolled Up Cash Flows'!CF$31,'Rolled Up Cash Flows'!CF$53)</f>
        <v>6750</v>
      </c>
      <c r="CF35" s="21">
        <f>IF($E$10="Yes",'Rolled Up Cash Flows'!CG$31,'Rolled Up Cash Flows'!CG$53)</f>
        <v>6750</v>
      </c>
      <c r="CG35" s="21">
        <f>IF($E$10="Yes",'Rolled Up Cash Flows'!CH$31,'Rolled Up Cash Flows'!CH$53)</f>
        <v>6750</v>
      </c>
      <c r="CH35" s="21">
        <f>IF($E$10="Yes",'Rolled Up Cash Flows'!CI$31,'Rolled Up Cash Flows'!CI$53)</f>
        <v>6750</v>
      </c>
      <c r="CI35" s="21">
        <f>IF($E$10="Yes",'Rolled Up Cash Flows'!CJ$31,'Rolled Up Cash Flows'!CJ$53)</f>
        <v>6750</v>
      </c>
      <c r="CJ35" s="21">
        <f>IF($E$10="Yes",'Rolled Up Cash Flows'!CK$31,'Rolled Up Cash Flows'!CK$53)</f>
        <v>6750</v>
      </c>
      <c r="CK35" s="21">
        <f>IF($E$10="Yes",'Rolled Up Cash Flows'!CL$31,'Rolled Up Cash Flows'!CL$53)</f>
        <v>6750</v>
      </c>
      <c r="CL35" s="21">
        <f>IF($E$10="Yes",'Rolled Up Cash Flows'!CM$31,'Rolled Up Cash Flows'!CM$53)</f>
        <v>6750</v>
      </c>
      <c r="CM35" s="21">
        <f>IF($E$10="Yes",'Rolled Up Cash Flows'!CN$31,'Rolled Up Cash Flows'!CN$53)</f>
        <v>6750</v>
      </c>
      <c r="CN35" s="21">
        <f>IF($E$10="Yes",'Rolled Up Cash Flows'!CO$31,'Rolled Up Cash Flows'!CO$53)</f>
        <v>6750</v>
      </c>
      <c r="CO35" s="21">
        <f>IF($E$10="Yes",'Rolled Up Cash Flows'!CP$31,'Rolled Up Cash Flows'!CP$53)</f>
        <v>6750</v>
      </c>
      <c r="CP35" s="21">
        <f>IF($E$10="Yes",'Rolled Up Cash Flows'!CQ$31,'Rolled Up Cash Flows'!CQ$53)</f>
        <v>6750</v>
      </c>
      <c r="CQ35" s="21">
        <f>IF($E$10="Yes",'Rolled Up Cash Flows'!CR$31,'Rolled Up Cash Flows'!CR$53)</f>
        <v>6750</v>
      </c>
      <c r="CR35" s="21">
        <f>IF($E$10="Yes",'Rolled Up Cash Flows'!CS$31,'Rolled Up Cash Flows'!CS$53)</f>
        <v>6750</v>
      </c>
      <c r="CS35" s="21">
        <f>IF($E$10="Yes",'Rolled Up Cash Flows'!CT$31,'Rolled Up Cash Flows'!CT$53)</f>
        <v>6750</v>
      </c>
      <c r="CT35" s="21">
        <f>IF($E$10="Yes",'Rolled Up Cash Flows'!CU$31,'Rolled Up Cash Flows'!CU$53)</f>
        <v>6750</v>
      </c>
      <c r="CU35" s="21">
        <f>IF($E$10="Yes",'Rolled Up Cash Flows'!CV$31,'Rolled Up Cash Flows'!CV$53)</f>
        <v>6750</v>
      </c>
      <c r="CV35" s="21">
        <f>IF($E$10="Yes",'Rolled Up Cash Flows'!CW$31,'Rolled Up Cash Flows'!CW$53)</f>
        <v>6750</v>
      </c>
      <c r="CW35" s="21">
        <f>IF($E$10="Yes",'Rolled Up Cash Flows'!CX$31,'Rolled Up Cash Flows'!CX$53)</f>
        <v>6750</v>
      </c>
      <c r="CX35" s="21">
        <f>IF($E$10="Yes",'Rolled Up Cash Flows'!CY$31,'Rolled Up Cash Flows'!CY$53)</f>
        <v>6750</v>
      </c>
      <c r="CY35" s="21">
        <f>IF($E$10="Yes",'Rolled Up Cash Flows'!CZ$31,'Rolled Up Cash Flows'!CZ$53)</f>
        <v>6750</v>
      </c>
      <c r="CZ35" s="21">
        <f>IF($E$10="Yes",'Rolled Up Cash Flows'!DA$31,'Rolled Up Cash Flows'!DA$53)</f>
        <v>6750</v>
      </c>
      <c r="DA35" s="21">
        <f>IF($E$10="Yes",'Rolled Up Cash Flows'!DB$31,'Rolled Up Cash Flows'!DB$53)</f>
        <v>6750</v>
      </c>
      <c r="DB35" s="21">
        <f>IF($E$10="Yes",'Rolled Up Cash Flows'!DC$31,'Rolled Up Cash Flows'!DC$53)</f>
        <v>6750</v>
      </c>
      <c r="DC35" s="21">
        <f>IF($E$10="Yes",'Rolled Up Cash Flows'!DD$31,'Rolled Up Cash Flows'!DD$53)</f>
        <v>6750</v>
      </c>
      <c r="DD35" s="21">
        <f>IF($E$10="Yes",'Rolled Up Cash Flows'!DE$31,'Rolled Up Cash Flows'!DE$53)</f>
        <v>6750</v>
      </c>
      <c r="DE35" s="21">
        <f>IF($E$10="Yes",'Rolled Up Cash Flows'!DF$31,'Rolled Up Cash Flows'!DF$53)</f>
        <v>6750</v>
      </c>
      <c r="DF35" s="21">
        <f>IF($E$10="Yes",'Rolled Up Cash Flows'!DG$31,'Rolled Up Cash Flows'!DG$53)</f>
        <v>6750</v>
      </c>
      <c r="DG35" s="21">
        <f>IF($E$10="Yes",'Rolled Up Cash Flows'!DH$31,'Rolled Up Cash Flows'!DH$53)</f>
        <v>6750</v>
      </c>
      <c r="DH35" s="21">
        <f>IF($E$10="Yes",'Rolled Up Cash Flows'!DI$31,'Rolled Up Cash Flows'!DI$53)</f>
        <v>6750</v>
      </c>
      <c r="DI35" s="21">
        <f>IF($E$10="Yes",'Rolled Up Cash Flows'!DJ$31,'Rolled Up Cash Flows'!DJ$53)</f>
        <v>6750</v>
      </c>
      <c r="DJ35" s="21">
        <f>IF($E$10="Yes",'Rolled Up Cash Flows'!DK$31,'Rolled Up Cash Flows'!DK$53)</f>
        <v>6750</v>
      </c>
      <c r="DK35" s="21">
        <f>IF($E$10="Yes",'Rolled Up Cash Flows'!DL$31,'Rolled Up Cash Flows'!DL$53)</f>
        <v>0</v>
      </c>
      <c r="DL35" s="21">
        <f>IF($E$10="Yes",'Rolled Up Cash Flows'!DM$31,'Rolled Up Cash Flows'!DM$53)</f>
        <v>0</v>
      </c>
      <c r="DM35" s="21">
        <f>IF($E$10="Yes",'Rolled Up Cash Flows'!DN$31,'Rolled Up Cash Flows'!DN$53)</f>
        <v>0</v>
      </c>
      <c r="DN35" s="21">
        <f>IF($E$10="Yes",'Rolled Up Cash Flows'!DO$31,'Rolled Up Cash Flows'!DO$53)</f>
        <v>0</v>
      </c>
      <c r="DO35" s="21">
        <f>IF($E$10="Yes",'Rolled Up Cash Flows'!DP$31,'Rolled Up Cash Flows'!DP$53)</f>
        <v>0</v>
      </c>
      <c r="DP35" s="21">
        <f>IF($E$10="Yes",'Rolled Up Cash Flows'!DQ$31,'Rolled Up Cash Flows'!DQ$53)</f>
        <v>0</v>
      </c>
      <c r="DQ35" s="21">
        <f>IF($E$10="Yes",'Rolled Up Cash Flows'!DR$31,'Rolled Up Cash Flows'!DR$53)</f>
        <v>0</v>
      </c>
      <c r="DR35" s="21">
        <f>IF($E$10="Yes",'Rolled Up Cash Flows'!DS$31,'Rolled Up Cash Flows'!DS$53)</f>
        <v>0</v>
      </c>
      <c r="DS35" s="21">
        <f>IF($E$10="Yes",'Rolled Up Cash Flows'!DT$31,'Rolled Up Cash Flows'!DT$53)</f>
        <v>0</v>
      </c>
      <c r="DT35" s="21">
        <f>IF($E$10="Yes",'Rolled Up Cash Flows'!DU$31,'Rolled Up Cash Flows'!DU$53)</f>
        <v>0</v>
      </c>
    </row>
    <row r="36" spans="2:124" s="3" customFormat="1" ht="22.95" customHeight="1"/>
    <row r="37" spans="2:124" s="3" customFormat="1" ht="22.95" customHeight="1">
      <c r="B37" s="112" t="s">
        <v>78</v>
      </c>
      <c r="C37" s="113" t="s">
        <v>72</v>
      </c>
      <c r="D37" s="114">
        <f>D11</f>
        <v>46843</v>
      </c>
      <c r="E37" s="115">
        <f t="shared" ref="E37:AJ37" si="23">EOMONTH(D37,1)</f>
        <v>46873</v>
      </c>
      <c r="F37" s="115">
        <f t="shared" si="23"/>
        <v>46904</v>
      </c>
      <c r="G37" s="115">
        <f t="shared" si="23"/>
        <v>46934</v>
      </c>
      <c r="H37" s="115">
        <f t="shared" si="23"/>
        <v>46965</v>
      </c>
      <c r="I37" s="115">
        <f t="shared" si="23"/>
        <v>46996</v>
      </c>
      <c r="J37" s="115">
        <f t="shared" si="23"/>
        <v>47026</v>
      </c>
      <c r="K37" s="115">
        <f t="shared" si="23"/>
        <v>47057</v>
      </c>
      <c r="L37" s="115">
        <f t="shared" si="23"/>
        <v>47087</v>
      </c>
      <c r="M37" s="115">
        <f t="shared" si="23"/>
        <v>47118</v>
      </c>
      <c r="N37" s="115">
        <f t="shared" si="23"/>
        <v>47149</v>
      </c>
      <c r="O37" s="115">
        <f t="shared" si="23"/>
        <v>47177</v>
      </c>
      <c r="P37" s="115">
        <f t="shared" si="23"/>
        <v>47208</v>
      </c>
      <c r="Q37" s="115">
        <f t="shared" si="23"/>
        <v>47238</v>
      </c>
      <c r="R37" s="115">
        <f t="shared" si="23"/>
        <v>47269</v>
      </c>
      <c r="S37" s="115">
        <f t="shared" si="23"/>
        <v>47299</v>
      </c>
      <c r="T37" s="115">
        <f t="shared" si="23"/>
        <v>47330</v>
      </c>
      <c r="U37" s="115">
        <f t="shared" si="23"/>
        <v>47361</v>
      </c>
      <c r="V37" s="115">
        <f t="shared" si="23"/>
        <v>47391</v>
      </c>
      <c r="W37" s="115">
        <f t="shared" si="23"/>
        <v>47422</v>
      </c>
      <c r="X37" s="115">
        <f t="shared" si="23"/>
        <v>47452</v>
      </c>
      <c r="Y37" s="115">
        <f t="shared" si="23"/>
        <v>47483</v>
      </c>
      <c r="Z37" s="115">
        <f t="shared" si="23"/>
        <v>47514</v>
      </c>
      <c r="AA37" s="115">
        <f t="shared" si="23"/>
        <v>47542</v>
      </c>
      <c r="AB37" s="115">
        <f t="shared" si="23"/>
        <v>47573</v>
      </c>
      <c r="AC37" s="115">
        <f t="shared" si="23"/>
        <v>47603</v>
      </c>
      <c r="AD37" s="115">
        <f t="shared" si="23"/>
        <v>47634</v>
      </c>
      <c r="AE37" s="115">
        <f t="shared" si="23"/>
        <v>47664</v>
      </c>
      <c r="AF37" s="115">
        <f t="shared" si="23"/>
        <v>47695</v>
      </c>
      <c r="AG37" s="115">
        <f t="shared" si="23"/>
        <v>47726</v>
      </c>
      <c r="AH37" s="115">
        <f t="shared" si="23"/>
        <v>47756</v>
      </c>
      <c r="AI37" s="115">
        <f t="shared" si="23"/>
        <v>47787</v>
      </c>
      <c r="AJ37" s="115">
        <f t="shared" si="23"/>
        <v>47817</v>
      </c>
      <c r="AK37" s="115">
        <f t="shared" ref="AK37:BP37" si="24">EOMONTH(AJ37,1)</f>
        <v>47848</v>
      </c>
      <c r="AL37" s="115">
        <f t="shared" si="24"/>
        <v>47879</v>
      </c>
      <c r="AM37" s="115">
        <f t="shared" si="24"/>
        <v>47907</v>
      </c>
      <c r="AN37" s="115">
        <f t="shared" si="24"/>
        <v>47938</v>
      </c>
      <c r="AO37" s="115">
        <f t="shared" si="24"/>
        <v>47968</v>
      </c>
      <c r="AP37" s="115">
        <f t="shared" si="24"/>
        <v>47999</v>
      </c>
      <c r="AQ37" s="115">
        <f t="shared" si="24"/>
        <v>48029</v>
      </c>
      <c r="AR37" s="115">
        <f t="shared" si="24"/>
        <v>48060</v>
      </c>
      <c r="AS37" s="115">
        <f t="shared" si="24"/>
        <v>48091</v>
      </c>
      <c r="AT37" s="115">
        <f t="shared" si="24"/>
        <v>48121</v>
      </c>
      <c r="AU37" s="115">
        <f t="shared" si="24"/>
        <v>48152</v>
      </c>
      <c r="AV37" s="115">
        <f t="shared" si="24"/>
        <v>48182</v>
      </c>
      <c r="AW37" s="115">
        <f t="shared" si="24"/>
        <v>48213</v>
      </c>
      <c r="AX37" s="115">
        <f t="shared" si="24"/>
        <v>48244</v>
      </c>
      <c r="AY37" s="115">
        <f t="shared" si="24"/>
        <v>48273</v>
      </c>
      <c r="AZ37" s="115">
        <f t="shared" si="24"/>
        <v>48304</v>
      </c>
      <c r="BA37" s="115">
        <f t="shared" si="24"/>
        <v>48334</v>
      </c>
      <c r="BB37" s="115">
        <f t="shared" si="24"/>
        <v>48365</v>
      </c>
      <c r="BC37" s="115">
        <f t="shared" si="24"/>
        <v>48395</v>
      </c>
      <c r="BD37" s="115">
        <f t="shared" si="24"/>
        <v>48426</v>
      </c>
      <c r="BE37" s="115">
        <f t="shared" si="24"/>
        <v>48457</v>
      </c>
      <c r="BF37" s="115">
        <f t="shared" si="24"/>
        <v>48487</v>
      </c>
      <c r="BG37" s="115">
        <f t="shared" si="24"/>
        <v>48518</v>
      </c>
      <c r="BH37" s="115">
        <f t="shared" si="24"/>
        <v>48548</v>
      </c>
      <c r="BI37" s="115">
        <f t="shared" si="24"/>
        <v>48579</v>
      </c>
      <c r="BJ37" s="115">
        <f t="shared" si="24"/>
        <v>48610</v>
      </c>
      <c r="BK37" s="115">
        <f t="shared" si="24"/>
        <v>48638</v>
      </c>
      <c r="BL37" s="115">
        <f t="shared" si="24"/>
        <v>48669</v>
      </c>
      <c r="BM37" s="115">
        <f t="shared" si="24"/>
        <v>48699</v>
      </c>
      <c r="BN37" s="115">
        <f t="shared" si="24"/>
        <v>48730</v>
      </c>
      <c r="BO37" s="115">
        <f t="shared" si="24"/>
        <v>48760</v>
      </c>
      <c r="BP37" s="115">
        <f t="shared" si="24"/>
        <v>48791</v>
      </c>
      <c r="BQ37" s="115">
        <f t="shared" ref="BQ37:CV37" si="25">EOMONTH(BP37,1)</f>
        <v>48822</v>
      </c>
      <c r="BR37" s="115">
        <f t="shared" si="25"/>
        <v>48852</v>
      </c>
      <c r="BS37" s="115">
        <f t="shared" si="25"/>
        <v>48883</v>
      </c>
      <c r="BT37" s="115">
        <f t="shared" si="25"/>
        <v>48913</v>
      </c>
      <c r="BU37" s="115">
        <f t="shared" si="25"/>
        <v>48944</v>
      </c>
      <c r="BV37" s="115">
        <f t="shared" si="25"/>
        <v>48975</v>
      </c>
      <c r="BW37" s="115">
        <f t="shared" si="25"/>
        <v>49003</v>
      </c>
      <c r="BX37" s="115">
        <f t="shared" si="25"/>
        <v>49034</v>
      </c>
      <c r="BY37" s="115">
        <f t="shared" si="25"/>
        <v>49064</v>
      </c>
      <c r="BZ37" s="115">
        <f t="shared" si="25"/>
        <v>49095</v>
      </c>
      <c r="CA37" s="115">
        <f t="shared" si="25"/>
        <v>49125</v>
      </c>
      <c r="CB37" s="115">
        <f t="shared" si="25"/>
        <v>49156</v>
      </c>
      <c r="CC37" s="115">
        <f t="shared" si="25"/>
        <v>49187</v>
      </c>
      <c r="CD37" s="115">
        <f t="shared" si="25"/>
        <v>49217</v>
      </c>
      <c r="CE37" s="115">
        <f t="shared" si="25"/>
        <v>49248</v>
      </c>
      <c r="CF37" s="115">
        <f t="shared" si="25"/>
        <v>49278</v>
      </c>
      <c r="CG37" s="115">
        <f t="shared" si="25"/>
        <v>49309</v>
      </c>
      <c r="CH37" s="115">
        <f t="shared" si="25"/>
        <v>49340</v>
      </c>
      <c r="CI37" s="115">
        <f t="shared" si="25"/>
        <v>49368</v>
      </c>
      <c r="CJ37" s="115">
        <f t="shared" si="25"/>
        <v>49399</v>
      </c>
      <c r="CK37" s="115">
        <f t="shared" si="25"/>
        <v>49429</v>
      </c>
      <c r="CL37" s="115">
        <f t="shared" si="25"/>
        <v>49460</v>
      </c>
      <c r="CM37" s="115">
        <f t="shared" si="25"/>
        <v>49490</v>
      </c>
      <c r="CN37" s="115">
        <f t="shared" si="25"/>
        <v>49521</v>
      </c>
      <c r="CO37" s="115">
        <f t="shared" si="25"/>
        <v>49552</v>
      </c>
      <c r="CP37" s="115">
        <f t="shared" si="25"/>
        <v>49582</v>
      </c>
      <c r="CQ37" s="115">
        <f t="shared" si="25"/>
        <v>49613</v>
      </c>
      <c r="CR37" s="115">
        <f t="shared" si="25"/>
        <v>49643</v>
      </c>
      <c r="CS37" s="115">
        <f t="shared" si="25"/>
        <v>49674</v>
      </c>
      <c r="CT37" s="115">
        <f t="shared" si="25"/>
        <v>49705</v>
      </c>
      <c r="CU37" s="115">
        <f t="shared" si="25"/>
        <v>49734</v>
      </c>
      <c r="CV37" s="115">
        <f t="shared" si="25"/>
        <v>49765</v>
      </c>
      <c r="CW37" s="115">
        <f t="shared" ref="CW37:DT37" si="26">EOMONTH(CV37,1)</f>
        <v>49795</v>
      </c>
      <c r="CX37" s="115">
        <f t="shared" si="26"/>
        <v>49826</v>
      </c>
      <c r="CY37" s="115">
        <f t="shared" si="26"/>
        <v>49856</v>
      </c>
      <c r="CZ37" s="115">
        <f t="shared" si="26"/>
        <v>49887</v>
      </c>
      <c r="DA37" s="115">
        <f t="shared" si="26"/>
        <v>49918</v>
      </c>
      <c r="DB37" s="115">
        <f t="shared" si="26"/>
        <v>49948</v>
      </c>
      <c r="DC37" s="115">
        <f t="shared" si="26"/>
        <v>49979</v>
      </c>
      <c r="DD37" s="115">
        <f t="shared" si="26"/>
        <v>50009</v>
      </c>
      <c r="DE37" s="115">
        <f t="shared" si="26"/>
        <v>50040</v>
      </c>
      <c r="DF37" s="115">
        <f t="shared" si="26"/>
        <v>50071</v>
      </c>
      <c r="DG37" s="115">
        <f t="shared" si="26"/>
        <v>50099</v>
      </c>
      <c r="DH37" s="115">
        <f t="shared" si="26"/>
        <v>50130</v>
      </c>
      <c r="DI37" s="115">
        <f t="shared" si="26"/>
        <v>50160</v>
      </c>
      <c r="DJ37" s="115">
        <f t="shared" si="26"/>
        <v>50191</v>
      </c>
      <c r="DK37" s="115">
        <f t="shared" si="26"/>
        <v>50221</v>
      </c>
      <c r="DL37" s="115">
        <f t="shared" si="26"/>
        <v>50252</v>
      </c>
      <c r="DM37" s="115">
        <f t="shared" si="26"/>
        <v>50283</v>
      </c>
      <c r="DN37" s="115">
        <f t="shared" si="26"/>
        <v>50313</v>
      </c>
      <c r="DO37" s="115">
        <f t="shared" si="26"/>
        <v>50344</v>
      </c>
      <c r="DP37" s="115">
        <f t="shared" si="26"/>
        <v>50374</v>
      </c>
      <c r="DQ37" s="115">
        <f t="shared" si="26"/>
        <v>50405</v>
      </c>
      <c r="DR37" s="115">
        <f t="shared" si="26"/>
        <v>50436</v>
      </c>
      <c r="DS37" s="115">
        <f t="shared" si="26"/>
        <v>50464</v>
      </c>
      <c r="DT37" s="115">
        <f t="shared" si="26"/>
        <v>50495</v>
      </c>
    </row>
    <row r="38" spans="2:124" s="3" customFormat="1" ht="22.95" customHeight="1">
      <c r="B38" s="104" t="s">
        <v>73</v>
      </c>
      <c r="C38" s="22">
        <f>SUM(D38:DT38)</f>
        <v>104999.99999999999</v>
      </c>
      <c r="D38" s="21">
        <f>IF($E$11="Yes",'Rolled Up Cash Flows'!E$31,'Rolled Up Cash Flows'!E$53)</f>
        <v>46666.666666666664</v>
      </c>
      <c r="E38" s="21">
        <f>IF($E$11="Yes",'Rolled Up Cash Flows'!F$31,'Rolled Up Cash Flows'!F$53)</f>
        <v>-3333.3333333333335</v>
      </c>
      <c r="F38" s="21">
        <f>IF($E$11="Yes",'Rolled Up Cash Flows'!G$31,'Rolled Up Cash Flows'!G$53)</f>
        <v>-3333.3333333333335</v>
      </c>
      <c r="G38" s="21">
        <f>IF($E$11="Yes",'Rolled Up Cash Flows'!H$31,'Rolled Up Cash Flows'!H$53)</f>
        <v>-3333.3333333333335</v>
      </c>
      <c r="H38" s="21">
        <f>IF($E$11="Yes",'Rolled Up Cash Flows'!I$31,'Rolled Up Cash Flows'!I$53)</f>
        <v>-3333.3333333333335</v>
      </c>
      <c r="I38" s="21">
        <f>IF($E$11="Yes",'Rolled Up Cash Flows'!J$31,'Rolled Up Cash Flows'!J$53)</f>
        <v>-3333.3333333333335</v>
      </c>
      <c r="J38" s="21">
        <f>IF($E$11="Yes",'Rolled Up Cash Flows'!K$31,'Rolled Up Cash Flows'!K$53)</f>
        <v>6250</v>
      </c>
      <c r="K38" s="21">
        <f>IF($E$11="Yes",'Rolled Up Cash Flows'!L$31,'Rolled Up Cash Flows'!L$53)</f>
        <v>6250</v>
      </c>
      <c r="L38" s="21">
        <f>IF($E$11="Yes",'Rolled Up Cash Flows'!M$31,'Rolled Up Cash Flows'!M$53)</f>
        <v>6250</v>
      </c>
      <c r="M38" s="21">
        <f>IF($E$11="Yes",'Rolled Up Cash Flows'!N$31,'Rolled Up Cash Flows'!N$53)</f>
        <v>6250</v>
      </c>
      <c r="N38" s="21">
        <f>IF($E$11="Yes",'Rolled Up Cash Flows'!O$31,'Rolled Up Cash Flows'!O$53)</f>
        <v>6250</v>
      </c>
      <c r="O38" s="21">
        <f>IF($E$11="Yes",'Rolled Up Cash Flows'!P$31,'Rolled Up Cash Flows'!P$53)</f>
        <v>6250</v>
      </c>
      <c r="P38" s="21">
        <f>IF($E$11="Yes",'Rolled Up Cash Flows'!Q$31,'Rolled Up Cash Flows'!Q$53)</f>
        <v>6250</v>
      </c>
      <c r="Q38" s="21">
        <f>IF($E$11="Yes",'Rolled Up Cash Flows'!R$31,'Rolled Up Cash Flows'!R$53)</f>
        <v>6250</v>
      </c>
      <c r="R38" s="21">
        <f>IF($E$11="Yes",'Rolled Up Cash Flows'!S$31,'Rolled Up Cash Flows'!S$53)</f>
        <v>6250</v>
      </c>
      <c r="S38" s="21">
        <f>IF($E$11="Yes",'Rolled Up Cash Flows'!T$31,'Rolled Up Cash Flows'!T$53)</f>
        <v>6250</v>
      </c>
      <c r="T38" s="21">
        <f>IF($E$11="Yes",'Rolled Up Cash Flows'!U$31,'Rolled Up Cash Flows'!U$53)</f>
        <v>6250</v>
      </c>
      <c r="U38" s="21">
        <f>IF($E$11="Yes",'Rolled Up Cash Flows'!V$31,'Rolled Up Cash Flows'!V$53)</f>
        <v>6250</v>
      </c>
      <c r="V38" s="21">
        <f>IF($E$11="Yes",'Rolled Up Cash Flows'!W$31,'Rolled Up Cash Flows'!W$53)</f>
        <v>0</v>
      </c>
      <c r="W38" s="21">
        <f>IF($E$11="Yes",'Rolled Up Cash Flows'!X$31,'Rolled Up Cash Flows'!X$53)</f>
        <v>0</v>
      </c>
      <c r="X38" s="21">
        <f>IF($E$11="Yes",'Rolled Up Cash Flows'!Y$31,'Rolled Up Cash Flows'!Y$53)</f>
        <v>0</v>
      </c>
      <c r="Y38" s="21">
        <f>IF($E$11="Yes",'Rolled Up Cash Flows'!Z$31,'Rolled Up Cash Flows'!Z$53)</f>
        <v>0</v>
      </c>
      <c r="Z38" s="21">
        <f>IF($E$11="Yes",'Rolled Up Cash Flows'!AA$31,'Rolled Up Cash Flows'!AA$53)</f>
        <v>0</v>
      </c>
      <c r="AA38" s="21">
        <f>IF($E$11="Yes",'Rolled Up Cash Flows'!AB$31,'Rolled Up Cash Flows'!AB$53)</f>
        <v>0</v>
      </c>
      <c r="AB38" s="21">
        <f>IF($E$11="Yes",'Rolled Up Cash Flows'!AC$31,'Rolled Up Cash Flows'!AC$53)</f>
        <v>0</v>
      </c>
      <c r="AC38" s="21">
        <f>IF($E$11="Yes",'Rolled Up Cash Flows'!AD$31,'Rolled Up Cash Flows'!AD$53)</f>
        <v>0</v>
      </c>
      <c r="AD38" s="21">
        <f>IF($E$11="Yes",'Rolled Up Cash Flows'!AE$31,'Rolled Up Cash Flows'!AE$53)</f>
        <v>0</v>
      </c>
      <c r="AE38" s="21">
        <f>IF($E$11="Yes",'Rolled Up Cash Flows'!AF$31,'Rolled Up Cash Flows'!AF$53)</f>
        <v>0</v>
      </c>
      <c r="AF38" s="21">
        <f>IF($E$11="Yes",'Rolled Up Cash Flows'!AG$31,'Rolled Up Cash Flows'!AG$53)</f>
        <v>0</v>
      </c>
      <c r="AG38" s="21">
        <f>IF($E$11="Yes",'Rolled Up Cash Flows'!AH$31,'Rolled Up Cash Flows'!AH$53)</f>
        <v>0</v>
      </c>
      <c r="AH38" s="21">
        <f>IF($E$11="Yes",'Rolled Up Cash Flows'!AI$31,'Rolled Up Cash Flows'!AI$53)</f>
        <v>0</v>
      </c>
      <c r="AI38" s="21">
        <f>IF($E$11="Yes",'Rolled Up Cash Flows'!AJ$31,'Rolled Up Cash Flows'!AJ$53)</f>
        <v>0</v>
      </c>
      <c r="AJ38" s="21">
        <f>IF($E$11="Yes",'Rolled Up Cash Flows'!AK$31,'Rolled Up Cash Flows'!AK$53)</f>
        <v>0</v>
      </c>
      <c r="AK38" s="21">
        <f>IF($E$11="Yes",'Rolled Up Cash Flows'!AL$31,'Rolled Up Cash Flows'!AL$53)</f>
        <v>0</v>
      </c>
      <c r="AL38" s="21">
        <f>IF($E$11="Yes",'Rolled Up Cash Flows'!AM$31,'Rolled Up Cash Flows'!AM$53)</f>
        <v>0</v>
      </c>
      <c r="AM38" s="21">
        <f>IF($E$11="Yes",'Rolled Up Cash Flows'!AN$31,'Rolled Up Cash Flows'!AN$53)</f>
        <v>0</v>
      </c>
      <c r="AN38" s="21">
        <f>IF($E$11="Yes",'Rolled Up Cash Flows'!AO$31,'Rolled Up Cash Flows'!AO$53)</f>
        <v>0</v>
      </c>
      <c r="AO38" s="21">
        <f>IF($E$11="Yes",'Rolled Up Cash Flows'!AP$31,'Rolled Up Cash Flows'!AP$53)</f>
        <v>0</v>
      </c>
      <c r="AP38" s="21">
        <f>IF($E$11="Yes",'Rolled Up Cash Flows'!AQ$31,'Rolled Up Cash Flows'!AQ$53)</f>
        <v>0</v>
      </c>
      <c r="AQ38" s="21">
        <f>IF($E$11="Yes",'Rolled Up Cash Flows'!AR$31,'Rolled Up Cash Flows'!AR$53)</f>
        <v>0</v>
      </c>
      <c r="AR38" s="21">
        <f>IF($E$11="Yes",'Rolled Up Cash Flows'!AS$31,'Rolled Up Cash Flows'!AS$53)</f>
        <v>0</v>
      </c>
      <c r="AS38" s="21">
        <f>IF($E$11="Yes",'Rolled Up Cash Flows'!AT$31,'Rolled Up Cash Flows'!AT$53)</f>
        <v>0</v>
      </c>
      <c r="AT38" s="21">
        <f>IF($E$11="Yes",'Rolled Up Cash Flows'!AU$31,'Rolled Up Cash Flows'!AU$53)</f>
        <v>0</v>
      </c>
      <c r="AU38" s="21">
        <f>IF($E$11="Yes",'Rolled Up Cash Flows'!AV$31,'Rolled Up Cash Flows'!AV$53)</f>
        <v>0</v>
      </c>
      <c r="AV38" s="21">
        <f>IF($E$11="Yes",'Rolled Up Cash Flows'!AW$31,'Rolled Up Cash Flows'!AW$53)</f>
        <v>0</v>
      </c>
      <c r="AW38" s="21">
        <f>IF($E$11="Yes",'Rolled Up Cash Flows'!AX$31,'Rolled Up Cash Flows'!AX$53)</f>
        <v>0</v>
      </c>
      <c r="AX38" s="21">
        <f>IF($E$11="Yes",'Rolled Up Cash Flows'!AY$31,'Rolled Up Cash Flows'!AY$53)</f>
        <v>0</v>
      </c>
      <c r="AY38" s="21">
        <f>IF($E$11="Yes",'Rolled Up Cash Flows'!AZ$31,'Rolled Up Cash Flows'!AZ$53)</f>
        <v>0</v>
      </c>
      <c r="AZ38" s="21">
        <f>IF($E$11="Yes",'Rolled Up Cash Flows'!BA$31,'Rolled Up Cash Flows'!BA$53)</f>
        <v>0</v>
      </c>
      <c r="BA38" s="21">
        <f>IF($E$11="Yes",'Rolled Up Cash Flows'!BB$31,'Rolled Up Cash Flows'!BB$53)</f>
        <v>0</v>
      </c>
      <c r="BB38" s="21">
        <f>IF($E$11="Yes",'Rolled Up Cash Flows'!BC$31,'Rolled Up Cash Flows'!BC$53)</f>
        <v>0</v>
      </c>
      <c r="BC38" s="21">
        <f>IF($E$11="Yes",'Rolled Up Cash Flows'!BD$31,'Rolled Up Cash Flows'!BD$53)</f>
        <v>0</v>
      </c>
      <c r="BD38" s="21">
        <f>IF($E$11="Yes",'Rolled Up Cash Flows'!BE$31,'Rolled Up Cash Flows'!BE$53)</f>
        <v>0</v>
      </c>
      <c r="BE38" s="21">
        <f>IF($E$11="Yes",'Rolled Up Cash Flows'!BF$31,'Rolled Up Cash Flows'!BF$53)</f>
        <v>0</v>
      </c>
      <c r="BF38" s="21">
        <f>IF($E$11="Yes",'Rolled Up Cash Flows'!BG$31,'Rolled Up Cash Flows'!BG$53)</f>
        <v>0</v>
      </c>
      <c r="BG38" s="21">
        <f>IF($E$11="Yes",'Rolled Up Cash Flows'!BH$31,'Rolled Up Cash Flows'!BH$53)</f>
        <v>0</v>
      </c>
      <c r="BH38" s="21">
        <f>IF($E$11="Yes",'Rolled Up Cash Flows'!BI$31,'Rolled Up Cash Flows'!BI$53)</f>
        <v>0</v>
      </c>
      <c r="BI38" s="21">
        <f>IF($E$11="Yes",'Rolled Up Cash Flows'!BJ$31,'Rolled Up Cash Flows'!BJ$53)</f>
        <v>0</v>
      </c>
      <c r="BJ38" s="21">
        <f>IF($E$11="Yes",'Rolled Up Cash Flows'!BK$31,'Rolled Up Cash Flows'!BK$53)</f>
        <v>0</v>
      </c>
      <c r="BK38" s="21">
        <f>IF($E$11="Yes",'Rolled Up Cash Flows'!BL$31,'Rolled Up Cash Flows'!BL$53)</f>
        <v>0</v>
      </c>
      <c r="BL38" s="21">
        <f>IF($E$11="Yes",'Rolled Up Cash Flows'!BM$31,'Rolled Up Cash Flows'!BM$53)</f>
        <v>0</v>
      </c>
      <c r="BM38" s="21">
        <f>IF($E$11="Yes",'Rolled Up Cash Flows'!BN$31,'Rolled Up Cash Flows'!BN$53)</f>
        <v>0</v>
      </c>
      <c r="BN38" s="21">
        <f>IF($E$11="Yes",'Rolled Up Cash Flows'!BO$31,'Rolled Up Cash Flows'!BO$53)</f>
        <v>0</v>
      </c>
      <c r="BO38" s="21">
        <f>IF($E$11="Yes",'Rolled Up Cash Flows'!BP$31,'Rolled Up Cash Flows'!BP$53)</f>
        <v>0</v>
      </c>
      <c r="BP38" s="21">
        <f>IF($E$11="Yes",'Rolled Up Cash Flows'!BQ$31,'Rolled Up Cash Flows'!BQ$53)</f>
        <v>0</v>
      </c>
      <c r="BQ38" s="21">
        <f>IF($E$11="Yes",'Rolled Up Cash Flows'!BR$31,'Rolled Up Cash Flows'!BR$53)</f>
        <v>0</v>
      </c>
      <c r="BR38" s="21">
        <f>IF($E$11="Yes",'Rolled Up Cash Flows'!BS$31,'Rolled Up Cash Flows'!BS$53)</f>
        <v>0</v>
      </c>
      <c r="BS38" s="21">
        <f>IF($E$11="Yes",'Rolled Up Cash Flows'!BT$31,'Rolled Up Cash Flows'!BT$53)</f>
        <v>0</v>
      </c>
      <c r="BT38" s="21">
        <f>IF($E$11="Yes",'Rolled Up Cash Flows'!BU$31,'Rolled Up Cash Flows'!BU$53)</f>
        <v>0</v>
      </c>
      <c r="BU38" s="21">
        <f>IF($E$11="Yes",'Rolled Up Cash Flows'!BV$31,'Rolled Up Cash Flows'!BV$53)</f>
        <v>0</v>
      </c>
      <c r="BV38" s="21">
        <f>IF($E$11="Yes",'Rolled Up Cash Flows'!BW$31,'Rolled Up Cash Flows'!BW$53)</f>
        <v>0</v>
      </c>
      <c r="BW38" s="21">
        <f>IF($E$11="Yes",'Rolled Up Cash Flows'!BX$31,'Rolled Up Cash Flows'!BX$53)</f>
        <v>0</v>
      </c>
      <c r="BX38" s="21">
        <f>IF($E$11="Yes",'Rolled Up Cash Flows'!BY$31,'Rolled Up Cash Flows'!BY$53)</f>
        <v>0</v>
      </c>
      <c r="BY38" s="21">
        <f>IF($E$11="Yes",'Rolled Up Cash Flows'!BZ$31,'Rolled Up Cash Flows'!BZ$53)</f>
        <v>0</v>
      </c>
      <c r="BZ38" s="21">
        <f>IF($E$11="Yes",'Rolled Up Cash Flows'!CA$31,'Rolled Up Cash Flows'!CA$53)</f>
        <v>0</v>
      </c>
      <c r="CA38" s="21">
        <f>IF($E$11="Yes",'Rolled Up Cash Flows'!CB$31,'Rolled Up Cash Flows'!CB$53)</f>
        <v>0</v>
      </c>
      <c r="CB38" s="21">
        <f>IF($E$11="Yes",'Rolled Up Cash Flows'!CC$31,'Rolled Up Cash Flows'!CC$53)</f>
        <v>0</v>
      </c>
      <c r="CC38" s="21">
        <f>IF($E$11="Yes",'Rolled Up Cash Flows'!CD$31,'Rolled Up Cash Flows'!CD$53)</f>
        <v>0</v>
      </c>
      <c r="CD38" s="21">
        <f>IF($E$11="Yes",'Rolled Up Cash Flows'!CE$31,'Rolled Up Cash Flows'!CE$53)</f>
        <v>0</v>
      </c>
      <c r="CE38" s="21">
        <f>IF($E$11="Yes",'Rolled Up Cash Flows'!CF$31,'Rolled Up Cash Flows'!CF$53)</f>
        <v>0</v>
      </c>
      <c r="CF38" s="21">
        <f>IF($E$11="Yes",'Rolled Up Cash Flows'!CG$31,'Rolled Up Cash Flows'!CG$53)</f>
        <v>0</v>
      </c>
      <c r="CG38" s="21">
        <f>IF($E$11="Yes",'Rolled Up Cash Flows'!CH$31,'Rolled Up Cash Flows'!CH$53)</f>
        <v>0</v>
      </c>
      <c r="CH38" s="21">
        <f>IF($E$11="Yes",'Rolled Up Cash Flows'!CI$31,'Rolled Up Cash Flows'!CI$53)</f>
        <v>0</v>
      </c>
      <c r="CI38" s="21">
        <f>IF($E$11="Yes",'Rolled Up Cash Flows'!CJ$31,'Rolled Up Cash Flows'!CJ$53)</f>
        <v>0</v>
      </c>
      <c r="CJ38" s="21">
        <f>IF($E$11="Yes",'Rolled Up Cash Flows'!CK$31,'Rolled Up Cash Flows'!CK$53)</f>
        <v>0</v>
      </c>
      <c r="CK38" s="21">
        <f>IF($E$11="Yes",'Rolled Up Cash Flows'!CL$31,'Rolled Up Cash Flows'!CL$53)</f>
        <v>0</v>
      </c>
      <c r="CL38" s="21">
        <f>IF($E$11="Yes",'Rolled Up Cash Flows'!CM$31,'Rolled Up Cash Flows'!CM$53)</f>
        <v>0</v>
      </c>
      <c r="CM38" s="21">
        <f>IF($E$11="Yes",'Rolled Up Cash Flows'!CN$31,'Rolled Up Cash Flows'!CN$53)</f>
        <v>0</v>
      </c>
      <c r="CN38" s="21">
        <f>IF($E$11="Yes",'Rolled Up Cash Flows'!CO$31,'Rolled Up Cash Flows'!CO$53)</f>
        <v>0</v>
      </c>
      <c r="CO38" s="21">
        <f>IF($E$11="Yes",'Rolled Up Cash Flows'!CP$31,'Rolled Up Cash Flows'!CP$53)</f>
        <v>0</v>
      </c>
      <c r="CP38" s="21">
        <f>IF($E$11="Yes",'Rolled Up Cash Flows'!CQ$31,'Rolled Up Cash Flows'!CQ$53)</f>
        <v>0</v>
      </c>
      <c r="CQ38" s="21">
        <f>IF($E$11="Yes",'Rolled Up Cash Flows'!CR$31,'Rolled Up Cash Flows'!CR$53)</f>
        <v>0</v>
      </c>
      <c r="CR38" s="21">
        <f>IF($E$11="Yes",'Rolled Up Cash Flows'!CS$31,'Rolled Up Cash Flows'!CS$53)</f>
        <v>0</v>
      </c>
      <c r="CS38" s="21">
        <f>IF($E$11="Yes",'Rolled Up Cash Flows'!CT$31,'Rolled Up Cash Flows'!CT$53)</f>
        <v>0</v>
      </c>
      <c r="CT38" s="21">
        <f>IF($E$11="Yes",'Rolled Up Cash Flows'!CU$31,'Rolled Up Cash Flows'!CU$53)</f>
        <v>0</v>
      </c>
      <c r="CU38" s="21">
        <f>IF($E$11="Yes",'Rolled Up Cash Flows'!CV$31,'Rolled Up Cash Flows'!CV$53)</f>
        <v>0</v>
      </c>
      <c r="CV38" s="21">
        <f>IF($E$11="Yes",'Rolled Up Cash Flows'!CW$31,'Rolled Up Cash Flows'!CW$53)</f>
        <v>0</v>
      </c>
      <c r="CW38" s="21">
        <f>IF($E$11="Yes",'Rolled Up Cash Flows'!CX$31,'Rolled Up Cash Flows'!CX$53)</f>
        <v>0</v>
      </c>
      <c r="CX38" s="21">
        <f>IF($E$11="Yes",'Rolled Up Cash Flows'!CY$31,'Rolled Up Cash Flows'!CY$53)</f>
        <v>0</v>
      </c>
      <c r="CY38" s="21">
        <f>IF($E$11="Yes",'Rolled Up Cash Flows'!CZ$31,'Rolled Up Cash Flows'!CZ$53)</f>
        <v>0</v>
      </c>
      <c r="CZ38" s="21">
        <f>IF($E$11="Yes",'Rolled Up Cash Flows'!DA$31,'Rolled Up Cash Flows'!DA$53)</f>
        <v>0</v>
      </c>
      <c r="DA38" s="21">
        <f>IF($E$11="Yes",'Rolled Up Cash Flows'!DB$31,'Rolled Up Cash Flows'!DB$53)</f>
        <v>0</v>
      </c>
      <c r="DB38" s="21">
        <f>IF($E$11="Yes",'Rolled Up Cash Flows'!DC$31,'Rolled Up Cash Flows'!DC$53)</f>
        <v>0</v>
      </c>
      <c r="DC38" s="21">
        <f>IF($E$11="Yes",'Rolled Up Cash Flows'!DD$31,'Rolled Up Cash Flows'!DD$53)</f>
        <v>0</v>
      </c>
      <c r="DD38" s="21">
        <f>IF($E$11="Yes",'Rolled Up Cash Flows'!DE$31,'Rolled Up Cash Flows'!DE$53)</f>
        <v>0</v>
      </c>
      <c r="DE38" s="21">
        <f>IF($E$11="Yes",'Rolled Up Cash Flows'!DF$31,'Rolled Up Cash Flows'!DF$53)</f>
        <v>0</v>
      </c>
      <c r="DF38" s="21">
        <f>IF($E$11="Yes",'Rolled Up Cash Flows'!DG$31,'Rolled Up Cash Flows'!DG$53)</f>
        <v>0</v>
      </c>
      <c r="DG38" s="21">
        <f>IF($E$11="Yes",'Rolled Up Cash Flows'!DH$31,'Rolled Up Cash Flows'!DH$53)</f>
        <v>0</v>
      </c>
      <c r="DH38" s="21">
        <f>IF($E$11="Yes",'Rolled Up Cash Flows'!DI$31,'Rolled Up Cash Flows'!DI$53)</f>
        <v>0</v>
      </c>
      <c r="DI38" s="21">
        <f>IF($E$11="Yes",'Rolled Up Cash Flows'!DJ$31,'Rolled Up Cash Flows'!DJ$53)</f>
        <v>0</v>
      </c>
      <c r="DJ38" s="21">
        <f>IF($E$11="Yes",'Rolled Up Cash Flows'!DK$31,'Rolled Up Cash Flows'!DK$53)</f>
        <v>0</v>
      </c>
      <c r="DK38" s="21">
        <f>IF($E$11="Yes",'Rolled Up Cash Flows'!DL$31,'Rolled Up Cash Flows'!DL$53)</f>
        <v>0</v>
      </c>
      <c r="DL38" s="21">
        <f>IF($E$11="Yes",'Rolled Up Cash Flows'!DM$31,'Rolled Up Cash Flows'!DM$53)</f>
        <v>0</v>
      </c>
      <c r="DM38" s="21">
        <f>IF($E$11="Yes",'Rolled Up Cash Flows'!DN$31,'Rolled Up Cash Flows'!DN$53)</f>
        <v>0</v>
      </c>
      <c r="DN38" s="21">
        <f>IF($E$11="Yes",'Rolled Up Cash Flows'!DO$31,'Rolled Up Cash Flows'!DO$53)</f>
        <v>0</v>
      </c>
      <c r="DO38" s="21">
        <f>IF($E$11="Yes",'Rolled Up Cash Flows'!DP$31,'Rolled Up Cash Flows'!DP$53)</f>
        <v>0</v>
      </c>
      <c r="DP38" s="21">
        <f>IF($E$11="Yes",'Rolled Up Cash Flows'!DQ$31,'Rolled Up Cash Flows'!DQ$53)</f>
        <v>0</v>
      </c>
      <c r="DQ38" s="21">
        <f>IF($E$11="Yes",'Rolled Up Cash Flows'!DR$31,'Rolled Up Cash Flows'!DR$53)</f>
        <v>0</v>
      </c>
      <c r="DR38" s="21">
        <f>IF($E$11="Yes",'Rolled Up Cash Flows'!DS$31,'Rolled Up Cash Flows'!DS$53)</f>
        <v>0</v>
      </c>
      <c r="DS38" s="21">
        <f>IF($E$11="Yes",'Rolled Up Cash Flows'!DT$31,'Rolled Up Cash Flows'!DT$53)</f>
        <v>0</v>
      </c>
      <c r="DT38" s="21">
        <f>IF($E$11="Yes",'Rolled Up Cash Flows'!DU$31,'Rolled Up Cash Flows'!DU$53)</f>
        <v>0</v>
      </c>
    </row>
    <row r="39" spans="2:124" s="3" customFormat="1" ht="22.95" customHeight="1"/>
    <row r="40" spans="2:124" s="3" customFormat="1" ht="22.95" customHeight="1">
      <c r="B40" s="112" t="s">
        <v>79</v>
      </c>
      <c r="C40" s="113" t="s">
        <v>72</v>
      </c>
      <c r="D40" s="114">
        <f>D12</f>
        <v>46934</v>
      </c>
      <c r="E40" s="115">
        <f t="shared" ref="E40:AJ40" si="27">EOMONTH(D40,1)</f>
        <v>46965</v>
      </c>
      <c r="F40" s="115">
        <f t="shared" si="27"/>
        <v>46996</v>
      </c>
      <c r="G40" s="115">
        <f t="shared" si="27"/>
        <v>47026</v>
      </c>
      <c r="H40" s="115">
        <f t="shared" si="27"/>
        <v>47057</v>
      </c>
      <c r="I40" s="115">
        <f t="shared" si="27"/>
        <v>47087</v>
      </c>
      <c r="J40" s="115">
        <f t="shared" si="27"/>
        <v>47118</v>
      </c>
      <c r="K40" s="115">
        <f t="shared" si="27"/>
        <v>47149</v>
      </c>
      <c r="L40" s="115">
        <f t="shared" si="27"/>
        <v>47177</v>
      </c>
      <c r="M40" s="115">
        <f t="shared" si="27"/>
        <v>47208</v>
      </c>
      <c r="N40" s="115">
        <f t="shared" si="27"/>
        <v>47238</v>
      </c>
      <c r="O40" s="115">
        <f t="shared" si="27"/>
        <v>47269</v>
      </c>
      <c r="P40" s="115">
        <f t="shared" si="27"/>
        <v>47299</v>
      </c>
      <c r="Q40" s="115">
        <f t="shared" si="27"/>
        <v>47330</v>
      </c>
      <c r="R40" s="115">
        <f t="shared" si="27"/>
        <v>47361</v>
      </c>
      <c r="S40" s="115">
        <f t="shared" si="27"/>
        <v>47391</v>
      </c>
      <c r="T40" s="115">
        <f t="shared" si="27"/>
        <v>47422</v>
      </c>
      <c r="U40" s="115">
        <f t="shared" si="27"/>
        <v>47452</v>
      </c>
      <c r="V40" s="115">
        <f t="shared" si="27"/>
        <v>47483</v>
      </c>
      <c r="W40" s="115">
        <f t="shared" si="27"/>
        <v>47514</v>
      </c>
      <c r="X40" s="115">
        <f t="shared" si="27"/>
        <v>47542</v>
      </c>
      <c r="Y40" s="115">
        <f t="shared" si="27"/>
        <v>47573</v>
      </c>
      <c r="Z40" s="115">
        <f t="shared" si="27"/>
        <v>47603</v>
      </c>
      <c r="AA40" s="115">
        <f t="shared" si="27"/>
        <v>47634</v>
      </c>
      <c r="AB40" s="115">
        <f t="shared" si="27"/>
        <v>47664</v>
      </c>
      <c r="AC40" s="115">
        <f t="shared" si="27"/>
        <v>47695</v>
      </c>
      <c r="AD40" s="115">
        <f t="shared" si="27"/>
        <v>47726</v>
      </c>
      <c r="AE40" s="115">
        <f t="shared" si="27"/>
        <v>47756</v>
      </c>
      <c r="AF40" s="115">
        <f t="shared" si="27"/>
        <v>47787</v>
      </c>
      <c r="AG40" s="115">
        <f t="shared" si="27"/>
        <v>47817</v>
      </c>
      <c r="AH40" s="115">
        <f t="shared" si="27"/>
        <v>47848</v>
      </c>
      <c r="AI40" s="115">
        <f t="shared" si="27"/>
        <v>47879</v>
      </c>
      <c r="AJ40" s="115">
        <f t="shared" si="27"/>
        <v>47907</v>
      </c>
      <c r="AK40" s="115">
        <f t="shared" ref="AK40:BP40" si="28">EOMONTH(AJ40,1)</f>
        <v>47938</v>
      </c>
      <c r="AL40" s="115">
        <f t="shared" si="28"/>
        <v>47968</v>
      </c>
      <c r="AM40" s="115">
        <f t="shared" si="28"/>
        <v>47999</v>
      </c>
      <c r="AN40" s="115">
        <f t="shared" si="28"/>
        <v>48029</v>
      </c>
      <c r="AO40" s="115">
        <f t="shared" si="28"/>
        <v>48060</v>
      </c>
      <c r="AP40" s="115">
        <f t="shared" si="28"/>
        <v>48091</v>
      </c>
      <c r="AQ40" s="115">
        <f t="shared" si="28"/>
        <v>48121</v>
      </c>
      <c r="AR40" s="115">
        <f t="shared" si="28"/>
        <v>48152</v>
      </c>
      <c r="AS40" s="115">
        <f t="shared" si="28"/>
        <v>48182</v>
      </c>
      <c r="AT40" s="115">
        <f t="shared" si="28"/>
        <v>48213</v>
      </c>
      <c r="AU40" s="115">
        <f t="shared" si="28"/>
        <v>48244</v>
      </c>
      <c r="AV40" s="115">
        <f t="shared" si="28"/>
        <v>48273</v>
      </c>
      <c r="AW40" s="115">
        <f t="shared" si="28"/>
        <v>48304</v>
      </c>
      <c r="AX40" s="115">
        <f t="shared" si="28"/>
        <v>48334</v>
      </c>
      <c r="AY40" s="115">
        <f t="shared" si="28"/>
        <v>48365</v>
      </c>
      <c r="AZ40" s="115">
        <f t="shared" si="28"/>
        <v>48395</v>
      </c>
      <c r="BA40" s="115">
        <f t="shared" si="28"/>
        <v>48426</v>
      </c>
      <c r="BB40" s="115">
        <f t="shared" si="28"/>
        <v>48457</v>
      </c>
      <c r="BC40" s="115">
        <f t="shared" si="28"/>
        <v>48487</v>
      </c>
      <c r="BD40" s="115">
        <f t="shared" si="28"/>
        <v>48518</v>
      </c>
      <c r="BE40" s="115">
        <f t="shared" si="28"/>
        <v>48548</v>
      </c>
      <c r="BF40" s="115">
        <f t="shared" si="28"/>
        <v>48579</v>
      </c>
      <c r="BG40" s="115">
        <f t="shared" si="28"/>
        <v>48610</v>
      </c>
      <c r="BH40" s="115">
        <f t="shared" si="28"/>
        <v>48638</v>
      </c>
      <c r="BI40" s="115">
        <f t="shared" si="28"/>
        <v>48669</v>
      </c>
      <c r="BJ40" s="115">
        <f t="shared" si="28"/>
        <v>48699</v>
      </c>
      <c r="BK40" s="115">
        <f t="shared" si="28"/>
        <v>48730</v>
      </c>
      <c r="BL40" s="115">
        <f t="shared" si="28"/>
        <v>48760</v>
      </c>
      <c r="BM40" s="115">
        <f t="shared" si="28"/>
        <v>48791</v>
      </c>
      <c r="BN40" s="115">
        <f t="shared" si="28"/>
        <v>48822</v>
      </c>
      <c r="BO40" s="115">
        <f t="shared" si="28"/>
        <v>48852</v>
      </c>
      <c r="BP40" s="115">
        <f t="shared" si="28"/>
        <v>48883</v>
      </c>
      <c r="BQ40" s="115">
        <f t="shared" ref="BQ40:CV40" si="29">EOMONTH(BP40,1)</f>
        <v>48913</v>
      </c>
      <c r="BR40" s="115">
        <f t="shared" si="29"/>
        <v>48944</v>
      </c>
      <c r="BS40" s="115">
        <f t="shared" si="29"/>
        <v>48975</v>
      </c>
      <c r="BT40" s="115">
        <f t="shared" si="29"/>
        <v>49003</v>
      </c>
      <c r="BU40" s="115">
        <f t="shared" si="29"/>
        <v>49034</v>
      </c>
      <c r="BV40" s="115">
        <f t="shared" si="29"/>
        <v>49064</v>
      </c>
      <c r="BW40" s="115">
        <f t="shared" si="29"/>
        <v>49095</v>
      </c>
      <c r="BX40" s="115">
        <f t="shared" si="29"/>
        <v>49125</v>
      </c>
      <c r="BY40" s="115">
        <f t="shared" si="29"/>
        <v>49156</v>
      </c>
      <c r="BZ40" s="115">
        <f t="shared" si="29"/>
        <v>49187</v>
      </c>
      <c r="CA40" s="115">
        <f t="shared" si="29"/>
        <v>49217</v>
      </c>
      <c r="CB40" s="115">
        <f t="shared" si="29"/>
        <v>49248</v>
      </c>
      <c r="CC40" s="115">
        <f t="shared" si="29"/>
        <v>49278</v>
      </c>
      <c r="CD40" s="115">
        <f t="shared" si="29"/>
        <v>49309</v>
      </c>
      <c r="CE40" s="115">
        <f t="shared" si="29"/>
        <v>49340</v>
      </c>
      <c r="CF40" s="115">
        <f t="shared" si="29"/>
        <v>49368</v>
      </c>
      <c r="CG40" s="115">
        <f t="shared" si="29"/>
        <v>49399</v>
      </c>
      <c r="CH40" s="115">
        <f t="shared" si="29"/>
        <v>49429</v>
      </c>
      <c r="CI40" s="115">
        <f t="shared" si="29"/>
        <v>49460</v>
      </c>
      <c r="CJ40" s="115">
        <f t="shared" si="29"/>
        <v>49490</v>
      </c>
      <c r="CK40" s="115">
        <f t="shared" si="29"/>
        <v>49521</v>
      </c>
      <c r="CL40" s="115">
        <f t="shared" si="29"/>
        <v>49552</v>
      </c>
      <c r="CM40" s="115">
        <f t="shared" si="29"/>
        <v>49582</v>
      </c>
      <c r="CN40" s="115">
        <f t="shared" si="29"/>
        <v>49613</v>
      </c>
      <c r="CO40" s="115">
        <f t="shared" si="29"/>
        <v>49643</v>
      </c>
      <c r="CP40" s="115">
        <f t="shared" si="29"/>
        <v>49674</v>
      </c>
      <c r="CQ40" s="115">
        <f t="shared" si="29"/>
        <v>49705</v>
      </c>
      <c r="CR40" s="115">
        <f t="shared" si="29"/>
        <v>49734</v>
      </c>
      <c r="CS40" s="115">
        <f t="shared" si="29"/>
        <v>49765</v>
      </c>
      <c r="CT40" s="115">
        <f t="shared" si="29"/>
        <v>49795</v>
      </c>
      <c r="CU40" s="115">
        <f t="shared" si="29"/>
        <v>49826</v>
      </c>
      <c r="CV40" s="115">
        <f t="shared" si="29"/>
        <v>49856</v>
      </c>
      <c r="CW40" s="115">
        <f t="shared" ref="CW40:DT40" si="30">EOMONTH(CV40,1)</f>
        <v>49887</v>
      </c>
      <c r="CX40" s="115">
        <f t="shared" si="30"/>
        <v>49918</v>
      </c>
      <c r="CY40" s="115">
        <f t="shared" si="30"/>
        <v>49948</v>
      </c>
      <c r="CZ40" s="115">
        <f t="shared" si="30"/>
        <v>49979</v>
      </c>
      <c r="DA40" s="115">
        <f t="shared" si="30"/>
        <v>50009</v>
      </c>
      <c r="DB40" s="115">
        <f t="shared" si="30"/>
        <v>50040</v>
      </c>
      <c r="DC40" s="115">
        <f t="shared" si="30"/>
        <v>50071</v>
      </c>
      <c r="DD40" s="115">
        <f t="shared" si="30"/>
        <v>50099</v>
      </c>
      <c r="DE40" s="115">
        <f t="shared" si="30"/>
        <v>50130</v>
      </c>
      <c r="DF40" s="115">
        <f t="shared" si="30"/>
        <v>50160</v>
      </c>
      <c r="DG40" s="115">
        <f t="shared" si="30"/>
        <v>50191</v>
      </c>
      <c r="DH40" s="115">
        <f t="shared" si="30"/>
        <v>50221</v>
      </c>
      <c r="DI40" s="115">
        <f t="shared" si="30"/>
        <v>50252</v>
      </c>
      <c r="DJ40" s="115">
        <f t="shared" si="30"/>
        <v>50283</v>
      </c>
      <c r="DK40" s="115">
        <f t="shared" si="30"/>
        <v>50313</v>
      </c>
      <c r="DL40" s="115">
        <f t="shared" si="30"/>
        <v>50344</v>
      </c>
      <c r="DM40" s="115">
        <f t="shared" si="30"/>
        <v>50374</v>
      </c>
      <c r="DN40" s="115">
        <f t="shared" si="30"/>
        <v>50405</v>
      </c>
      <c r="DO40" s="115">
        <f t="shared" si="30"/>
        <v>50436</v>
      </c>
      <c r="DP40" s="115">
        <f t="shared" si="30"/>
        <v>50464</v>
      </c>
      <c r="DQ40" s="115">
        <f t="shared" si="30"/>
        <v>50495</v>
      </c>
      <c r="DR40" s="115">
        <f t="shared" si="30"/>
        <v>50525</v>
      </c>
      <c r="DS40" s="115">
        <f t="shared" si="30"/>
        <v>50556</v>
      </c>
      <c r="DT40" s="115">
        <f t="shared" si="30"/>
        <v>50586</v>
      </c>
    </row>
    <row r="41" spans="2:124" s="3" customFormat="1" ht="22.95" customHeight="1">
      <c r="B41" s="104" t="s">
        <v>73</v>
      </c>
      <c r="C41" s="22">
        <f>SUM(D41:DT41)</f>
        <v>3393551.9944464052</v>
      </c>
      <c r="D41" s="21">
        <f>IF($E$12="Yes",'Rolled Up Cash Flows'!E$31,'Rolled Up Cash Flows'!E$53)</f>
        <v>46666.666666666664</v>
      </c>
      <c r="E41" s="21">
        <f>IF($E$12="Yes",'Rolled Up Cash Flows'!F$31,'Rolled Up Cash Flows'!F$53)</f>
        <v>-3333.3333333333335</v>
      </c>
      <c r="F41" s="21">
        <f>IF($E$12="Yes",'Rolled Up Cash Flows'!G$31,'Rolled Up Cash Flows'!G$53)</f>
        <v>-3333.3333333333335</v>
      </c>
      <c r="G41" s="21">
        <f>IF($E$12="Yes",'Rolled Up Cash Flows'!H$31,'Rolled Up Cash Flows'!H$53)</f>
        <v>-3333.3333333333335</v>
      </c>
      <c r="H41" s="21">
        <f>IF($E$12="Yes",'Rolled Up Cash Flows'!I$31,'Rolled Up Cash Flows'!I$53)</f>
        <v>-3333.3333333333335</v>
      </c>
      <c r="I41" s="21">
        <f>IF($E$12="Yes",'Rolled Up Cash Flows'!J$31,'Rolled Up Cash Flows'!J$53)</f>
        <v>-3333.3333333333335</v>
      </c>
      <c r="J41" s="21">
        <f>IF($E$12="Yes",'Rolled Up Cash Flows'!K$31,'Rolled Up Cash Flows'!K$53)</f>
        <v>6250</v>
      </c>
      <c r="K41" s="21">
        <f>IF($E$12="Yes",'Rolled Up Cash Flows'!L$31,'Rolled Up Cash Flows'!L$53)</f>
        <v>6250</v>
      </c>
      <c r="L41" s="21">
        <f>IF($E$12="Yes",'Rolled Up Cash Flows'!M$31,'Rolled Up Cash Flows'!M$53)</f>
        <v>6250</v>
      </c>
      <c r="M41" s="21">
        <f>IF($E$12="Yes",'Rolled Up Cash Flows'!N$31,'Rolled Up Cash Flows'!N$53)</f>
        <v>6250</v>
      </c>
      <c r="N41" s="21">
        <f>IF($E$12="Yes",'Rolled Up Cash Flows'!O$31,'Rolled Up Cash Flows'!O$53)</f>
        <v>6250</v>
      </c>
      <c r="O41" s="21">
        <f>IF($E$12="Yes",'Rolled Up Cash Flows'!P$31,'Rolled Up Cash Flows'!P$53)</f>
        <v>6250</v>
      </c>
      <c r="P41" s="21">
        <f>IF($E$12="Yes",'Rolled Up Cash Flows'!Q$31,'Rolled Up Cash Flows'!Q$53)</f>
        <v>6250</v>
      </c>
      <c r="Q41" s="21">
        <f>IF($E$12="Yes",'Rolled Up Cash Flows'!R$31,'Rolled Up Cash Flows'!R$53)</f>
        <v>6250</v>
      </c>
      <c r="R41" s="21">
        <f>IF($E$12="Yes",'Rolled Up Cash Flows'!S$31,'Rolled Up Cash Flows'!S$53)</f>
        <v>6250</v>
      </c>
      <c r="S41" s="21">
        <f>IF($E$12="Yes",'Rolled Up Cash Flows'!T$31,'Rolled Up Cash Flows'!T$53)</f>
        <v>6250</v>
      </c>
      <c r="T41" s="21">
        <f>IF($E$12="Yes",'Rolled Up Cash Flows'!U$31,'Rolled Up Cash Flows'!U$53)</f>
        <v>6250</v>
      </c>
      <c r="U41" s="21">
        <f>IF($E$12="Yes",'Rolled Up Cash Flows'!V$31,'Rolled Up Cash Flows'!V$53)</f>
        <v>6250</v>
      </c>
      <c r="V41" s="21">
        <f>IF($E$12="Yes",'Rolled Up Cash Flows'!W$31,'Rolled Up Cash Flows'!W$53)</f>
        <v>37500</v>
      </c>
      <c r="W41" s="21">
        <f>IF($E$12="Yes",'Rolled Up Cash Flows'!X$31,'Rolled Up Cash Flows'!X$53)</f>
        <v>0</v>
      </c>
      <c r="X41" s="21">
        <f>IF($E$12="Yes",'Rolled Up Cash Flows'!Y$31,'Rolled Up Cash Flows'!Y$53)</f>
        <v>0</v>
      </c>
      <c r="Y41" s="21">
        <f>IF($E$12="Yes",'Rolled Up Cash Flows'!Z$31,'Rolled Up Cash Flows'!Z$53)</f>
        <v>0</v>
      </c>
      <c r="Z41" s="21">
        <f>IF($E$12="Yes",'Rolled Up Cash Flows'!AA$31,'Rolled Up Cash Flows'!AA$53)</f>
        <v>0</v>
      </c>
      <c r="AA41" s="21">
        <f>IF($E$12="Yes",'Rolled Up Cash Flows'!AB$31,'Rolled Up Cash Flows'!AB$53)</f>
        <v>0</v>
      </c>
      <c r="AB41" s="21">
        <f>IF($E$12="Yes",'Rolled Up Cash Flows'!AC$31,'Rolled Up Cash Flows'!AC$53)</f>
        <v>1350000</v>
      </c>
      <c r="AC41" s="21">
        <f>IF($E$12="Yes",'Rolled Up Cash Flows'!AD$31,'Rolled Up Cash Flows'!AD$53)</f>
        <v>0</v>
      </c>
      <c r="AD41" s="21">
        <f>IF($E$12="Yes",'Rolled Up Cash Flows'!AE$31,'Rolled Up Cash Flows'!AE$53)</f>
        <v>0</v>
      </c>
      <c r="AE41" s="21">
        <f>IF($E$12="Yes",'Rolled Up Cash Flows'!AF$31,'Rolled Up Cash Flows'!AF$53)</f>
        <v>9851.3671875</v>
      </c>
      <c r="AF41" s="21">
        <f>IF($E$12="Yes",'Rolled Up Cash Flows'!AG$31,'Rolled Up Cash Flows'!AG$53)</f>
        <v>9851.3671875</v>
      </c>
      <c r="AG41" s="21">
        <f>IF($E$12="Yes",'Rolled Up Cash Flows'!AH$31,'Rolled Up Cash Flows'!AH$53)</f>
        <v>9851.3671875</v>
      </c>
      <c r="AH41" s="21">
        <f>IF($E$12="Yes",'Rolled Up Cash Flows'!AI$31,'Rolled Up Cash Flows'!AI$53)</f>
        <v>9851.3671875</v>
      </c>
      <c r="AI41" s="21">
        <f>IF($E$12="Yes",'Rolled Up Cash Flows'!AJ$31,'Rolled Up Cash Flows'!AJ$53)</f>
        <v>9851.3671875</v>
      </c>
      <c r="AJ41" s="21">
        <f>IF($E$12="Yes",'Rolled Up Cash Flows'!AK$31,'Rolled Up Cash Flows'!AK$53)</f>
        <v>9851.3671875</v>
      </c>
      <c r="AK41" s="21">
        <f>IF($E$12="Yes",'Rolled Up Cash Flows'!AL$31,'Rolled Up Cash Flows'!AL$53)</f>
        <v>9851.3671875</v>
      </c>
      <c r="AL41" s="21">
        <f>IF($E$12="Yes",'Rolled Up Cash Flows'!AM$31,'Rolled Up Cash Flows'!AM$53)</f>
        <v>9851.3671875</v>
      </c>
      <c r="AM41" s="21">
        <f>IF($E$12="Yes",'Rolled Up Cash Flows'!AN$31,'Rolled Up Cash Flows'!AN$53)</f>
        <v>9851.3671875</v>
      </c>
      <c r="AN41" s="21">
        <f>IF($E$12="Yes",'Rolled Up Cash Flows'!AO$31,'Rolled Up Cash Flows'!AO$53)</f>
        <v>9851.3671875</v>
      </c>
      <c r="AO41" s="21">
        <f>IF($E$12="Yes",'Rolled Up Cash Flows'!AP$31,'Rolled Up Cash Flows'!AP$53)</f>
        <v>9851.3671875</v>
      </c>
      <c r="AP41" s="21">
        <f>IF($E$12="Yes",'Rolled Up Cash Flows'!AQ$31,'Rolled Up Cash Flows'!AQ$53)</f>
        <v>9851.3671875</v>
      </c>
      <c r="AQ41" s="21">
        <f>IF($E$12="Yes",'Rolled Up Cash Flows'!AR$31,'Rolled Up Cash Flows'!AR$53)</f>
        <v>9851.3671875</v>
      </c>
      <c r="AR41" s="21">
        <f>IF($E$12="Yes",'Rolled Up Cash Flows'!AS$31,'Rolled Up Cash Flows'!AS$53)</f>
        <v>9851.3671875</v>
      </c>
      <c r="AS41" s="21">
        <f>IF($E$12="Yes",'Rolled Up Cash Flows'!AT$31,'Rolled Up Cash Flows'!AT$53)</f>
        <v>9851.3671875</v>
      </c>
      <c r="AT41" s="21">
        <f>IF($E$12="Yes",'Rolled Up Cash Flows'!AU$31,'Rolled Up Cash Flows'!AU$53)</f>
        <v>9851.3671875</v>
      </c>
      <c r="AU41" s="21">
        <f>IF($E$12="Yes",'Rolled Up Cash Flows'!AV$31,'Rolled Up Cash Flows'!AV$53)</f>
        <v>9851.3671875</v>
      </c>
      <c r="AV41" s="21">
        <f>IF($E$12="Yes",'Rolled Up Cash Flows'!AW$31,'Rolled Up Cash Flows'!AW$53)</f>
        <v>9851.3671875</v>
      </c>
      <c r="AW41" s="21">
        <f>IF($E$12="Yes",'Rolled Up Cash Flows'!AX$31,'Rolled Up Cash Flows'!AX$53)</f>
        <v>21035.69370372003</v>
      </c>
      <c r="AX41" s="21">
        <f>IF($E$12="Yes",'Rolled Up Cash Flows'!AY$31,'Rolled Up Cash Flows'!AY$53)</f>
        <v>21035.69370372003</v>
      </c>
      <c r="AY41" s="21">
        <f>IF($E$12="Yes",'Rolled Up Cash Flows'!AZ$31,'Rolled Up Cash Flows'!AZ$53)</f>
        <v>21035.69370372003</v>
      </c>
      <c r="AZ41" s="21">
        <f>IF($E$12="Yes",'Rolled Up Cash Flows'!BA$31,'Rolled Up Cash Flows'!BA$53)</f>
        <v>21035.69370372003</v>
      </c>
      <c r="BA41" s="21">
        <f>IF($E$12="Yes",'Rolled Up Cash Flows'!BB$31,'Rolled Up Cash Flows'!BB$53)</f>
        <v>21035.69370372003</v>
      </c>
      <c r="BB41" s="21">
        <f>IF($E$12="Yes",'Rolled Up Cash Flows'!BC$31,'Rolled Up Cash Flows'!BC$53)</f>
        <v>21035.69370372003</v>
      </c>
      <c r="BC41" s="21">
        <f>IF($E$12="Yes",'Rolled Up Cash Flows'!BD$31,'Rolled Up Cash Flows'!BD$53)</f>
        <v>447829.27832628123</v>
      </c>
      <c r="BD41" s="21">
        <f>IF($E$12="Yes",'Rolled Up Cash Flows'!BE$31,'Rolled Up Cash Flows'!BE$53)</f>
        <v>68812.176774800188</v>
      </c>
      <c r="BE41" s="21">
        <f>IF($E$12="Yes",'Rolled Up Cash Flows'!BF$31,'Rolled Up Cash Flows'!BF$53)</f>
        <v>70062.176774800188</v>
      </c>
      <c r="BF41" s="21">
        <f>IF($E$12="Yes",'Rolled Up Cash Flows'!BG$31,'Rolled Up Cash Flows'!BG$53)</f>
        <v>71312.176774800188</v>
      </c>
      <c r="BG41" s="21">
        <f>IF($E$12="Yes",'Rolled Up Cash Flows'!BH$31,'Rolled Up Cash Flows'!BH$53)</f>
        <v>72562.176774800188</v>
      </c>
      <c r="BH41" s="21">
        <f>IF($E$12="Yes",'Rolled Up Cash Flows'!BI$31,'Rolled Up Cash Flows'!BI$53)</f>
        <v>73812.176774800188</v>
      </c>
      <c r="BI41" s="21">
        <f>IF($E$12="Yes",'Rolled Up Cash Flows'!BJ$31,'Rolled Up Cash Flows'!BJ$53)</f>
        <v>75062.176774800188</v>
      </c>
      <c r="BJ41" s="21">
        <f>IF($E$12="Yes",'Rolled Up Cash Flows'!BK$31,'Rolled Up Cash Flows'!BK$53)</f>
        <v>76312.176774800188</v>
      </c>
      <c r="BK41" s="21">
        <f>IF($E$12="Yes",'Rolled Up Cash Flows'!BL$31,'Rolled Up Cash Flows'!BL$53)</f>
        <v>77562.176774800188</v>
      </c>
      <c r="BL41" s="21">
        <f>IF($E$12="Yes",'Rolled Up Cash Flows'!BM$31,'Rolled Up Cash Flows'!BM$53)</f>
        <v>78812.176774800188</v>
      </c>
      <c r="BM41" s="21">
        <f>IF($E$12="Yes",'Rolled Up Cash Flows'!BN$31,'Rolled Up Cash Flows'!BN$53)</f>
        <v>80062.176774800188</v>
      </c>
      <c r="BN41" s="21">
        <f>IF($E$12="Yes",'Rolled Up Cash Flows'!BO$31,'Rolled Up Cash Flows'!BO$53)</f>
        <v>81312.176774800188</v>
      </c>
      <c r="BO41" s="21">
        <f>IF($E$12="Yes",'Rolled Up Cash Flows'!BP$31,'Rolled Up Cash Flows'!BP$53)</f>
        <v>6750</v>
      </c>
      <c r="BP41" s="21">
        <f>IF($E$12="Yes",'Rolled Up Cash Flows'!BQ$31,'Rolled Up Cash Flows'!BQ$53)</f>
        <v>6750</v>
      </c>
      <c r="BQ41" s="21">
        <f>IF($E$12="Yes",'Rolled Up Cash Flows'!BR$31,'Rolled Up Cash Flows'!BR$53)</f>
        <v>6750</v>
      </c>
      <c r="BR41" s="21">
        <f>IF($E$12="Yes",'Rolled Up Cash Flows'!BS$31,'Rolled Up Cash Flows'!BS$53)</f>
        <v>6750</v>
      </c>
      <c r="BS41" s="21">
        <f>IF($E$12="Yes",'Rolled Up Cash Flows'!BT$31,'Rolled Up Cash Flows'!BT$53)</f>
        <v>6750</v>
      </c>
      <c r="BT41" s="21">
        <f>IF($E$12="Yes",'Rolled Up Cash Flows'!BU$31,'Rolled Up Cash Flows'!BU$53)</f>
        <v>6750</v>
      </c>
      <c r="BU41" s="21">
        <f>IF($E$12="Yes",'Rolled Up Cash Flows'!BV$31,'Rolled Up Cash Flows'!BV$53)</f>
        <v>6750</v>
      </c>
      <c r="BV41" s="21">
        <f>IF($E$12="Yes",'Rolled Up Cash Flows'!BW$31,'Rolled Up Cash Flows'!BW$53)</f>
        <v>6750</v>
      </c>
      <c r="BW41" s="21">
        <f>IF($E$12="Yes",'Rolled Up Cash Flows'!BX$31,'Rolled Up Cash Flows'!BX$53)</f>
        <v>6750</v>
      </c>
      <c r="BX41" s="21">
        <f>IF($E$12="Yes",'Rolled Up Cash Flows'!BY$31,'Rolled Up Cash Flows'!BY$53)</f>
        <v>6750</v>
      </c>
      <c r="BY41" s="21">
        <f>IF($E$12="Yes",'Rolled Up Cash Flows'!BZ$31,'Rolled Up Cash Flows'!BZ$53)</f>
        <v>6750</v>
      </c>
      <c r="BZ41" s="21">
        <f>IF($E$12="Yes",'Rolled Up Cash Flows'!CA$31,'Rolled Up Cash Flows'!CA$53)</f>
        <v>6750</v>
      </c>
      <c r="CA41" s="21">
        <f>IF($E$12="Yes",'Rolled Up Cash Flows'!CB$31,'Rolled Up Cash Flows'!CB$53)</f>
        <v>6750</v>
      </c>
      <c r="CB41" s="21">
        <f>IF($E$12="Yes",'Rolled Up Cash Flows'!CC$31,'Rolled Up Cash Flows'!CC$53)</f>
        <v>6750</v>
      </c>
      <c r="CC41" s="21">
        <f>IF($E$12="Yes",'Rolled Up Cash Flows'!CD$31,'Rolled Up Cash Flows'!CD$53)</f>
        <v>6750</v>
      </c>
      <c r="CD41" s="21">
        <f>IF($E$12="Yes",'Rolled Up Cash Flows'!CE$31,'Rolled Up Cash Flows'!CE$53)</f>
        <v>6750</v>
      </c>
      <c r="CE41" s="21">
        <f>IF($E$12="Yes",'Rolled Up Cash Flows'!CF$31,'Rolled Up Cash Flows'!CF$53)</f>
        <v>6750</v>
      </c>
      <c r="CF41" s="21">
        <f>IF($E$12="Yes",'Rolled Up Cash Flows'!CG$31,'Rolled Up Cash Flows'!CG$53)</f>
        <v>6750</v>
      </c>
      <c r="CG41" s="21">
        <f>IF($E$12="Yes",'Rolled Up Cash Flows'!CH$31,'Rolled Up Cash Flows'!CH$53)</f>
        <v>6750</v>
      </c>
      <c r="CH41" s="21">
        <f>IF($E$12="Yes",'Rolled Up Cash Flows'!CI$31,'Rolled Up Cash Flows'!CI$53)</f>
        <v>6750</v>
      </c>
      <c r="CI41" s="21">
        <f>IF($E$12="Yes",'Rolled Up Cash Flows'!CJ$31,'Rolled Up Cash Flows'!CJ$53)</f>
        <v>6750</v>
      </c>
      <c r="CJ41" s="21">
        <f>IF($E$12="Yes",'Rolled Up Cash Flows'!CK$31,'Rolled Up Cash Flows'!CK$53)</f>
        <v>6750</v>
      </c>
      <c r="CK41" s="21">
        <f>IF($E$12="Yes",'Rolled Up Cash Flows'!CL$31,'Rolled Up Cash Flows'!CL$53)</f>
        <v>6750</v>
      </c>
      <c r="CL41" s="21">
        <f>IF($E$12="Yes",'Rolled Up Cash Flows'!CM$31,'Rolled Up Cash Flows'!CM$53)</f>
        <v>6750</v>
      </c>
      <c r="CM41" s="21">
        <f>IF($E$12="Yes",'Rolled Up Cash Flows'!CN$31,'Rolled Up Cash Flows'!CN$53)</f>
        <v>6750</v>
      </c>
      <c r="CN41" s="21">
        <f>IF($E$12="Yes",'Rolled Up Cash Flows'!CO$31,'Rolled Up Cash Flows'!CO$53)</f>
        <v>6750</v>
      </c>
      <c r="CO41" s="21">
        <f>IF($E$12="Yes",'Rolled Up Cash Flows'!CP$31,'Rolled Up Cash Flows'!CP$53)</f>
        <v>6750</v>
      </c>
      <c r="CP41" s="21">
        <f>IF($E$12="Yes",'Rolled Up Cash Flows'!CQ$31,'Rolled Up Cash Flows'!CQ$53)</f>
        <v>6750</v>
      </c>
      <c r="CQ41" s="21">
        <f>IF($E$12="Yes",'Rolled Up Cash Flows'!CR$31,'Rolled Up Cash Flows'!CR$53)</f>
        <v>6750</v>
      </c>
      <c r="CR41" s="21">
        <f>IF($E$12="Yes",'Rolled Up Cash Flows'!CS$31,'Rolled Up Cash Flows'!CS$53)</f>
        <v>6750</v>
      </c>
      <c r="CS41" s="21">
        <f>IF($E$12="Yes",'Rolled Up Cash Flows'!CT$31,'Rolled Up Cash Flows'!CT$53)</f>
        <v>6750</v>
      </c>
      <c r="CT41" s="21">
        <f>IF($E$12="Yes",'Rolled Up Cash Flows'!CU$31,'Rolled Up Cash Flows'!CU$53)</f>
        <v>6750</v>
      </c>
      <c r="CU41" s="21">
        <f>IF($E$12="Yes",'Rolled Up Cash Flows'!CV$31,'Rolled Up Cash Flows'!CV$53)</f>
        <v>6750</v>
      </c>
      <c r="CV41" s="21">
        <f>IF($E$12="Yes",'Rolled Up Cash Flows'!CW$31,'Rolled Up Cash Flows'!CW$53)</f>
        <v>6750</v>
      </c>
      <c r="CW41" s="21">
        <f>IF($E$12="Yes",'Rolled Up Cash Flows'!CX$31,'Rolled Up Cash Flows'!CX$53)</f>
        <v>6750</v>
      </c>
      <c r="CX41" s="21">
        <f>IF($E$12="Yes",'Rolled Up Cash Flows'!CY$31,'Rolled Up Cash Flows'!CY$53)</f>
        <v>6750</v>
      </c>
      <c r="CY41" s="21">
        <f>IF($E$12="Yes",'Rolled Up Cash Flows'!CZ$31,'Rolled Up Cash Flows'!CZ$53)</f>
        <v>6750</v>
      </c>
      <c r="CZ41" s="21">
        <f>IF($E$12="Yes",'Rolled Up Cash Flows'!DA$31,'Rolled Up Cash Flows'!DA$53)</f>
        <v>6750</v>
      </c>
      <c r="DA41" s="21">
        <f>IF($E$12="Yes",'Rolled Up Cash Flows'!DB$31,'Rolled Up Cash Flows'!DB$53)</f>
        <v>6750</v>
      </c>
      <c r="DB41" s="21">
        <f>IF($E$12="Yes",'Rolled Up Cash Flows'!DC$31,'Rolled Up Cash Flows'!DC$53)</f>
        <v>6750</v>
      </c>
      <c r="DC41" s="21">
        <f>IF($E$12="Yes",'Rolled Up Cash Flows'!DD$31,'Rolled Up Cash Flows'!DD$53)</f>
        <v>6750</v>
      </c>
      <c r="DD41" s="21">
        <f>IF($E$12="Yes",'Rolled Up Cash Flows'!DE$31,'Rolled Up Cash Flows'!DE$53)</f>
        <v>6750</v>
      </c>
      <c r="DE41" s="21">
        <f>IF($E$12="Yes",'Rolled Up Cash Flows'!DF$31,'Rolled Up Cash Flows'!DF$53)</f>
        <v>6750</v>
      </c>
      <c r="DF41" s="21">
        <f>IF($E$12="Yes",'Rolled Up Cash Flows'!DG$31,'Rolled Up Cash Flows'!DG$53)</f>
        <v>6750</v>
      </c>
      <c r="DG41" s="21">
        <f>IF($E$12="Yes",'Rolled Up Cash Flows'!DH$31,'Rolled Up Cash Flows'!DH$53)</f>
        <v>6750</v>
      </c>
      <c r="DH41" s="21">
        <f>IF($E$12="Yes",'Rolled Up Cash Flows'!DI$31,'Rolled Up Cash Flows'!DI$53)</f>
        <v>6750</v>
      </c>
      <c r="DI41" s="21">
        <f>IF($E$12="Yes",'Rolled Up Cash Flows'!DJ$31,'Rolled Up Cash Flows'!DJ$53)</f>
        <v>6750</v>
      </c>
      <c r="DJ41" s="21">
        <f>IF($E$12="Yes",'Rolled Up Cash Flows'!DK$31,'Rolled Up Cash Flows'!DK$53)</f>
        <v>6750</v>
      </c>
      <c r="DK41" s="21">
        <f>IF($E$12="Yes",'Rolled Up Cash Flows'!DL$31,'Rolled Up Cash Flows'!DL$53)</f>
        <v>0</v>
      </c>
      <c r="DL41" s="21">
        <f>IF($E$12="Yes",'Rolled Up Cash Flows'!DM$31,'Rolled Up Cash Flows'!DM$53)</f>
        <v>0</v>
      </c>
      <c r="DM41" s="21">
        <f>IF($E$12="Yes",'Rolled Up Cash Flows'!DN$31,'Rolled Up Cash Flows'!DN$53)</f>
        <v>0</v>
      </c>
      <c r="DN41" s="21">
        <f>IF($E$12="Yes",'Rolled Up Cash Flows'!DO$31,'Rolled Up Cash Flows'!DO$53)</f>
        <v>0</v>
      </c>
      <c r="DO41" s="21">
        <f>IF($E$12="Yes",'Rolled Up Cash Flows'!DP$31,'Rolled Up Cash Flows'!DP$53)</f>
        <v>0</v>
      </c>
      <c r="DP41" s="21">
        <f>IF($E$12="Yes",'Rolled Up Cash Flows'!DQ$31,'Rolled Up Cash Flows'!DQ$53)</f>
        <v>0</v>
      </c>
      <c r="DQ41" s="21">
        <f>IF($E$12="Yes",'Rolled Up Cash Flows'!DR$31,'Rolled Up Cash Flows'!DR$53)</f>
        <v>0</v>
      </c>
      <c r="DR41" s="21">
        <f>IF($E$12="Yes",'Rolled Up Cash Flows'!DS$31,'Rolled Up Cash Flows'!DS$53)</f>
        <v>0</v>
      </c>
      <c r="DS41" s="21">
        <f>IF($E$12="Yes",'Rolled Up Cash Flows'!DT$31,'Rolled Up Cash Flows'!DT$53)</f>
        <v>0</v>
      </c>
      <c r="DT41" s="21">
        <f>IF($E$12="Yes",'Rolled Up Cash Flows'!DU$31,'Rolled Up Cash Flows'!DU$53)</f>
        <v>0</v>
      </c>
    </row>
    <row r="42" spans="2:124" s="3" customFormat="1" ht="22.95" customHeight="1"/>
    <row r="43" spans="2:124" s="3" customFormat="1" ht="22.95" customHeight="1">
      <c r="B43" s="112" t="s">
        <v>80</v>
      </c>
      <c r="C43" s="113" t="s">
        <v>72</v>
      </c>
      <c r="D43" s="114">
        <f>D13</f>
        <v>47026</v>
      </c>
      <c r="E43" s="115">
        <f t="shared" ref="E43:AJ43" si="31">EOMONTH(D43,1)</f>
        <v>47057</v>
      </c>
      <c r="F43" s="115">
        <f t="shared" si="31"/>
        <v>47087</v>
      </c>
      <c r="G43" s="115">
        <f t="shared" si="31"/>
        <v>47118</v>
      </c>
      <c r="H43" s="115">
        <f t="shared" si="31"/>
        <v>47149</v>
      </c>
      <c r="I43" s="115">
        <f t="shared" si="31"/>
        <v>47177</v>
      </c>
      <c r="J43" s="115">
        <f t="shared" si="31"/>
        <v>47208</v>
      </c>
      <c r="K43" s="115">
        <f t="shared" si="31"/>
        <v>47238</v>
      </c>
      <c r="L43" s="115">
        <f t="shared" si="31"/>
        <v>47269</v>
      </c>
      <c r="M43" s="115">
        <f t="shared" si="31"/>
        <v>47299</v>
      </c>
      <c r="N43" s="115">
        <f t="shared" si="31"/>
        <v>47330</v>
      </c>
      <c r="O43" s="115">
        <f t="shared" si="31"/>
        <v>47361</v>
      </c>
      <c r="P43" s="115">
        <f t="shared" si="31"/>
        <v>47391</v>
      </c>
      <c r="Q43" s="115">
        <f t="shared" si="31"/>
        <v>47422</v>
      </c>
      <c r="R43" s="115">
        <f t="shared" si="31"/>
        <v>47452</v>
      </c>
      <c r="S43" s="115">
        <f t="shared" si="31"/>
        <v>47483</v>
      </c>
      <c r="T43" s="115">
        <f t="shared" si="31"/>
        <v>47514</v>
      </c>
      <c r="U43" s="115">
        <f t="shared" si="31"/>
        <v>47542</v>
      </c>
      <c r="V43" s="115">
        <f t="shared" si="31"/>
        <v>47573</v>
      </c>
      <c r="W43" s="115">
        <f t="shared" si="31"/>
        <v>47603</v>
      </c>
      <c r="X43" s="115">
        <f t="shared" si="31"/>
        <v>47634</v>
      </c>
      <c r="Y43" s="115">
        <f t="shared" si="31"/>
        <v>47664</v>
      </c>
      <c r="Z43" s="115">
        <f t="shared" si="31"/>
        <v>47695</v>
      </c>
      <c r="AA43" s="115">
        <f t="shared" si="31"/>
        <v>47726</v>
      </c>
      <c r="AB43" s="115">
        <f t="shared" si="31"/>
        <v>47756</v>
      </c>
      <c r="AC43" s="115">
        <f t="shared" si="31"/>
        <v>47787</v>
      </c>
      <c r="AD43" s="115">
        <f t="shared" si="31"/>
        <v>47817</v>
      </c>
      <c r="AE43" s="115">
        <f t="shared" si="31"/>
        <v>47848</v>
      </c>
      <c r="AF43" s="115">
        <f t="shared" si="31"/>
        <v>47879</v>
      </c>
      <c r="AG43" s="115">
        <f t="shared" si="31"/>
        <v>47907</v>
      </c>
      <c r="AH43" s="115">
        <f t="shared" si="31"/>
        <v>47938</v>
      </c>
      <c r="AI43" s="115">
        <f t="shared" si="31"/>
        <v>47968</v>
      </c>
      <c r="AJ43" s="115">
        <f t="shared" si="31"/>
        <v>47999</v>
      </c>
      <c r="AK43" s="115">
        <f t="shared" ref="AK43:BP43" si="32">EOMONTH(AJ43,1)</f>
        <v>48029</v>
      </c>
      <c r="AL43" s="115">
        <f t="shared" si="32"/>
        <v>48060</v>
      </c>
      <c r="AM43" s="115">
        <f t="shared" si="32"/>
        <v>48091</v>
      </c>
      <c r="AN43" s="115">
        <f t="shared" si="32"/>
        <v>48121</v>
      </c>
      <c r="AO43" s="115">
        <f t="shared" si="32"/>
        <v>48152</v>
      </c>
      <c r="AP43" s="115">
        <f t="shared" si="32"/>
        <v>48182</v>
      </c>
      <c r="AQ43" s="115">
        <f t="shared" si="32"/>
        <v>48213</v>
      </c>
      <c r="AR43" s="115">
        <f t="shared" si="32"/>
        <v>48244</v>
      </c>
      <c r="AS43" s="115">
        <f t="shared" si="32"/>
        <v>48273</v>
      </c>
      <c r="AT43" s="115">
        <f t="shared" si="32"/>
        <v>48304</v>
      </c>
      <c r="AU43" s="115">
        <f t="shared" si="32"/>
        <v>48334</v>
      </c>
      <c r="AV43" s="115">
        <f t="shared" si="32"/>
        <v>48365</v>
      </c>
      <c r="AW43" s="115">
        <f t="shared" si="32"/>
        <v>48395</v>
      </c>
      <c r="AX43" s="115">
        <f t="shared" si="32"/>
        <v>48426</v>
      </c>
      <c r="AY43" s="115">
        <f t="shared" si="32"/>
        <v>48457</v>
      </c>
      <c r="AZ43" s="115">
        <f t="shared" si="32"/>
        <v>48487</v>
      </c>
      <c r="BA43" s="115">
        <f t="shared" si="32"/>
        <v>48518</v>
      </c>
      <c r="BB43" s="115">
        <f t="shared" si="32"/>
        <v>48548</v>
      </c>
      <c r="BC43" s="115">
        <f t="shared" si="32"/>
        <v>48579</v>
      </c>
      <c r="BD43" s="115">
        <f t="shared" si="32"/>
        <v>48610</v>
      </c>
      <c r="BE43" s="115">
        <f t="shared" si="32"/>
        <v>48638</v>
      </c>
      <c r="BF43" s="115">
        <f t="shared" si="32"/>
        <v>48669</v>
      </c>
      <c r="BG43" s="115">
        <f t="shared" si="32"/>
        <v>48699</v>
      </c>
      <c r="BH43" s="115">
        <f t="shared" si="32"/>
        <v>48730</v>
      </c>
      <c r="BI43" s="115">
        <f t="shared" si="32"/>
        <v>48760</v>
      </c>
      <c r="BJ43" s="115">
        <f t="shared" si="32"/>
        <v>48791</v>
      </c>
      <c r="BK43" s="115">
        <f t="shared" si="32"/>
        <v>48822</v>
      </c>
      <c r="BL43" s="115">
        <f t="shared" si="32"/>
        <v>48852</v>
      </c>
      <c r="BM43" s="115">
        <f t="shared" si="32"/>
        <v>48883</v>
      </c>
      <c r="BN43" s="115">
        <f t="shared" si="32"/>
        <v>48913</v>
      </c>
      <c r="BO43" s="115">
        <f t="shared" si="32"/>
        <v>48944</v>
      </c>
      <c r="BP43" s="115">
        <f t="shared" si="32"/>
        <v>48975</v>
      </c>
      <c r="BQ43" s="115">
        <f t="shared" ref="BQ43:CV43" si="33">EOMONTH(BP43,1)</f>
        <v>49003</v>
      </c>
      <c r="BR43" s="115">
        <f t="shared" si="33"/>
        <v>49034</v>
      </c>
      <c r="BS43" s="115">
        <f t="shared" si="33"/>
        <v>49064</v>
      </c>
      <c r="BT43" s="115">
        <f t="shared" si="33"/>
        <v>49095</v>
      </c>
      <c r="BU43" s="115">
        <f t="shared" si="33"/>
        <v>49125</v>
      </c>
      <c r="BV43" s="115">
        <f t="shared" si="33"/>
        <v>49156</v>
      </c>
      <c r="BW43" s="115">
        <f t="shared" si="33"/>
        <v>49187</v>
      </c>
      <c r="BX43" s="115">
        <f t="shared" si="33"/>
        <v>49217</v>
      </c>
      <c r="BY43" s="115">
        <f t="shared" si="33"/>
        <v>49248</v>
      </c>
      <c r="BZ43" s="115">
        <f t="shared" si="33"/>
        <v>49278</v>
      </c>
      <c r="CA43" s="115">
        <f t="shared" si="33"/>
        <v>49309</v>
      </c>
      <c r="CB43" s="115">
        <f t="shared" si="33"/>
        <v>49340</v>
      </c>
      <c r="CC43" s="115">
        <f t="shared" si="33"/>
        <v>49368</v>
      </c>
      <c r="CD43" s="115">
        <f t="shared" si="33"/>
        <v>49399</v>
      </c>
      <c r="CE43" s="115">
        <f t="shared" si="33"/>
        <v>49429</v>
      </c>
      <c r="CF43" s="115">
        <f t="shared" si="33"/>
        <v>49460</v>
      </c>
      <c r="CG43" s="115">
        <f t="shared" si="33"/>
        <v>49490</v>
      </c>
      <c r="CH43" s="115">
        <f t="shared" si="33"/>
        <v>49521</v>
      </c>
      <c r="CI43" s="115">
        <f t="shared" si="33"/>
        <v>49552</v>
      </c>
      <c r="CJ43" s="115">
        <f t="shared" si="33"/>
        <v>49582</v>
      </c>
      <c r="CK43" s="115">
        <f t="shared" si="33"/>
        <v>49613</v>
      </c>
      <c r="CL43" s="115">
        <f t="shared" si="33"/>
        <v>49643</v>
      </c>
      <c r="CM43" s="115">
        <f t="shared" si="33"/>
        <v>49674</v>
      </c>
      <c r="CN43" s="115">
        <f t="shared" si="33"/>
        <v>49705</v>
      </c>
      <c r="CO43" s="115">
        <f t="shared" si="33"/>
        <v>49734</v>
      </c>
      <c r="CP43" s="115">
        <f t="shared" si="33"/>
        <v>49765</v>
      </c>
      <c r="CQ43" s="115">
        <f t="shared" si="33"/>
        <v>49795</v>
      </c>
      <c r="CR43" s="115">
        <f t="shared" si="33"/>
        <v>49826</v>
      </c>
      <c r="CS43" s="115">
        <f t="shared" si="33"/>
        <v>49856</v>
      </c>
      <c r="CT43" s="115">
        <f t="shared" si="33"/>
        <v>49887</v>
      </c>
      <c r="CU43" s="115">
        <f t="shared" si="33"/>
        <v>49918</v>
      </c>
      <c r="CV43" s="115">
        <f t="shared" si="33"/>
        <v>49948</v>
      </c>
      <c r="CW43" s="115">
        <f t="shared" ref="CW43:DT43" si="34">EOMONTH(CV43,1)</f>
        <v>49979</v>
      </c>
      <c r="CX43" s="115">
        <f t="shared" si="34"/>
        <v>50009</v>
      </c>
      <c r="CY43" s="115">
        <f t="shared" si="34"/>
        <v>50040</v>
      </c>
      <c r="CZ43" s="115">
        <f t="shared" si="34"/>
        <v>50071</v>
      </c>
      <c r="DA43" s="115">
        <f t="shared" si="34"/>
        <v>50099</v>
      </c>
      <c r="DB43" s="115">
        <f t="shared" si="34"/>
        <v>50130</v>
      </c>
      <c r="DC43" s="115">
        <f t="shared" si="34"/>
        <v>50160</v>
      </c>
      <c r="DD43" s="115">
        <f t="shared" si="34"/>
        <v>50191</v>
      </c>
      <c r="DE43" s="115">
        <f t="shared" si="34"/>
        <v>50221</v>
      </c>
      <c r="DF43" s="115">
        <f t="shared" si="34"/>
        <v>50252</v>
      </c>
      <c r="DG43" s="115">
        <f t="shared" si="34"/>
        <v>50283</v>
      </c>
      <c r="DH43" s="115">
        <f t="shared" si="34"/>
        <v>50313</v>
      </c>
      <c r="DI43" s="115">
        <f t="shared" si="34"/>
        <v>50344</v>
      </c>
      <c r="DJ43" s="115">
        <f t="shared" si="34"/>
        <v>50374</v>
      </c>
      <c r="DK43" s="115">
        <f t="shared" si="34"/>
        <v>50405</v>
      </c>
      <c r="DL43" s="115">
        <f t="shared" si="34"/>
        <v>50436</v>
      </c>
      <c r="DM43" s="115">
        <f t="shared" si="34"/>
        <v>50464</v>
      </c>
      <c r="DN43" s="115">
        <f t="shared" si="34"/>
        <v>50495</v>
      </c>
      <c r="DO43" s="115">
        <f t="shared" si="34"/>
        <v>50525</v>
      </c>
      <c r="DP43" s="115">
        <f t="shared" si="34"/>
        <v>50556</v>
      </c>
      <c r="DQ43" s="115">
        <f t="shared" si="34"/>
        <v>50586</v>
      </c>
      <c r="DR43" s="115">
        <f t="shared" si="34"/>
        <v>50617</v>
      </c>
      <c r="DS43" s="115">
        <f t="shared" si="34"/>
        <v>50648</v>
      </c>
      <c r="DT43" s="115">
        <f t="shared" si="34"/>
        <v>50678</v>
      </c>
    </row>
    <row r="44" spans="2:124" s="3" customFormat="1" ht="22.95" customHeight="1">
      <c r="B44" s="104" t="s">
        <v>73</v>
      </c>
      <c r="C44" s="22">
        <f>SUM(D44:DT44)</f>
        <v>104999.99999999999</v>
      </c>
      <c r="D44" s="21">
        <f>IF($E$13="Yes",'Rolled Up Cash Flows'!E$31,'Rolled Up Cash Flows'!E$53)</f>
        <v>46666.666666666664</v>
      </c>
      <c r="E44" s="21">
        <f>IF($E$13="Yes",'Rolled Up Cash Flows'!F$31,'Rolled Up Cash Flows'!F$53)</f>
        <v>-3333.3333333333335</v>
      </c>
      <c r="F44" s="21">
        <f>IF($E$13="Yes",'Rolled Up Cash Flows'!G$31,'Rolled Up Cash Flows'!G$53)</f>
        <v>-3333.3333333333335</v>
      </c>
      <c r="G44" s="21">
        <f>IF($E$13="Yes",'Rolled Up Cash Flows'!H$31,'Rolled Up Cash Flows'!H$53)</f>
        <v>-3333.3333333333335</v>
      </c>
      <c r="H44" s="21">
        <f>IF($E$13="Yes",'Rolled Up Cash Flows'!I$31,'Rolled Up Cash Flows'!I$53)</f>
        <v>-3333.3333333333335</v>
      </c>
      <c r="I44" s="21">
        <f>IF($E$13="Yes",'Rolled Up Cash Flows'!J$31,'Rolled Up Cash Flows'!J$53)</f>
        <v>-3333.3333333333335</v>
      </c>
      <c r="J44" s="21">
        <f>IF($E$13="Yes",'Rolled Up Cash Flows'!K$31,'Rolled Up Cash Flows'!K$53)</f>
        <v>6250</v>
      </c>
      <c r="K44" s="21">
        <f>IF($E$13="Yes",'Rolled Up Cash Flows'!L$31,'Rolled Up Cash Flows'!L$53)</f>
        <v>6250</v>
      </c>
      <c r="L44" s="21">
        <f>IF($E$13="Yes",'Rolled Up Cash Flows'!M$31,'Rolled Up Cash Flows'!M$53)</f>
        <v>6250</v>
      </c>
      <c r="M44" s="21">
        <f>IF($E$13="Yes",'Rolled Up Cash Flows'!N$31,'Rolled Up Cash Flows'!N$53)</f>
        <v>6250</v>
      </c>
      <c r="N44" s="21">
        <f>IF($E$13="Yes",'Rolled Up Cash Flows'!O$31,'Rolled Up Cash Flows'!O$53)</f>
        <v>6250</v>
      </c>
      <c r="O44" s="21">
        <f>IF($E$13="Yes",'Rolled Up Cash Flows'!P$31,'Rolled Up Cash Flows'!P$53)</f>
        <v>6250</v>
      </c>
      <c r="P44" s="21">
        <f>IF($E$13="Yes",'Rolled Up Cash Flows'!Q$31,'Rolled Up Cash Flows'!Q$53)</f>
        <v>6250</v>
      </c>
      <c r="Q44" s="21">
        <f>IF($E$13="Yes",'Rolled Up Cash Flows'!R$31,'Rolled Up Cash Flows'!R$53)</f>
        <v>6250</v>
      </c>
      <c r="R44" s="21">
        <f>IF($E$13="Yes",'Rolled Up Cash Flows'!S$31,'Rolled Up Cash Flows'!S$53)</f>
        <v>6250</v>
      </c>
      <c r="S44" s="21">
        <f>IF($E$13="Yes",'Rolled Up Cash Flows'!T$31,'Rolled Up Cash Flows'!T$53)</f>
        <v>6250</v>
      </c>
      <c r="T44" s="21">
        <f>IF($E$13="Yes",'Rolled Up Cash Flows'!U$31,'Rolled Up Cash Flows'!U$53)</f>
        <v>6250</v>
      </c>
      <c r="U44" s="21">
        <f>IF($E$13="Yes",'Rolled Up Cash Flows'!V$31,'Rolled Up Cash Flows'!V$53)</f>
        <v>6250</v>
      </c>
      <c r="V44" s="21">
        <f>IF($E$13="Yes",'Rolled Up Cash Flows'!W$31,'Rolled Up Cash Flows'!W$53)</f>
        <v>0</v>
      </c>
      <c r="W44" s="21">
        <f>IF($E$13="Yes",'Rolled Up Cash Flows'!X$31,'Rolled Up Cash Flows'!X$53)</f>
        <v>0</v>
      </c>
      <c r="X44" s="21">
        <f>IF($E$13="Yes",'Rolled Up Cash Flows'!Y$31,'Rolled Up Cash Flows'!Y$53)</f>
        <v>0</v>
      </c>
      <c r="Y44" s="21">
        <f>IF($E$13="Yes",'Rolled Up Cash Flows'!Z$31,'Rolled Up Cash Flows'!Z$53)</f>
        <v>0</v>
      </c>
      <c r="Z44" s="21">
        <f>IF($E$13="Yes",'Rolled Up Cash Flows'!AA$31,'Rolled Up Cash Flows'!AA$53)</f>
        <v>0</v>
      </c>
      <c r="AA44" s="21">
        <f>IF($E$13="Yes",'Rolled Up Cash Flows'!AB$31,'Rolled Up Cash Flows'!AB$53)</f>
        <v>0</v>
      </c>
      <c r="AB44" s="21">
        <f>IF($E$13="Yes",'Rolled Up Cash Flows'!AC$31,'Rolled Up Cash Flows'!AC$53)</f>
        <v>0</v>
      </c>
      <c r="AC44" s="21">
        <f>IF($E$13="Yes",'Rolled Up Cash Flows'!AD$31,'Rolled Up Cash Flows'!AD$53)</f>
        <v>0</v>
      </c>
      <c r="AD44" s="21">
        <f>IF($E$13="Yes",'Rolled Up Cash Flows'!AE$31,'Rolled Up Cash Flows'!AE$53)</f>
        <v>0</v>
      </c>
      <c r="AE44" s="21">
        <f>IF($E$13="Yes",'Rolled Up Cash Flows'!AF$31,'Rolled Up Cash Flows'!AF$53)</f>
        <v>0</v>
      </c>
      <c r="AF44" s="21">
        <f>IF($E$13="Yes",'Rolled Up Cash Flows'!AG$31,'Rolled Up Cash Flows'!AG$53)</f>
        <v>0</v>
      </c>
      <c r="AG44" s="21">
        <f>IF($E$13="Yes",'Rolled Up Cash Flows'!AH$31,'Rolled Up Cash Flows'!AH$53)</f>
        <v>0</v>
      </c>
      <c r="AH44" s="21">
        <f>IF($E$13="Yes",'Rolled Up Cash Flows'!AI$31,'Rolled Up Cash Flows'!AI$53)</f>
        <v>0</v>
      </c>
      <c r="AI44" s="21">
        <f>IF($E$13="Yes",'Rolled Up Cash Flows'!AJ$31,'Rolled Up Cash Flows'!AJ$53)</f>
        <v>0</v>
      </c>
      <c r="AJ44" s="21">
        <f>IF($E$13="Yes",'Rolled Up Cash Flows'!AK$31,'Rolled Up Cash Flows'!AK$53)</f>
        <v>0</v>
      </c>
      <c r="AK44" s="21">
        <f>IF($E$13="Yes",'Rolled Up Cash Flows'!AL$31,'Rolled Up Cash Flows'!AL$53)</f>
        <v>0</v>
      </c>
      <c r="AL44" s="21">
        <f>IF($E$13="Yes",'Rolled Up Cash Flows'!AM$31,'Rolled Up Cash Flows'!AM$53)</f>
        <v>0</v>
      </c>
      <c r="AM44" s="21">
        <f>IF($E$13="Yes",'Rolled Up Cash Flows'!AN$31,'Rolled Up Cash Flows'!AN$53)</f>
        <v>0</v>
      </c>
      <c r="AN44" s="21">
        <f>IF($E$13="Yes",'Rolled Up Cash Flows'!AO$31,'Rolled Up Cash Flows'!AO$53)</f>
        <v>0</v>
      </c>
      <c r="AO44" s="21">
        <f>IF($E$13="Yes",'Rolled Up Cash Flows'!AP$31,'Rolled Up Cash Flows'!AP$53)</f>
        <v>0</v>
      </c>
      <c r="AP44" s="21">
        <f>IF($E$13="Yes",'Rolled Up Cash Flows'!AQ$31,'Rolled Up Cash Flows'!AQ$53)</f>
        <v>0</v>
      </c>
      <c r="AQ44" s="21">
        <f>IF($E$13="Yes",'Rolled Up Cash Flows'!AR$31,'Rolled Up Cash Flows'!AR$53)</f>
        <v>0</v>
      </c>
      <c r="AR44" s="21">
        <f>IF($E$13="Yes",'Rolled Up Cash Flows'!AS$31,'Rolled Up Cash Flows'!AS$53)</f>
        <v>0</v>
      </c>
      <c r="AS44" s="21">
        <f>IF($E$13="Yes",'Rolled Up Cash Flows'!AT$31,'Rolled Up Cash Flows'!AT$53)</f>
        <v>0</v>
      </c>
      <c r="AT44" s="21">
        <f>IF($E$13="Yes",'Rolled Up Cash Flows'!AU$31,'Rolled Up Cash Flows'!AU$53)</f>
        <v>0</v>
      </c>
      <c r="AU44" s="21">
        <f>IF($E$13="Yes",'Rolled Up Cash Flows'!AV$31,'Rolled Up Cash Flows'!AV$53)</f>
        <v>0</v>
      </c>
      <c r="AV44" s="21">
        <f>IF($E$13="Yes",'Rolled Up Cash Flows'!AW$31,'Rolled Up Cash Flows'!AW$53)</f>
        <v>0</v>
      </c>
      <c r="AW44" s="21">
        <f>IF($E$13="Yes",'Rolled Up Cash Flows'!AX$31,'Rolled Up Cash Flows'!AX$53)</f>
        <v>0</v>
      </c>
      <c r="AX44" s="21">
        <f>IF($E$13="Yes",'Rolled Up Cash Flows'!AY$31,'Rolled Up Cash Flows'!AY$53)</f>
        <v>0</v>
      </c>
      <c r="AY44" s="21">
        <f>IF($E$13="Yes",'Rolled Up Cash Flows'!AZ$31,'Rolled Up Cash Flows'!AZ$53)</f>
        <v>0</v>
      </c>
      <c r="AZ44" s="21">
        <f>IF($E$13="Yes",'Rolled Up Cash Flows'!BA$31,'Rolled Up Cash Flows'!BA$53)</f>
        <v>0</v>
      </c>
      <c r="BA44" s="21">
        <f>IF($E$13="Yes",'Rolled Up Cash Flows'!BB$31,'Rolled Up Cash Flows'!BB$53)</f>
        <v>0</v>
      </c>
      <c r="BB44" s="21">
        <f>IF($E$13="Yes",'Rolled Up Cash Flows'!BC$31,'Rolled Up Cash Flows'!BC$53)</f>
        <v>0</v>
      </c>
      <c r="BC44" s="21">
        <f>IF($E$13="Yes",'Rolled Up Cash Flows'!BD$31,'Rolled Up Cash Flows'!BD$53)</f>
        <v>0</v>
      </c>
      <c r="BD44" s="21">
        <f>IF($E$13="Yes",'Rolled Up Cash Flows'!BE$31,'Rolled Up Cash Flows'!BE$53)</f>
        <v>0</v>
      </c>
      <c r="BE44" s="21">
        <f>IF($E$13="Yes",'Rolled Up Cash Flows'!BF$31,'Rolled Up Cash Flows'!BF$53)</f>
        <v>0</v>
      </c>
      <c r="BF44" s="21">
        <f>IF($E$13="Yes",'Rolled Up Cash Flows'!BG$31,'Rolled Up Cash Flows'!BG$53)</f>
        <v>0</v>
      </c>
      <c r="BG44" s="21">
        <f>IF($E$13="Yes",'Rolled Up Cash Flows'!BH$31,'Rolled Up Cash Flows'!BH$53)</f>
        <v>0</v>
      </c>
      <c r="BH44" s="21">
        <f>IF($E$13="Yes",'Rolled Up Cash Flows'!BI$31,'Rolled Up Cash Flows'!BI$53)</f>
        <v>0</v>
      </c>
      <c r="BI44" s="21">
        <f>IF($E$13="Yes",'Rolled Up Cash Flows'!BJ$31,'Rolled Up Cash Flows'!BJ$53)</f>
        <v>0</v>
      </c>
      <c r="BJ44" s="21">
        <f>IF($E$13="Yes",'Rolled Up Cash Flows'!BK$31,'Rolled Up Cash Flows'!BK$53)</f>
        <v>0</v>
      </c>
      <c r="BK44" s="21">
        <f>IF($E$13="Yes",'Rolled Up Cash Flows'!BL$31,'Rolled Up Cash Flows'!BL$53)</f>
        <v>0</v>
      </c>
      <c r="BL44" s="21">
        <f>IF($E$13="Yes",'Rolled Up Cash Flows'!BM$31,'Rolled Up Cash Flows'!BM$53)</f>
        <v>0</v>
      </c>
      <c r="BM44" s="21">
        <f>IF($E$13="Yes",'Rolled Up Cash Flows'!BN$31,'Rolled Up Cash Flows'!BN$53)</f>
        <v>0</v>
      </c>
      <c r="BN44" s="21">
        <f>IF($E$13="Yes",'Rolled Up Cash Flows'!BO$31,'Rolled Up Cash Flows'!BO$53)</f>
        <v>0</v>
      </c>
      <c r="BO44" s="21">
        <f>IF($E$13="Yes",'Rolled Up Cash Flows'!BP$31,'Rolled Up Cash Flows'!BP$53)</f>
        <v>0</v>
      </c>
      <c r="BP44" s="21">
        <f>IF($E$13="Yes",'Rolled Up Cash Flows'!BQ$31,'Rolled Up Cash Flows'!BQ$53)</f>
        <v>0</v>
      </c>
      <c r="BQ44" s="21">
        <f>IF($E$13="Yes",'Rolled Up Cash Flows'!BR$31,'Rolled Up Cash Flows'!BR$53)</f>
        <v>0</v>
      </c>
      <c r="BR44" s="21">
        <f>IF($E$13="Yes",'Rolled Up Cash Flows'!BS$31,'Rolled Up Cash Flows'!BS$53)</f>
        <v>0</v>
      </c>
      <c r="BS44" s="21">
        <f>IF($E$13="Yes",'Rolled Up Cash Flows'!BT$31,'Rolled Up Cash Flows'!BT$53)</f>
        <v>0</v>
      </c>
      <c r="BT44" s="21">
        <f>IF($E$13="Yes",'Rolled Up Cash Flows'!BU$31,'Rolled Up Cash Flows'!BU$53)</f>
        <v>0</v>
      </c>
      <c r="BU44" s="21">
        <f>IF($E$13="Yes",'Rolled Up Cash Flows'!BV$31,'Rolled Up Cash Flows'!BV$53)</f>
        <v>0</v>
      </c>
      <c r="BV44" s="21">
        <f>IF($E$13="Yes",'Rolled Up Cash Flows'!BW$31,'Rolled Up Cash Flows'!BW$53)</f>
        <v>0</v>
      </c>
      <c r="BW44" s="21">
        <f>IF($E$13="Yes",'Rolled Up Cash Flows'!BX$31,'Rolled Up Cash Flows'!BX$53)</f>
        <v>0</v>
      </c>
      <c r="BX44" s="21">
        <f>IF($E$13="Yes",'Rolled Up Cash Flows'!BY$31,'Rolled Up Cash Flows'!BY$53)</f>
        <v>0</v>
      </c>
      <c r="BY44" s="21">
        <f>IF($E$13="Yes",'Rolled Up Cash Flows'!BZ$31,'Rolled Up Cash Flows'!BZ$53)</f>
        <v>0</v>
      </c>
      <c r="BZ44" s="21">
        <f>IF($E$13="Yes",'Rolled Up Cash Flows'!CA$31,'Rolled Up Cash Flows'!CA$53)</f>
        <v>0</v>
      </c>
      <c r="CA44" s="21">
        <f>IF($E$13="Yes",'Rolled Up Cash Flows'!CB$31,'Rolled Up Cash Flows'!CB$53)</f>
        <v>0</v>
      </c>
      <c r="CB44" s="21">
        <f>IF($E$13="Yes",'Rolled Up Cash Flows'!CC$31,'Rolled Up Cash Flows'!CC$53)</f>
        <v>0</v>
      </c>
      <c r="CC44" s="21">
        <f>IF($E$13="Yes",'Rolled Up Cash Flows'!CD$31,'Rolled Up Cash Flows'!CD$53)</f>
        <v>0</v>
      </c>
      <c r="CD44" s="21">
        <f>IF($E$13="Yes",'Rolled Up Cash Flows'!CE$31,'Rolled Up Cash Flows'!CE$53)</f>
        <v>0</v>
      </c>
      <c r="CE44" s="21">
        <f>IF($E$13="Yes",'Rolled Up Cash Flows'!CF$31,'Rolled Up Cash Flows'!CF$53)</f>
        <v>0</v>
      </c>
      <c r="CF44" s="21">
        <f>IF($E$13="Yes",'Rolled Up Cash Flows'!CG$31,'Rolled Up Cash Flows'!CG$53)</f>
        <v>0</v>
      </c>
      <c r="CG44" s="21">
        <f>IF($E$13="Yes",'Rolled Up Cash Flows'!CH$31,'Rolled Up Cash Flows'!CH$53)</f>
        <v>0</v>
      </c>
      <c r="CH44" s="21">
        <f>IF($E$13="Yes",'Rolled Up Cash Flows'!CI$31,'Rolled Up Cash Flows'!CI$53)</f>
        <v>0</v>
      </c>
      <c r="CI44" s="21">
        <f>IF($E$13="Yes",'Rolled Up Cash Flows'!CJ$31,'Rolled Up Cash Flows'!CJ$53)</f>
        <v>0</v>
      </c>
      <c r="CJ44" s="21">
        <f>IF($E$13="Yes",'Rolled Up Cash Flows'!CK$31,'Rolled Up Cash Flows'!CK$53)</f>
        <v>0</v>
      </c>
      <c r="CK44" s="21">
        <f>IF($E$13="Yes",'Rolled Up Cash Flows'!CL$31,'Rolled Up Cash Flows'!CL$53)</f>
        <v>0</v>
      </c>
      <c r="CL44" s="21">
        <f>IF($E$13="Yes",'Rolled Up Cash Flows'!CM$31,'Rolled Up Cash Flows'!CM$53)</f>
        <v>0</v>
      </c>
      <c r="CM44" s="21">
        <f>IF($E$13="Yes",'Rolled Up Cash Flows'!CN$31,'Rolled Up Cash Flows'!CN$53)</f>
        <v>0</v>
      </c>
      <c r="CN44" s="21">
        <f>IF($E$13="Yes",'Rolled Up Cash Flows'!CO$31,'Rolled Up Cash Flows'!CO$53)</f>
        <v>0</v>
      </c>
      <c r="CO44" s="21">
        <f>IF($E$13="Yes",'Rolled Up Cash Flows'!CP$31,'Rolled Up Cash Flows'!CP$53)</f>
        <v>0</v>
      </c>
      <c r="CP44" s="21">
        <f>IF($E$13="Yes",'Rolled Up Cash Flows'!CQ$31,'Rolled Up Cash Flows'!CQ$53)</f>
        <v>0</v>
      </c>
      <c r="CQ44" s="21">
        <f>IF($E$13="Yes",'Rolled Up Cash Flows'!CR$31,'Rolled Up Cash Flows'!CR$53)</f>
        <v>0</v>
      </c>
      <c r="CR44" s="21">
        <f>IF($E$13="Yes",'Rolled Up Cash Flows'!CS$31,'Rolled Up Cash Flows'!CS$53)</f>
        <v>0</v>
      </c>
      <c r="CS44" s="21">
        <f>IF($E$13="Yes",'Rolled Up Cash Flows'!CT$31,'Rolled Up Cash Flows'!CT$53)</f>
        <v>0</v>
      </c>
      <c r="CT44" s="21">
        <f>IF($E$13="Yes",'Rolled Up Cash Flows'!CU$31,'Rolled Up Cash Flows'!CU$53)</f>
        <v>0</v>
      </c>
      <c r="CU44" s="21">
        <f>IF($E$13="Yes",'Rolled Up Cash Flows'!CV$31,'Rolled Up Cash Flows'!CV$53)</f>
        <v>0</v>
      </c>
      <c r="CV44" s="21">
        <f>IF($E$13="Yes",'Rolled Up Cash Flows'!CW$31,'Rolled Up Cash Flows'!CW$53)</f>
        <v>0</v>
      </c>
      <c r="CW44" s="21">
        <f>IF($E$13="Yes",'Rolled Up Cash Flows'!CX$31,'Rolled Up Cash Flows'!CX$53)</f>
        <v>0</v>
      </c>
      <c r="CX44" s="21">
        <f>IF($E$13="Yes",'Rolled Up Cash Flows'!CY$31,'Rolled Up Cash Flows'!CY$53)</f>
        <v>0</v>
      </c>
      <c r="CY44" s="21">
        <f>IF($E$13="Yes",'Rolled Up Cash Flows'!CZ$31,'Rolled Up Cash Flows'!CZ$53)</f>
        <v>0</v>
      </c>
      <c r="CZ44" s="21">
        <f>IF($E$13="Yes",'Rolled Up Cash Flows'!DA$31,'Rolled Up Cash Flows'!DA$53)</f>
        <v>0</v>
      </c>
      <c r="DA44" s="21">
        <f>IF($E$13="Yes",'Rolled Up Cash Flows'!DB$31,'Rolled Up Cash Flows'!DB$53)</f>
        <v>0</v>
      </c>
      <c r="DB44" s="21">
        <f>IF($E$13="Yes",'Rolled Up Cash Flows'!DC$31,'Rolled Up Cash Flows'!DC$53)</f>
        <v>0</v>
      </c>
      <c r="DC44" s="21">
        <f>IF($E$13="Yes",'Rolled Up Cash Flows'!DD$31,'Rolled Up Cash Flows'!DD$53)</f>
        <v>0</v>
      </c>
      <c r="DD44" s="21">
        <f>IF($E$13="Yes",'Rolled Up Cash Flows'!DE$31,'Rolled Up Cash Flows'!DE$53)</f>
        <v>0</v>
      </c>
      <c r="DE44" s="21">
        <f>IF($E$13="Yes",'Rolled Up Cash Flows'!DF$31,'Rolled Up Cash Flows'!DF$53)</f>
        <v>0</v>
      </c>
      <c r="DF44" s="21">
        <f>IF($E$13="Yes",'Rolled Up Cash Flows'!DG$31,'Rolled Up Cash Flows'!DG$53)</f>
        <v>0</v>
      </c>
      <c r="DG44" s="21">
        <f>IF($E$13="Yes",'Rolled Up Cash Flows'!DH$31,'Rolled Up Cash Flows'!DH$53)</f>
        <v>0</v>
      </c>
      <c r="DH44" s="21">
        <f>IF($E$13="Yes",'Rolled Up Cash Flows'!DI$31,'Rolled Up Cash Flows'!DI$53)</f>
        <v>0</v>
      </c>
      <c r="DI44" s="21">
        <f>IF($E$13="Yes",'Rolled Up Cash Flows'!DJ$31,'Rolled Up Cash Flows'!DJ$53)</f>
        <v>0</v>
      </c>
      <c r="DJ44" s="21">
        <f>IF($E$13="Yes",'Rolled Up Cash Flows'!DK$31,'Rolled Up Cash Flows'!DK$53)</f>
        <v>0</v>
      </c>
      <c r="DK44" s="21">
        <f>IF($E$13="Yes",'Rolled Up Cash Flows'!DL$31,'Rolled Up Cash Flows'!DL$53)</f>
        <v>0</v>
      </c>
      <c r="DL44" s="21">
        <f>IF($E$13="Yes",'Rolled Up Cash Flows'!DM$31,'Rolled Up Cash Flows'!DM$53)</f>
        <v>0</v>
      </c>
      <c r="DM44" s="21">
        <f>IF($E$13="Yes",'Rolled Up Cash Flows'!DN$31,'Rolled Up Cash Flows'!DN$53)</f>
        <v>0</v>
      </c>
      <c r="DN44" s="21">
        <f>IF($E$13="Yes",'Rolled Up Cash Flows'!DO$31,'Rolled Up Cash Flows'!DO$53)</f>
        <v>0</v>
      </c>
      <c r="DO44" s="21">
        <f>IF($E$13="Yes",'Rolled Up Cash Flows'!DP$31,'Rolled Up Cash Flows'!DP$53)</f>
        <v>0</v>
      </c>
      <c r="DP44" s="21">
        <f>IF($E$13="Yes",'Rolled Up Cash Flows'!DQ$31,'Rolled Up Cash Flows'!DQ$53)</f>
        <v>0</v>
      </c>
      <c r="DQ44" s="21">
        <f>IF($E$13="Yes",'Rolled Up Cash Flows'!DR$31,'Rolled Up Cash Flows'!DR$53)</f>
        <v>0</v>
      </c>
      <c r="DR44" s="21">
        <f>IF($E$13="Yes",'Rolled Up Cash Flows'!DS$31,'Rolled Up Cash Flows'!DS$53)</f>
        <v>0</v>
      </c>
      <c r="DS44" s="21">
        <f>IF($E$13="Yes",'Rolled Up Cash Flows'!DT$31,'Rolled Up Cash Flows'!DT$53)</f>
        <v>0</v>
      </c>
      <c r="DT44" s="21">
        <f>IF($E$13="Yes",'Rolled Up Cash Flows'!DU$31,'Rolled Up Cash Flows'!DU$53)</f>
        <v>0</v>
      </c>
    </row>
    <row r="45" spans="2:124" s="3" customFormat="1" ht="22.95" customHeight="1"/>
    <row r="46" spans="2:124" s="3" customFormat="1" ht="22.95" customHeight="1">
      <c r="B46" s="112" t="s">
        <v>81</v>
      </c>
      <c r="C46" s="113" t="s">
        <v>72</v>
      </c>
      <c r="D46" s="114">
        <f>D14</f>
        <v>47118</v>
      </c>
      <c r="E46" s="115">
        <f t="shared" ref="E46:AJ46" si="35">EOMONTH(D46,1)</f>
        <v>47149</v>
      </c>
      <c r="F46" s="115">
        <f t="shared" si="35"/>
        <v>47177</v>
      </c>
      <c r="G46" s="115">
        <f t="shared" si="35"/>
        <v>47208</v>
      </c>
      <c r="H46" s="115">
        <f t="shared" si="35"/>
        <v>47238</v>
      </c>
      <c r="I46" s="115">
        <f t="shared" si="35"/>
        <v>47269</v>
      </c>
      <c r="J46" s="115">
        <f t="shared" si="35"/>
        <v>47299</v>
      </c>
      <c r="K46" s="115">
        <f t="shared" si="35"/>
        <v>47330</v>
      </c>
      <c r="L46" s="115">
        <f t="shared" si="35"/>
        <v>47361</v>
      </c>
      <c r="M46" s="115">
        <f t="shared" si="35"/>
        <v>47391</v>
      </c>
      <c r="N46" s="115">
        <f t="shared" si="35"/>
        <v>47422</v>
      </c>
      <c r="O46" s="115">
        <f t="shared" si="35"/>
        <v>47452</v>
      </c>
      <c r="P46" s="115">
        <f t="shared" si="35"/>
        <v>47483</v>
      </c>
      <c r="Q46" s="115">
        <f t="shared" si="35"/>
        <v>47514</v>
      </c>
      <c r="R46" s="115">
        <f t="shared" si="35"/>
        <v>47542</v>
      </c>
      <c r="S46" s="115">
        <f t="shared" si="35"/>
        <v>47573</v>
      </c>
      <c r="T46" s="115">
        <f t="shared" si="35"/>
        <v>47603</v>
      </c>
      <c r="U46" s="115">
        <f t="shared" si="35"/>
        <v>47634</v>
      </c>
      <c r="V46" s="115">
        <f t="shared" si="35"/>
        <v>47664</v>
      </c>
      <c r="W46" s="115">
        <f t="shared" si="35"/>
        <v>47695</v>
      </c>
      <c r="X46" s="115">
        <f t="shared" si="35"/>
        <v>47726</v>
      </c>
      <c r="Y46" s="115">
        <f t="shared" si="35"/>
        <v>47756</v>
      </c>
      <c r="Z46" s="115">
        <f t="shared" si="35"/>
        <v>47787</v>
      </c>
      <c r="AA46" s="115">
        <f t="shared" si="35"/>
        <v>47817</v>
      </c>
      <c r="AB46" s="115">
        <f t="shared" si="35"/>
        <v>47848</v>
      </c>
      <c r="AC46" s="115">
        <f t="shared" si="35"/>
        <v>47879</v>
      </c>
      <c r="AD46" s="115">
        <f t="shared" si="35"/>
        <v>47907</v>
      </c>
      <c r="AE46" s="115">
        <f t="shared" si="35"/>
        <v>47938</v>
      </c>
      <c r="AF46" s="115">
        <f t="shared" si="35"/>
        <v>47968</v>
      </c>
      <c r="AG46" s="115">
        <f t="shared" si="35"/>
        <v>47999</v>
      </c>
      <c r="AH46" s="115">
        <f t="shared" si="35"/>
        <v>48029</v>
      </c>
      <c r="AI46" s="115">
        <f t="shared" si="35"/>
        <v>48060</v>
      </c>
      <c r="AJ46" s="115">
        <f t="shared" si="35"/>
        <v>48091</v>
      </c>
      <c r="AK46" s="115">
        <f t="shared" ref="AK46:BP46" si="36">EOMONTH(AJ46,1)</f>
        <v>48121</v>
      </c>
      <c r="AL46" s="115">
        <f t="shared" si="36"/>
        <v>48152</v>
      </c>
      <c r="AM46" s="115">
        <f t="shared" si="36"/>
        <v>48182</v>
      </c>
      <c r="AN46" s="115">
        <f t="shared" si="36"/>
        <v>48213</v>
      </c>
      <c r="AO46" s="115">
        <f t="shared" si="36"/>
        <v>48244</v>
      </c>
      <c r="AP46" s="115">
        <f t="shared" si="36"/>
        <v>48273</v>
      </c>
      <c r="AQ46" s="115">
        <f t="shared" si="36"/>
        <v>48304</v>
      </c>
      <c r="AR46" s="115">
        <f t="shared" si="36"/>
        <v>48334</v>
      </c>
      <c r="AS46" s="115">
        <f t="shared" si="36"/>
        <v>48365</v>
      </c>
      <c r="AT46" s="115">
        <f t="shared" si="36"/>
        <v>48395</v>
      </c>
      <c r="AU46" s="115">
        <f t="shared" si="36"/>
        <v>48426</v>
      </c>
      <c r="AV46" s="115">
        <f t="shared" si="36"/>
        <v>48457</v>
      </c>
      <c r="AW46" s="115">
        <f t="shared" si="36"/>
        <v>48487</v>
      </c>
      <c r="AX46" s="115">
        <f t="shared" si="36"/>
        <v>48518</v>
      </c>
      <c r="AY46" s="115">
        <f t="shared" si="36"/>
        <v>48548</v>
      </c>
      <c r="AZ46" s="115">
        <f t="shared" si="36"/>
        <v>48579</v>
      </c>
      <c r="BA46" s="115">
        <f t="shared" si="36"/>
        <v>48610</v>
      </c>
      <c r="BB46" s="115">
        <f t="shared" si="36"/>
        <v>48638</v>
      </c>
      <c r="BC46" s="115">
        <f t="shared" si="36"/>
        <v>48669</v>
      </c>
      <c r="BD46" s="115">
        <f t="shared" si="36"/>
        <v>48699</v>
      </c>
      <c r="BE46" s="115">
        <f t="shared" si="36"/>
        <v>48730</v>
      </c>
      <c r="BF46" s="115">
        <f t="shared" si="36"/>
        <v>48760</v>
      </c>
      <c r="BG46" s="115">
        <f t="shared" si="36"/>
        <v>48791</v>
      </c>
      <c r="BH46" s="115">
        <f t="shared" si="36"/>
        <v>48822</v>
      </c>
      <c r="BI46" s="115">
        <f t="shared" si="36"/>
        <v>48852</v>
      </c>
      <c r="BJ46" s="115">
        <f t="shared" si="36"/>
        <v>48883</v>
      </c>
      <c r="BK46" s="115">
        <f t="shared" si="36"/>
        <v>48913</v>
      </c>
      <c r="BL46" s="115">
        <f t="shared" si="36"/>
        <v>48944</v>
      </c>
      <c r="BM46" s="115">
        <f t="shared" si="36"/>
        <v>48975</v>
      </c>
      <c r="BN46" s="115">
        <f t="shared" si="36"/>
        <v>49003</v>
      </c>
      <c r="BO46" s="115">
        <f t="shared" si="36"/>
        <v>49034</v>
      </c>
      <c r="BP46" s="115">
        <f t="shared" si="36"/>
        <v>49064</v>
      </c>
      <c r="BQ46" s="115">
        <f t="shared" ref="BQ46:CV46" si="37">EOMONTH(BP46,1)</f>
        <v>49095</v>
      </c>
      <c r="BR46" s="115">
        <f t="shared" si="37"/>
        <v>49125</v>
      </c>
      <c r="BS46" s="115">
        <f t="shared" si="37"/>
        <v>49156</v>
      </c>
      <c r="BT46" s="115">
        <f t="shared" si="37"/>
        <v>49187</v>
      </c>
      <c r="BU46" s="115">
        <f t="shared" si="37"/>
        <v>49217</v>
      </c>
      <c r="BV46" s="115">
        <f t="shared" si="37"/>
        <v>49248</v>
      </c>
      <c r="BW46" s="115">
        <f t="shared" si="37"/>
        <v>49278</v>
      </c>
      <c r="BX46" s="115">
        <f t="shared" si="37"/>
        <v>49309</v>
      </c>
      <c r="BY46" s="115">
        <f t="shared" si="37"/>
        <v>49340</v>
      </c>
      <c r="BZ46" s="115">
        <f t="shared" si="37"/>
        <v>49368</v>
      </c>
      <c r="CA46" s="115">
        <f t="shared" si="37"/>
        <v>49399</v>
      </c>
      <c r="CB46" s="115">
        <f t="shared" si="37"/>
        <v>49429</v>
      </c>
      <c r="CC46" s="115">
        <f t="shared" si="37"/>
        <v>49460</v>
      </c>
      <c r="CD46" s="115">
        <f t="shared" si="37"/>
        <v>49490</v>
      </c>
      <c r="CE46" s="115">
        <f t="shared" si="37"/>
        <v>49521</v>
      </c>
      <c r="CF46" s="115">
        <f t="shared" si="37"/>
        <v>49552</v>
      </c>
      <c r="CG46" s="115">
        <f t="shared" si="37"/>
        <v>49582</v>
      </c>
      <c r="CH46" s="115">
        <f t="shared" si="37"/>
        <v>49613</v>
      </c>
      <c r="CI46" s="115">
        <f t="shared" si="37"/>
        <v>49643</v>
      </c>
      <c r="CJ46" s="115">
        <f t="shared" si="37"/>
        <v>49674</v>
      </c>
      <c r="CK46" s="115">
        <f t="shared" si="37"/>
        <v>49705</v>
      </c>
      <c r="CL46" s="115">
        <f t="shared" si="37"/>
        <v>49734</v>
      </c>
      <c r="CM46" s="115">
        <f t="shared" si="37"/>
        <v>49765</v>
      </c>
      <c r="CN46" s="115">
        <f t="shared" si="37"/>
        <v>49795</v>
      </c>
      <c r="CO46" s="115">
        <f t="shared" si="37"/>
        <v>49826</v>
      </c>
      <c r="CP46" s="115">
        <f t="shared" si="37"/>
        <v>49856</v>
      </c>
      <c r="CQ46" s="115">
        <f t="shared" si="37"/>
        <v>49887</v>
      </c>
      <c r="CR46" s="115">
        <f t="shared" si="37"/>
        <v>49918</v>
      </c>
      <c r="CS46" s="115">
        <f t="shared" si="37"/>
        <v>49948</v>
      </c>
      <c r="CT46" s="115">
        <f t="shared" si="37"/>
        <v>49979</v>
      </c>
      <c r="CU46" s="115">
        <f t="shared" si="37"/>
        <v>50009</v>
      </c>
      <c r="CV46" s="115">
        <f t="shared" si="37"/>
        <v>50040</v>
      </c>
      <c r="CW46" s="115">
        <f t="shared" ref="CW46:DT46" si="38">EOMONTH(CV46,1)</f>
        <v>50071</v>
      </c>
      <c r="CX46" s="115">
        <f t="shared" si="38"/>
        <v>50099</v>
      </c>
      <c r="CY46" s="115">
        <f t="shared" si="38"/>
        <v>50130</v>
      </c>
      <c r="CZ46" s="115">
        <f t="shared" si="38"/>
        <v>50160</v>
      </c>
      <c r="DA46" s="115">
        <f t="shared" si="38"/>
        <v>50191</v>
      </c>
      <c r="DB46" s="115">
        <f t="shared" si="38"/>
        <v>50221</v>
      </c>
      <c r="DC46" s="115">
        <f t="shared" si="38"/>
        <v>50252</v>
      </c>
      <c r="DD46" s="115">
        <f t="shared" si="38"/>
        <v>50283</v>
      </c>
      <c r="DE46" s="115">
        <f t="shared" si="38"/>
        <v>50313</v>
      </c>
      <c r="DF46" s="115">
        <f t="shared" si="38"/>
        <v>50344</v>
      </c>
      <c r="DG46" s="115">
        <f t="shared" si="38"/>
        <v>50374</v>
      </c>
      <c r="DH46" s="115">
        <f t="shared" si="38"/>
        <v>50405</v>
      </c>
      <c r="DI46" s="115">
        <f t="shared" si="38"/>
        <v>50436</v>
      </c>
      <c r="DJ46" s="115">
        <f t="shared" si="38"/>
        <v>50464</v>
      </c>
      <c r="DK46" s="115">
        <f t="shared" si="38"/>
        <v>50495</v>
      </c>
      <c r="DL46" s="115">
        <f t="shared" si="38"/>
        <v>50525</v>
      </c>
      <c r="DM46" s="115">
        <f t="shared" si="38"/>
        <v>50556</v>
      </c>
      <c r="DN46" s="115">
        <f t="shared" si="38"/>
        <v>50586</v>
      </c>
      <c r="DO46" s="115">
        <f t="shared" si="38"/>
        <v>50617</v>
      </c>
      <c r="DP46" s="115">
        <f t="shared" si="38"/>
        <v>50648</v>
      </c>
      <c r="DQ46" s="115">
        <f t="shared" si="38"/>
        <v>50678</v>
      </c>
      <c r="DR46" s="115">
        <f t="shared" si="38"/>
        <v>50709</v>
      </c>
      <c r="DS46" s="115">
        <f t="shared" si="38"/>
        <v>50739</v>
      </c>
      <c r="DT46" s="115">
        <f t="shared" si="38"/>
        <v>50770</v>
      </c>
    </row>
    <row r="47" spans="2:124" s="3" customFormat="1" ht="22.95" customHeight="1">
      <c r="B47" s="104" t="s">
        <v>73</v>
      </c>
      <c r="C47" s="22">
        <f>SUM(D47:DT47)</f>
        <v>3393551.9944464052</v>
      </c>
      <c r="D47" s="21">
        <f>IF($E$14="Yes",'Rolled Up Cash Flows'!E$31,'Rolled Up Cash Flows'!E$53)</f>
        <v>46666.666666666664</v>
      </c>
      <c r="E47" s="21">
        <f>IF($E$14="Yes",'Rolled Up Cash Flows'!F$31,'Rolled Up Cash Flows'!F$53)</f>
        <v>-3333.3333333333335</v>
      </c>
      <c r="F47" s="21">
        <f>IF($E$14="Yes",'Rolled Up Cash Flows'!G$31,'Rolled Up Cash Flows'!G$53)</f>
        <v>-3333.3333333333335</v>
      </c>
      <c r="G47" s="21">
        <f>IF($E$14="Yes",'Rolled Up Cash Flows'!H$31,'Rolled Up Cash Flows'!H$53)</f>
        <v>-3333.3333333333335</v>
      </c>
      <c r="H47" s="21">
        <f>IF($E$14="Yes",'Rolled Up Cash Flows'!I$31,'Rolled Up Cash Flows'!I$53)</f>
        <v>-3333.3333333333335</v>
      </c>
      <c r="I47" s="21">
        <f>IF($E$14="Yes",'Rolled Up Cash Flows'!J$31,'Rolled Up Cash Flows'!J$53)</f>
        <v>-3333.3333333333335</v>
      </c>
      <c r="J47" s="21">
        <f>IF($E$14="Yes",'Rolled Up Cash Flows'!K$31,'Rolled Up Cash Flows'!K$53)</f>
        <v>6250</v>
      </c>
      <c r="K47" s="21">
        <f>IF($E$14="Yes",'Rolled Up Cash Flows'!L$31,'Rolled Up Cash Flows'!L$53)</f>
        <v>6250</v>
      </c>
      <c r="L47" s="21">
        <f>IF($E$14="Yes",'Rolled Up Cash Flows'!M$31,'Rolled Up Cash Flows'!M$53)</f>
        <v>6250</v>
      </c>
      <c r="M47" s="21">
        <f>IF($E$14="Yes",'Rolled Up Cash Flows'!N$31,'Rolled Up Cash Flows'!N$53)</f>
        <v>6250</v>
      </c>
      <c r="N47" s="21">
        <f>IF($E$14="Yes",'Rolled Up Cash Flows'!O$31,'Rolled Up Cash Flows'!O$53)</f>
        <v>6250</v>
      </c>
      <c r="O47" s="21">
        <f>IF($E$14="Yes",'Rolled Up Cash Flows'!P$31,'Rolled Up Cash Flows'!P$53)</f>
        <v>6250</v>
      </c>
      <c r="P47" s="21">
        <f>IF($E$14="Yes",'Rolled Up Cash Flows'!Q$31,'Rolled Up Cash Flows'!Q$53)</f>
        <v>6250</v>
      </c>
      <c r="Q47" s="21">
        <f>IF($E$14="Yes",'Rolled Up Cash Flows'!R$31,'Rolled Up Cash Flows'!R$53)</f>
        <v>6250</v>
      </c>
      <c r="R47" s="21">
        <f>IF($E$14="Yes",'Rolled Up Cash Flows'!S$31,'Rolled Up Cash Flows'!S$53)</f>
        <v>6250</v>
      </c>
      <c r="S47" s="21">
        <f>IF($E$14="Yes",'Rolled Up Cash Flows'!T$31,'Rolled Up Cash Flows'!T$53)</f>
        <v>6250</v>
      </c>
      <c r="T47" s="21">
        <f>IF($E$14="Yes",'Rolled Up Cash Flows'!U$31,'Rolled Up Cash Flows'!U$53)</f>
        <v>6250</v>
      </c>
      <c r="U47" s="21">
        <f>IF($E$14="Yes",'Rolled Up Cash Flows'!V$31,'Rolled Up Cash Flows'!V$53)</f>
        <v>6250</v>
      </c>
      <c r="V47" s="21">
        <f>IF($E$14="Yes",'Rolled Up Cash Flows'!W$31,'Rolled Up Cash Flows'!W$53)</f>
        <v>37500</v>
      </c>
      <c r="W47" s="21">
        <f>IF($E$14="Yes",'Rolled Up Cash Flows'!X$31,'Rolled Up Cash Flows'!X$53)</f>
        <v>0</v>
      </c>
      <c r="X47" s="21">
        <f>IF($E$14="Yes",'Rolled Up Cash Flows'!Y$31,'Rolled Up Cash Flows'!Y$53)</f>
        <v>0</v>
      </c>
      <c r="Y47" s="21">
        <f>IF($E$14="Yes",'Rolled Up Cash Flows'!Z$31,'Rolled Up Cash Flows'!Z$53)</f>
        <v>0</v>
      </c>
      <c r="Z47" s="21">
        <f>IF($E$14="Yes",'Rolled Up Cash Flows'!AA$31,'Rolled Up Cash Flows'!AA$53)</f>
        <v>0</v>
      </c>
      <c r="AA47" s="21">
        <f>IF($E$14="Yes",'Rolled Up Cash Flows'!AB$31,'Rolled Up Cash Flows'!AB$53)</f>
        <v>0</v>
      </c>
      <c r="AB47" s="21">
        <f>IF($E$14="Yes",'Rolled Up Cash Flows'!AC$31,'Rolled Up Cash Flows'!AC$53)</f>
        <v>1350000</v>
      </c>
      <c r="AC47" s="21">
        <f>IF($E$14="Yes",'Rolled Up Cash Flows'!AD$31,'Rolled Up Cash Flows'!AD$53)</f>
        <v>0</v>
      </c>
      <c r="AD47" s="21">
        <f>IF($E$14="Yes",'Rolled Up Cash Flows'!AE$31,'Rolled Up Cash Flows'!AE$53)</f>
        <v>0</v>
      </c>
      <c r="AE47" s="21">
        <f>IF($E$14="Yes",'Rolled Up Cash Flows'!AF$31,'Rolled Up Cash Flows'!AF$53)</f>
        <v>9851.3671875</v>
      </c>
      <c r="AF47" s="21">
        <f>IF($E$14="Yes",'Rolled Up Cash Flows'!AG$31,'Rolled Up Cash Flows'!AG$53)</f>
        <v>9851.3671875</v>
      </c>
      <c r="AG47" s="21">
        <f>IF($E$14="Yes",'Rolled Up Cash Flows'!AH$31,'Rolled Up Cash Flows'!AH$53)</f>
        <v>9851.3671875</v>
      </c>
      <c r="AH47" s="21">
        <f>IF($E$14="Yes",'Rolled Up Cash Flows'!AI$31,'Rolled Up Cash Flows'!AI$53)</f>
        <v>9851.3671875</v>
      </c>
      <c r="AI47" s="21">
        <f>IF($E$14="Yes",'Rolled Up Cash Flows'!AJ$31,'Rolled Up Cash Flows'!AJ$53)</f>
        <v>9851.3671875</v>
      </c>
      <c r="AJ47" s="21">
        <f>IF($E$14="Yes",'Rolled Up Cash Flows'!AK$31,'Rolled Up Cash Flows'!AK$53)</f>
        <v>9851.3671875</v>
      </c>
      <c r="AK47" s="21">
        <f>IF($E$14="Yes",'Rolled Up Cash Flows'!AL$31,'Rolled Up Cash Flows'!AL$53)</f>
        <v>9851.3671875</v>
      </c>
      <c r="AL47" s="21">
        <f>IF($E$14="Yes",'Rolled Up Cash Flows'!AM$31,'Rolled Up Cash Flows'!AM$53)</f>
        <v>9851.3671875</v>
      </c>
      <c r="AM47" s="21">
        <f>IF($E$14="Yes",'Rolled Up Cash Flows'!AN$31,'Rolled Up Cash Flows'!AN$53)</f>
        <v>9851.3671875</v>
      </c>
      <c r="AN47" s="21">
        <f>IF($E$14="Yes",'Rolled Up Cash Flows'!AO$31,'Rolled Up Cash Flows'!AO$53)</f>
        <v>9851.3671875</v>
      </c>
      <c r="AO47" s="21">
        <f>IF($E$14="Yes",'Rolled Up Cash Flows'!AP$31,'Rolled Up Cash Flows'!AP$53)</f>
        <v>9851.3671875</v>
      </c>
      <c r="AP47" s="21">
        <f>IF($E$14="Yes",'Rolled Up Cash Flows'!AQ$31,'Rolled Up Cash Flows'!AQ$53)</f>
        <v>9851.3671875</v>
      </c>
      <c r="AQ47" s="21">
        <f>IF($E$14="Yes",'Rolled Up Cash Flows'!AR$31,'Rolled Up Cash Flows'!AR$53)</f>
        <v>9851.3671875</v>
      </c>
      <c r="AR47" s="21">
        <f>IF($E$14="Yes",'Rolled Up Cash Flows'!AS$31,'Rolled Up Cash Flows'!AS$53)</f>
        <v>9851.3671875</v>
      </c>
      <c r="AS47" s="21">
        <f>IF($E$14="Yes",'Rolled Up Cash Flows'!AT$31,'Rolled Up Cash Flows'!AT$53)</f>
        <v>9851.3671875</v>
      </c>
      <c r="AT47" s="21">
        <f>IF($E$14="Yes",'Rolled Up Cash Flows'!AU$31,'Rolled Up Cash Flows'!AU$53)</f>
        <v>9851.3671875</v>
      </c>
      <c r="AU47" s="21">
        <f>IF($E$14="Yes",'Rolled Up Cash Flows'!AV$31,'Rolled Up Cash Flows'!AV$53)</f>
        <v>9851.3671875</v>
      </c>
      <c r="AV47" s="21">
        <f>IF($E$14="Yes",'Rolled Up Cash Flows'!AW$31,'Rolled Up Cash Flows'!AW$53)</f>
        <v>9851.3671875</v>
      </c>
      <c r="AW47" s="21">
        <f>IF($E$14="Yes",'Rolled Up Cash Flows'!AX$31,'Rolled Up Cash Flows'!AX$53)</f>
        <v>21035.69370372003</v>
      </c>
      <c r="AX47" s="21">
        <f>IF($E$14="Yes",'Rolled Up Cash Flows'!AY$31,'Rolled Up Cash Flows'!AY$53)</f>
        <v>21035.69370372003</v>
      </c>
      <c r="AY47" s="21">
        <f>IF($E$14="Yes",'Rolled Up Cash Flows'!AZ$31,'Rolled Up Cash Flows'!AZ$53)</f>
        <v>21035.69370372003</v>
      </c>
      <c r="AZ47" s="21">
        <f>IF($E$14="Yes",'Rolled Up Cash Flows'!BA$31,'Rolled Up Cash Flows'!BA$53)</f>
        <v>21035.69370372003</v>
      </c>
      <c r="BA47" s="21">
        <f>IF($E$14="Yes",'Rolled Up Cash Flows'!BB$31,'Rolled Up Cash Flows'!BB$53)</f>
        <v>21035.69370372003</v>
      </c>
      <c r="BB47" s="21">
        <f>IF($E$14="Yes",'Rolled Up Cash Flows'!BC$31,'Rolled Up Cash Flows'!BC$53)</f>
        <v>21035.69370372003</v>
      </c>
      <c r="BC47" s="21">
        <f>IF($E$14="Yes",'Rolled Up Cash Flows'!BD$31,'Rolled Up Cash Flows'!BD$53)</f>
        <v>447829.27832628123</v>
      </c>
      <c r="BD47" s="21">
        <f>IF($E$14="Yes",'Rolled Up Cash Flows'!BE$31,'Rolled Up Cash Flows'!BE$53)</f>
        <v>68812.176774800188</v>
      </c>
      <c r="BE47" s="21">
        <f>IF($E$14="Yes",'Rolled Up Cash Flows'!BF$31,'Rolled Up Cash Flows'!BF$53)</f>
        <v>70062.176774800188</v>
      </c>
      <c r="BF47" s="21">
        <f>IF($E$14="Yes",'Rolled Up Cash Flows'!BG$31,'Rolled Up Cash Flows'!BG$53)</f>
        <v>71312.176774800188</v>
      </c>
      <c r="BG47" s="21">
        <f>IF($E$14="Yes",'Rolled Up Cash Flows'!BH$31,'Rolled Up Cash Flows'!BH$53)</f>
        <v>72562.176774800188</v>
      </c>
      <c r="BH47" s="21">
        <f>IF($E$14="Yes",'Rolled Up Cash Flows'!BI$31,'Rolled Up Cash Flows'!BI$53)</f>
        <v>73812.176774800188</v>
      </c>
      <c r="BI47" s="21">
        <f>IF($E$14="Yes",'Rolled Up Cash Flows'!BJ$31,'Rolled Up Cash Flows'!BJ$53)</f>
        <v>75062.176774800188</v>
      </c>
      <c r="BJ47" s="21">
        <f>IF($E$14="Yes",'Rolled Up Cash Flows'!BK$31,'Rolled Up Cash Flows'!BK$53)</f>
        <v>76312.176774800188</v>
      </c>
      <c r="BK47" s="21">
        <f>IF($E$14="Yes",'Rolled Up Cash Flows'!BL$31,'Rolled Up Cash Flows'!BL$53)</f>
        <v>77562.176774800188</v>
      </c>
      <c r="BL47" s="21">
        <f>IF($E$14="Yes",'Rolled Up Cash Flows'!BM$31,'Rolled Up Cash Flows'!BM$53)</f>
        <v>78812.176774800188</v>
      </c>
      <c r="BM47" s="21">
        <f>IF($E$14="Yes",'Rolled Up Cash Flows'!BN$31,'Rolled Up Cash Flows'!BN$53)</f>
        <v>80062.176774800188</v>
      </c>
      <c r="BN47" s="21">
        <f>IF($E$14="Yes",'Rolled Up Cash Flows'!BO$31,'Rolled Up Cash Flows'!BO$53)</f>
        <v>81312.176774800188</v>
      </c>
      <c r="BO47" s="21">
        <f>IF($E$14="Yes",'Rolled Up Cash Flows'!BP$31,'Rolled Up Cash Flows'!BP$53)</f>
        <v>6750</v>
      </c>
      <c r="BP47" s="21">
        <f>IF($E$14="Yes",'Rolled Up Cash Flows'!BQ$31,'Rolled Up Cash Flows'!BQ$53)</f>
        <v>6750</v>
      </c>
      <c r="BQ47" s="21">
        <f>IF($E$14="Yes",'Rolled Up Cash Flows'!BR$31,'Rolled Up Cash Flows'!BR$53)</f>
        <v>6750</v>
      </c>
      <c r="BR47" s="21">
        <f>IF($E$14="Yes",'Rolled Up Cash Flows'!BS$31,'Rolled Up Cash Flows'!BS$53)</f>
        <v>6750</v>
      </c>
      <c r="BS47" s="21">
        <f>IF($E$14="Yes",'Rolled Up Cash Flows'!BT$31,'Rolled Up Cash Flows'!BT$53)</f>
        <v>6750</v>
      </c>
      <c r="BT47" s="21">
        <f>IF($E$14="Yes",'Rolled Up Cash Flows'!BU$31,'Rolled Up Cash Flows'!BU$53)</f>
        <v>6750</v>
      </c>
      <c r="BU47" s="21">
        <f>IF($E$14="Yes",'Rolled Up Cash Flows'!BV$31,'Rolled Up Cash Flows'!BV$53)</f>
        <v>6750</v>
      </c>
      <c r="BV47" s="21">
        <f>IF($E$14="Yes",'Rolled Up Cash Flows'!BW$31,'Rolled Up Cash Flows'!BW$53)</f>
        <v>6750</v>
      </c>
      <c r="BW47" s="21">
        <f>IF($E$14="Yes",'Rolled Up Cash Flows'!BX$31,'Rolled Up Cash Flows'!BX$53)</f>
        <v>6750</v>
      </c>
      <c r="BX47" s="21">
        <f>IF($E$14="Yes",'Rolled Up Cash Flows'!BY$31,'Rolled Up Cash Flows'!BY$53)</f>
        <v>6750</v>
      </c>
      <c r="BY47" s="21">
        <f>IF($E$14="Yes",'Rolled Up Cash Flows'!BZ$31,'Rolled Up Cash Flows'!BZ$53)</f>
        <v>6750</v>
      </c>
      <c r="BZ47" s="21">
        <f>IF($E$14="Yes",'Rolled Up Cash Flows'!CA$31,'Rolled Up Cash Flows'!CA$53)</f>
        <v>6750</v>
      </c>
      <c r="CA47" s="21">
        <f>IF($E$14="Yes",'Rolled Up Cash Flows'!CB$31,'Rolled Up Cash Flows'!CB$53)</f>
        <v>6750</v>
      </c>
      <c r="CB47" s="21">
        <f>IF($E$14="Yes",'Rolled Up Cash Flows'!CC$31,'Rolled Up Cash Flows'!CC$53)</f>
        <v>6750</v>
      </c>
      <c r="CC47" s="21">
        <f>IF($E$14="Yes",'Rolled Up Cash Flows'!CD$31,'Rolled Up Cash Flows'!CD$53)</f>
        <v>6750</v>
      </c>
      <c r="CD47" s="21">
        <f>IF($E$14="Yes",'Rolled Up Cash Flows'!CE$31,'Rolled Up Cash Flows'!CE$53)</f>
        <v>6750</v>
      </c>
      <c r="CE47" s="21">
        <f>IF($E$14="Yes",'Rolled Up Cash Flows'!CF$31,'Rolled Up Cash Flows'!CF$53)</f>
        <v>6750</v>
      </c>
      <c r="CF47" s="21">
        <f>IF($E$14="Yes",'Rolled Up Cash Flows'!CG$31,'Rolled Up Cash Flows'!CG$53)</f>
        <v>6750</v>
      </c>
      <c r="CG47" s="21">
        <f>IF($E$14="Yes",'Rolled Up Cash Flows'!CH$31,'Rolled Up Cash Flows'!CH$53)</f>
        <v>6750</v>
      </c>
      <c r="CH47" s="21">
        <f>IF($E$14="Yes",'Rolled Up Cash Flows'!CI$31,'Rolled Up Cash Flows'!CI$53)</f>
        <v>6750</v>
      </c>
      <c r="CI47" s="21">
        <f>IF($E$14="Yes",'Rolled Up Cash Flows'!CJ$31,'Rolled Up Cash Flows'!CJ$53)</f>
        <v>6750</v>
      </c>
      <c r="CJ47" s="21">
        <f>IF($E$14="Yes",'Rolled Up Cash Flows'!CK$31,'Rolled Up Cash Flows'!CK$53)</f>
        <v>6750</v>
      </c>
      <c r="CK47" s="21">
        <f>IF($E$14="Yes",'Rolled Up Cash Flows'!CL$31,'Rolled Up Cash Flows'!CL$53)</f>
        <v>6750</v>
      </c>
      <c r="CL47" s="21">
        <f>IF($E$14="Yes",'Rolled Up Cash Flows'!CM$31,'Rolled Up Cash Flows'!CM$53)</f>
        <v>6750</v>
      </c>
      <c r="CM47" s="21">
        <f>IF($E$14="Yes",'Rolled Up Cash Flows'!CN$31,'Rolled Up Cash Flows'!CN$53)</f>
        <v>6750</v>
      </c>
      <c r="CN47" s="21">
        <f>IF($E$14="Yes",'Rolled Up Cash Flows'!CO$31,'Rolled Up Cash Flows'!CO$53)</f>
        <v>6750</v>
      </c>
      <c r="CO47" s="21">
        <f>IF($E$14="Yes",'Rolled Up Cash Flows'!CP$31,'Rolled Up Cash Flows'!CP$53)</f>
        <v>6750</v>
      </c>
      <c r="CP47" s="21">
        <f>IF($E$14="Yes",'Rolled Up Cash Flows'!CQ$31,'Rolled Up Cash Flows'!CQ$53)</f>
        <v>6750</v>
      </c>
      <c r="CQ47" s="21">
        <f>IF($E$14="Yes",'Rolled Up Cash Flows'!CR$31,'Rolled Up Cash Flows'!CR$53)</f>
        <v>6750</v>
      </c>
      <c r="CR47" s="21">
        <f>IF($E$14="Yes",'Rolled Up Cash Flows'!CS$31,'Rolled Up Cash Flows'!CS$53)</f>
        <v>6750</v>
      </c>
      <c r="CS47" s="21">
        <f>IF($E$14="Yes",'Rolled Up Cash Flows'!CT$31,'Rolled Up Cash Flows'!CT$53)</f>
        <v>6750</v>
      </c>
      <c r="CT47" s="21">
        <f>IF($E$14="Yes",'Rolled Up Cash Flows'!CU$31,'Rolled Up Cash Flows'!CU$53)</f>
        <v>6750</v>
      </c>
      <c r="CU47" s="21">
        <f>IF($E$14="Yes",'Rolled Up Cash Flows'!CV$31,'Rolled Up Cash Flows'!CV$53)</f>
        <v>6750</v>
      </c>
      <c r="CV47" s="21">
        <f>IF($E$14="Yes",'Rolled Up Cash Flows'!CW$31,'Rolled Up Cash Flows'!CW$53)</f>
        <v>6750</v>
      </c>
      <c r="CW47" s="21">
        <f>IF($E$14="Yes",'Rolled Up Cash Flows'!CX$31,'Rolled Up Cash Flows'!CX$53)</f>
        <v>6750</v>
      </c>
      <c r="CX47" s="21">
        <f>IF($E$14="Yes",'Rolled Up Cash Flows'!CY$31,'Rolled Up Cash Flows'!CY$53)</f>
        <v>6750</v>
      </c>
      <c r="CY47" s="21">
        <f>IF($E$14="Yes",'Rolled Up Cash Flows'!CZ$31,'Rolled Up Cash Flows'!CZ$53)</f>
        <v>6750</v>
      </c>
      <c r="CZ47" s="21">
        <f>IF($E$14="Yes",'Rolled Up Cash Flows'!DA$31,'Rolled Up Cash Flows'!DA$53)</f>
        <v>6750</v>
      </c>
      <c r="DA47" s="21">
        <f>IF($E$14="Yes",'Rolled Up Cash Flows'!DB$31,'Rolled Up Cash Flows'!DB$53)</f>
        <v>6750</v>
      </c>
      <c r="DB47" s="21">
        <f>IF($E$14="Yes",'Rolled Up Cash Flows'!DC$31,'Rolled Up Cash Flows'!DC$53)</f>
        <v>6750</v>
      </c>
      <c r="DC47" s="21">
        <f>IF($E$14="Yes",'Rolled Up Cash Flows'!DD$31,'Rolled Up Cash Flows'!DD$53)</f>
        <v>6750</v>
      </c>
      <c r="DD47" s="21">
        <f>IF($E$14="Yes",'Rolled Up Cash Flows'!DE$31,'Rolled Up Cash Flows'!DE$53)</f>
        <v>6750</v>
      </c>
      <c r="DE47" s="21">
        <f>IF($E$14="Yes",'Rolled Up Cash Flows'!DF$31,'Rolled Up Cash Flows'!DF$53)</f>
        <v>6750</v>
      </c>
      <c r="DF47" s="21">
        <f>IF($E$14="Yes",'Rolled Up Cash Flows'!DG$31,'Rolled Up Cash Flows'!DG$53)</f>
        <v>6750</v>
      </c>
      <c r="DG47" s="21">
        <f>IF($E$14="Yes",'Rolled Up Cash Flows'!DH$31,'Rolled Up Cash Flows'!DH$53)</f>
        <v>6750</v>
      </c>
      <c r="DH47" s="21">
        <f>IF($E$14="Yes",'Rolled Up Cash Flows'!DI$31,'Rolled Up Cash Flows'!DI$53)</f>
        <v>6750</v>
      </c>
      <c r="DI47" s="21">
        <f>IF($E$14="Yes",'Rolled Up Cash Flows'!DJ$31,'Rolled Up Cash Flows'!DJ$53)</f>
        <v>6750</v>
      </c>
      <c r="DJ47" s="21">
        <f>IF($E$14="Yes",'Rolled Up Cash Flows'!DK$31,'Rolled Up Cash Flows'!DK$53)</f>
        <v>6750</v>
      </c>
      <c r="DK47" s="21">
        <f>IF($E$14="Yes",'Rolled Up Cash Flows'!DL$31,'Rolled Up Cash Flows'!DL$53)</f>
        <v>0</v>
      </c>
      <c r="DL47" s="21">
        <f>IF($E$14="Yes",'Rolled Up Cash Flows'!DM$31,'Rolled Up Cash Flows'!DM$53)</f>
        <v>0</v>
      </c>
      <c r="DM47" s="21">
        <f>IF($E$14="Yes",'Rolled Up Cash Flows'!DN$31,'Rolled Up Cash Flows'!DN$53)</f>
        <v>0</v>
      </c>
      <c r="DN47" s="21">
        <f>IF($E$14="Yes",'Rolled Up Cash Flows'!DO$31,'Rolled Up Cash Flows'!DO$53)</f>
        <v>0</v>
      </c>
      <c r="DO47" s="21">
        <f>IF($E$14="Yes",'Rolled Up Cash Flows'!DP$31,'Rolled Up Cash Flows'!DP$53)</f>
        <v>0</v>
      </c>
      <c r="DP47" s="21">
        <f>IF($E$14="Yes",'Rolled Up Cash Flows'!DQ$31,'Rolled Up Cash Flows'!DQ$53)</f>
        <v>0</v>
      </c>
      <c r="DQ47" s="21">
        <f>IF($E$14="Yes",'Rolled Up Cash Flows'!DR$31,'Rolled Up Cash Flows'!DR$53)</f>
        <v>0</v>
      </c>
      <c r="DR47" s="21">
        <f>IF($E$14="Yes",'Rolled Up Cash Flows'!DS$31,'Rolled Up Cash Flows'!DS$53)</f>
        <v>0</v>
      </c>
      <c r="DS47" s="21">
        <f>IF($E$14="Yes",'Rolled Up Cash Flows'!DT$31,'Rolled Up Cash Flows'!DT$53)</f>
        <v>0</v>
      </c>
      <c r="DT47" s="21">
        <f>IF($E$14="Yes",'Rolled Up Cash Flows'!DU$31,'Rolled Up Cash Flows'!DU$53)</f>
        <v>0</v>
      </c>
    </row>
    <row r="48" spans="2:124" s="3" customFormat="1" ht="22.95" customHeight="1"/>
    <row r="49" spans="2:124" s="3" customFormat="1" ht="22.95" customHeight="1">
      <c r="B49" s="112" t="s">
        <v>82</v>
      </c>
      <c r="C49" s="113" t="s">
        <v>72</v>
      </c>
      <c r="D49" s="114">
        <f>D15</f>
        <v>47208</v>
      </c>
      <c r="E49" s="115">
        <f t="shared" ref="E49:AJ49" si="39">EOMONTH(D49,1)</f>
        <v>47238</v>
      </c>
      <c r="F49" s="115">
        <f t="shared" si="39"/>
        <v>47269</v>
      </c>
      <c r="G49" s="115">
        <f t="shared" si="39"/>
        <v>47299</v>
      </c>
      <c r="H49" s="115">
        <f t="shared" si="39"/>
        <v>47330</v>
      </c>
      <c r="I49" s="115">
        <f t="shared" si="39"/>
        <v>47361</v>
      </c>
      <c r="J49" s="115">
        <f t="shared" si="39"/>
        <v>47391</v>
      </c>
      <c r="K49" s="115">
        <f t="shared" si="39"/>
        <v>47422</v>
      </c>
      <c r="L49" s="115">
        <f t="shared" si="39"/>
        <v>47452</v>
      </c>
      <c r="M49" s="115">
        <f t="shared" si="39"/>
        <v>47483</v>
      </c>
      <c r="N49" s="115">
        <f t="shared" si="39"/>
        <v>47514</v>
      </c>
      <c r="O49" s="115">
        <f t="shared" si="39"/>
        <v>47542</v>
      </c>
      <c r="P49" s="115">
        <f t="shared" si="39"/>
        <v>47573</v>
      </c>
      <c r="Q49" s="115">
        <f t="shared" si="39"/>
        <v>47603</v>
      </c>
      <c r="R49" s="115">
        <f t="shared" si="39"/>
        <v>47634</v>
      </c>
      <c r="S49" s="115">
        <f t="shared" si="39"/>
        <v>47664</v>
      </c>
      <c r="T49" s="115">
        <f t="shared" si="39"/>
        <v>47695</v>
      </c>
      <c r="U49" s="115">
        <f t="shared" si="39"/>
        <v>47726</v>
      </c>
      <c r="V49" s="115">
        <f t="shared" si="39"/>
        <v>47756</v>
      </c>
      <c r="W49" s="115">
        <f t="shared" si="39"/>
        <v>47787</v>
      </c>
      <c r="X49" s="115">
        <f t="shared" si="39"/>
        <v>47817</v>
      </c>
      <c r="Y49" s="115">
        <f t="shared" si="39"/>
        <v>47848</v>
      </c>
      <c r="Z49" s="115">
        <f t="shared" si="39"/>
        <v>47879</v>
      </c>
      <c r="AA49" s="115">
        <f t="shared" si="39"/>
        <v>47907</v>
      </c>
      <c r="AB49" s="115">
        <f t="shared" si="39"/>
        <v>47938</v>
      </c>
      <c r="AC49" s="115">
        <f t="shared" si="39"/>
        <v>47968</v>
      </c>
      <c r="AD49" s="115">
        <f t="shared" si="39"/>
        <v>47999</v>
      </c>
      <c r="AE49" s="115">
        <f t="shared" si="39"/>
        <v>48029</v>
      </c>
      <c r="AF49" s="115">
        <f t="shared" si="39"/>
        <v>48060</v>
      </c>
      <c r="AG49" s="115">
        <f t="shared" si="39"/>
        <v>48091</v>
      </c>
      <c r="AH49" s="115">
        <f t="shared" si="39"/>
        <v>48121</v>
      </c>
      <c r="AI49" s="115">
        <f t="shared" si="39"/>
        <v>48152</v>
      </c>
      <c r="AJ49" s="115">
        <f t="shared" si="39"/>
        <v>48182</v>
      </c>
      <c r="AK49" s="115">
        <f t="shared" ref="AK49:BP49" si="40">EOMONTH(AJ49,1)</f>
        <v>48213</v>
      </c>
      <c r="AL49" s="115">
        <f t="shared" si="40"/>
        <v>48244</v>
      </c>
      <c r="AM49" s="115">
        <f t="shared" si="40"/>
        <v>48273</v>
      </c>
      <c r="AN49" s="115">
        <f t="shared" si="40"/>
        <v>48304</v>
      </c>
      <c r="AO49" s="115">
        <f t="shared" si="40"/>
        <v>48334</v>
      </c>
      <c r="AP49" s="115">
        <f t="shared" si="40"/>
        <v>48365</v>
      </c>
      <c r="AQ49" s="115">
        <f t="shared" si="40"/>
        <v>48395</v>
      </c>
      <c r="AR49" s="115">
        <f t="shared" si="40"/>
        <v>48426</v>
      </c>
      <c r="AS49" s="115">
        <f t="shared" si="40"/>
        <v>48457</v>
      </c>
      <c r="AT49" s="115">
        <f t="shared" si="40"/>
        <v>48487</v>
      </c>
      <c r="AU49" s="115">
        <f t="shared" si="40"/>
        <v>48518</v>
      </c>
      <c r="AV49" s="115">
        <f t="shared" si="40"/>
        <v>48548</v>
      </c>
      <c r="AW49" s="115">
        <f t="shared" si="40"/>
        <v>48579</v>
      </c>
      <c r="AX49" s="115">
        <f t="shared" si="40"/>
        <v>48610</v>
      </c>
      <c r="AY49" s="115">
        <f t="shared" si="40"/>
        <v>48638</v>
      </c>
      <c r="AZ49" s="115">
        <f t="shared" si="40"/>
        <v>48669</v>
      </c>
      <c r="BA49" s="115">
        <f t="shared" si="40"/>
        <v>48699</v>
      </c>
      <c r="BB49" s="115">
        <f t="shared" si="40"/>
        <v>48730</v>
      </c>
      <c r="BC49" s="115">
        <f t="shared" si="40"/>
        <v>48760</v>
      </c>
      <c r="BD49" s="115">
        <f t="shared" si="40"/>
        <v>48791</v>
      </c>
      <c r="BE49" s="115">
        <f t="shared" si="40"/>
        <v>48822</v>
      </c>
      <c r="BF49" s="115">
        <f t="shared" si="40"/>
        <v>48852</v>
      </c>
      <c r="BG49" s="115">
        <f t="shared" si="40"/>
        <v>48883</v>
      </c>
      <c r="BH49" s="115">
        <f t="shared" si="40"/>
        <v>48913</v>
      </c>
      <c r="BI49" s="115">
        <f t="shared" si="40"/>
        <v>48944</v>
      </c>
      <c r="BJ49" s="115">
        <f t="shared" si="40"/>
        <v>48975</v>
      </c>
      <c r="BK49" s="115">
        <f t="shared" si="40"/>
        <v>49003</v>
      </c>
      <c r="BL49" s="115">
        <f t="shared" si="40"/>
        <v>49034</v>
      </c>
      <c r="BM49" s="115">
        <f t="shared" si="40"/>
        <v>49064</v>
      </c>
      <c r="BN49" s="115">
        <f t="shared" si="40"/>
        <v>49095</v>
      </c>
      <c r="BO49" s="115">
        <f t="shared" si="40"/>
        <v>49125</v>
      </c>
      <c r="BP49" s="115">
        <f t="shared" si="40"/>
        <v>49156</v>
      </c>
      <c r="BQ49" s="115">
        <f t="shared" ref="BQ49:CV49" si="41">EOMONTH(BP49,1)</f>
        <v>49187</v>
      </c>
      <c r="BR49" s="115">
        <f t="shared" si="41"/>
        <v>49217</v>
      </c>
      <c r="BS49" s="115">
        <f t="shared" si="41"/>
        <v>49248</v>
      </c>
      <c r="BT49" s="115">
        <f t="shared" si="41"/>
        <v>49278</v>
      </c>
      <c r="BU49" s="115">
        <f t="shared" si="41"/>
        <v>49309</v>
      </c>
      <c r="BV49" s="115">
        <f t="shared" si="41"/>
        <v>49340</v>
      </c>
      <c r="BW49" s="115">
        <f t="shared" si="41"/>
        <v>49368</v>
      </c>
      <c r="BX49" s="115">
        <f t="shared" si="41"/>
        <v>49399</v>
      </c>
      <c r="BY49" s="115">
        <f t="shared" si="41"/>
        <v>49429</v>
      </c>
      <c r="BZ49" s="115">
        <f t="shared" si="41"/>
        <v>49460</v>
      </c>
      <c r="CA49" s="115">
        <f t="shared" si="41"/>
        <v>49490</v>
      </c>
      <c r="CB49" s="115">
        <f t="shared" si="41"/>
        <v>49521</v>
      </c>
      <c r="CC49" s="115">
        <f t="shared" si="41"/>
        <v>49552</v>
      </c>
      <c r="CD49" s="115">
        <f t="shared" si="41"/>
        <v>49582</v>
      </c>
      <c r="CE49" s="115">
        <f t="shared" si="41"/>
        <v>49613</v>
      </c>
      <c r="CF49" s="115">
        <f t="shared" si="41"/>
        <v>49643</v>
      </c>
      <c r="CG49" s="115">
        <f t="shared" si="41"/>
        <v>49674</v>
      </c>
      <c r="CH49" s="115">
        <f t="shared" si="41"/>
        <v>49705</v>
      </c>
      <c r="CI49" s="115">
        <f t="shared" si="41"/>
        <v>49734</v>
      </c>
      <c r="CJ49" s="115">
        <f t="shared" si="41"/>
        <v>49765</v>
      </c>
      <c r="CK49" s="115">
        <f t="shared" si="41"/>
        <v>49795</v>
      </c>
      <c r="CL49" s="115">
        <f t="shared" si="41"/>
        <v>49826</v>
      </c>
      <c r="CM49" s="115">
        <f t="shared" si="41"/>
        <v>49856</v>
      </c>
      <c r="CN49" s="115">
        <f t="shared" si="41"/>
        <v>49887</v>
      </c>
      <c r="CO49" s="115">
        <f t="shared" si="41"/>
        <v>49918</v>
      </c>
      <c r="CP49" s="115">
        <f t="shared" si="41"/>
        <v>49948</v>
      </c>
      <c r="CQ49" s="115">
        <f t="shared" si="41"/>
        <v>49979</v>
      </c>
      <c r="CR49" s="115">
        <f t="shared" si="41"/>
        <v>50009</v>
      </c>
      <c r="CS49" s="115">
        <f t="shared" si="41"/>
        <v>50040</v>
      </c>
      <c r="CT49" s="115">
        <f t="shared" si="41"/>
        <v>50071</v>
      </c>
      <c r="CU49" s="115">
        <f t="shared" si="41"/>
        <v>50099</v>
      </c>
      <c r="CV49" s="115">
        <f t="shared" si="41"/>
        <v>50130</v>
      </c>
      <c r="CW49" s="115">
        <f t="shared" ref="CW49:DT49" si="42">EOMONTH(CV49,1)</f>
        <v>50160</v>
      </c>
      <c r="CX49" s="115">
        <f t="shared" si="42"/>
        <v>50191</v>
      </c>
      <c r="CY49" s="115">
        <f t="shared" si="42"/>
        <v>50221</v>
      </c>
      <c r="CZ49" s="115">
        <f t="shared" si="42"/>
        <v>50252</v>
      </c>
      <c r="DA49" s="115">
        <f t="shared" si="42"/>
        <v>50283</v>
      </c>
      <c r="DB49" s="115">
        <f t="shared" si="42"/>
        <v>50313</v>
      </c>
      <c r="DC49" s="115">
        <f t="shared" si="42"/>
        <v>50344</v>
      </c>
      <c r="DD49" s="115">
        <f t="shared" si="42"/>
        <v>50374</v>
      </c>
      <c r="DE49" s="115">
        <f t="shared" si="42"/>
        <v>50405</v>
      </c>
      <c r="DF49" s="115">
        <f t="shared" si="42"/>
        <v>50436</v>
      </c>
      <c r="DG49" s="115">
        <f t="shared" si="42"/>
        <v>50464</v>
      </c>
      <c r="DH49" s="115">
        <f t="shared" si="42"/>
        <v>50495</v>
      </c>
      <c r="DI49" s="115">
        <f t="shared" si="42"/>
        <v>50525</v>
      </c>
      <c r="DJ49" s="115">
        <f t="shared" si="42"/>
        <v>50556</v>
      </c>
      <c r="DK49" s="115">
        <f t="shared" si="42"/>
        <v>50586</v>
      </c>
      <c r="DL49" s="115">
        <f t="shared" si="42"/>
        <v>50617</v>
      </c>
      <c r="DM49" s="115">
        <f t="shared" si="42"/>
        <v>50648</v>
      </c>
      <c r="DN49" s="115">
        <f t="shared" si="42"/>
        <v>50678</v>
      </c>
      <c r="DO49" s="115">
        <f t="shared" si="42"/>
        <v>50709</v>
      </c>
      <c r="DP49" s="115">
        <f t="shared" si="42"/>
        <v>50739</v>
      </c>
      <c r="DQ49" s="115">
        <f t="shared" si="42"/>
        <v>50770</v>
      </c>
      <c r="DR49" s="115">
        <f t="shared" si="42"/>
        <v>50801</v>
      </c>
      <c r="DS49" s="115">
        <f t="shared" si="42"/>
        <v>50829</v>
      </c>
      <c r="DT49" s="115">
        <f t="shared" si="42"/>
        <v>50860</v>
      </c>
    </row>
    <row r="50" spans="2:124" s="3" customFormat="1" ht="22.95" customHeight="1">
      <c r="B50" s="104" t="s">
        <v>73</v>
      </c>
      <c r="C50" s="22">
        <f>SUM(D50:DT50)</f>
        <v>104999.99999999999</v>
      </c>
      <c r="D50" s="21">
        <f>IF($E$15="Yes",'Rolled Up Cash Flows'!E$31,'Rolled Up Cash Flows'!E$53)</f>
        <v>46666.666666666664</v>
      </c>
      <c r="E50" s="21">
        <f>IF($E$15="Yes",'Rolled Up Cash Flows'!F$31,'Rolled Up Cash Flows'!F$53)</f>
        <v>-3333.3333333333335</v>
      </c>
      <c r="F50" s="21">
        <f>IF($E$15="Yes",'Rolled Up Cash Flows'!G$31,'Rolled Up Cash Flows'!G$53)</f>
        <v>-3333.3333333333335</v>
      </c>
      <c r="G50" s="21">
        <f>IF($E$15="Yes",'Rolled Up Cash Flows'!H$31,'Rolled Up Cash Flows'!H$53)</f>
        <v>-3333.3333333333335</v>
      </c>
      <c r="H50" s="21">
        <f>IF($E$15="Yes",'Rolled Up Cash Flows'!I$31,'Rolled Up Cash Flows'!I$53)</f>
        <v>-3333.3333333333335</v>
      </c>
      <c r="I50" s="21">
        <f>IF($E$15="Yes",'Rolled Up Cash Flows'!J$31,'Rolled Up Cash Flows'!J$53)</f>
        <v>-3333.3333333333335</v>
      </c>
      <c r="J50" s="21">
        <f>IF($E$15="Yes",'Rolled Up Cash Flows'!K$31,'Rolled Up Cash Flows'!K$53)</f>
        <v>6250</v>
      </c>
      <c r="K50" s="21">
        <f>IF($E$15="Yes",'Rolled Up Cash Flows'!L$31,'Rolled Up Cash Flows'!L$53)</f>
        <v>6250</v>
      </c>
      <c r="L50" s="21">
        <f>IF($E$15="Yes",'Rolled Up Cash Flows'!M$31,'Rolled Up Cash Flows'!M$53)</f>
        <v>6250</v>
      </c>
      <c r="M50" s="21">
        <f>IF($E$15="Yes",'Rolled Up Cash Flows'!N$31,'Rolled Up Cash Flows'!N$53)</f>
        <v>6250</v>
      </c>
      <c r="N50" s="21">
        <f>IF($E$15="Yes",'Rolled Up Cash Flows'!O$31,'Rolled Up Cash Flows'!O$53)</f>
        <v>6250</v>
      </c>
      <c r="O50" s="21">
        <f>IF($E$15="Yes",'Rolled Up Cash Flows'!P$31,'Rolled Up Cash Flows'!P$53)</f>
        <v>6250</v>
      </c>
      <c r="P50" s="21">
        <f>IF($E$15="Yes",'Rolled Up Cash Flows'!Q$31,'Rolled Up Cash Flows'!Q$53)</f>
        <v>6250</v>
      </c>
      <c r="Q50" s="21">
        <f>IF($E$15="Yes",'Rolled Up Cash Flows'!R$31,'Rolled Up Cash Flows'!R$53)</f>
        <v>6250</v>
      </c>
      <c r="R50" s="21">
        <f>IF($E$15="Yes",'Rolled Up Cash Flows'!S$31,'Rolled Up Cash Flows'!S$53)</f>
        <v>6250</v>
      </c>
      <c r="S50" s="21">
        <f>IF($E$15="Yes",'Rolled Up Cash Flows'!T$31,'Rolled Up Cash Flows'!T$53)</f>
        <v>6250</v>
      </c>
      <c r="T50" s="21">
        <f>IF($E$15="Yes",'Rolled Up Cash Flows'!U$31,'Rolled Up Cash Flows'!U$53)</f>
        <v>6250</v>
      </c>
      <c r="U50" s="21">
        <f>IF($E$15="Yes",'Rolled Up Cash Flows'!V$31,'Rolled Up Cash Flows'!V$53)</f>
        <v>6250</v>
      </c>
      <c r="V50" s="21">
        <f>IF($E$15="Yes",'Rolled Up Cash Flows'!W$31,'Rolled Up Cash Flows'!W$53)</f>
        <v>0</v>
      </c>
      <c r="W50" s="21">
        <f>IF($E$15="Yes",'Rolled Up Cash Flows'!X$31,'Rolled Up Cash Flows'!X$53)</f>
        <v>0</v>
      </c>
      <c r="X50" s="21">
        <f>IF($E$15="Yes",'Rolled Up Cash Flows'!Y$31,'Rolled Up Cash Flows'!Y$53)</f>
        <v>0</v>
      </c>
      <c r="Y50" s="21">
        <f>IF($E$15="Yes",'Rolled Up Cash Flows'!Z$31,'Rolled Up Cash Flows'!Z$53)</f>
        <v>0</v>
      </c>
      <c r="Z50" s="21">
        <f>IF($E$15="Yes",'Rolled Up Cash Flows'!AA$31,'Rolled Up Cash Flows'!AA$53)</f>
        <v>0</v>
      </c>
      <c r="AA50" s="21">
        <f>IF($E$15="Yes",'Rolled Up Cash Flows'!AB$31,'Rolled Up Cash Flows'!AB$53)</f>
        <v>0</v>
      </c>
      <c r="AB50" s="21">
        <f>IF($E$15="Yes",'Rolled Up Cash Flows'!AC$31,'Rolled Up Cash Flows'!AC$53)</f>
        <v>0</v>
      </c>
      <c r="AC50" s="21">
        <f>IF($E$15="Yes",'Rolled Up Cash Flows'!AD$31,'Rolled Up Cash Flows'!AD$53)</f>
        <v>0</v>
      </c>
      <c r="AD50" s="21">
        <f>IF($E$15="Yes",'Rolled Up Cash Flows'!AE$31,'Rolled Up Cash Flows'!AE$53)</f>
        <v>0</v>
      </c>
      <c r="AE50" s="21">
        <f>IF($E$15="Yes",'Rolled Up Cash Flows'!AF$31,'Rolled Up Cash Flows'!AF$53)</f>
        <v>0</v>
      </c>
      <c r="AF50" s="21">
        <f>IF($E$15="Yes",'Rolled Up Cash Flows'!AG$31,'Rolled Up Cash Flows'!AG$53)</f>
        <v>0</v>
      </c>
      <c r="AG50" s="21">
        <f>IF($E$15="Yes",'Rolled Up Cash Flows'!AH$31,'Rolled Up Cash Flows'!AH$53)</f>
        <v>0</v>
      </c>
      <c r="AH50" s="21">
        <f>IF($E$15="Yes",'Rolled Up Cash Flows'!AI$31,'Rolled Up Cash Flows'!AI$53)</f>
        <v>0</v>
      </c>
      <c r="AI50" s="21">
        <f>IF($E$15="Yes",'Rolled Up Cash Flows'!AJ$31,'Rolled Up Cash Flows'!AJ$53)</f>
        <v>0</v>
      </c>
      <c r="AJ50" s="21">
        <f>IF($E$15="Yes",'Rolled Up Cash Flows'!AK$31,'Rolled Up Cash Flows'!AK$53)</f>
        <v>0</v>
      </c>
      <c r="AK50" s="21">
        <f>IF($E$15="Yes",'Rolled Up Cash Flows'!AL$31,'Rolled Up Cash Flows'!AL$53)</f>
        <v>0</v>
      </c>
      <c r="AL50" s="21">
        <f>IF($E$15="Yes",'Rolled Up Cash Flows'!AM$31,'Rolled Up Cash Flows'!AM$53)</f>
        <v>0</v>
      </c>
      <c r="AM50" s="21">
        <f>IF($E$15="Yes",'Rolled Up Cash Flows'!AN$31,'Rolled Up Cash Flows'!AN$53)</f>
        <v>0</v>
      </c>
      <c r="AN50" s="21">
        <f>IF($E$15="Yes",'Rolled Up Cash Flows'!AO$31,'Rolled Up Cash Flows'!AO$53)</f>
        <v>0</v>
      </c>
      <c r="AO50" s="21">
        <f>IF($E$15="Yes",'Rolled Up Cash Flows'!AP$31,'Rolled Up Cash Flows'!AP$53)</f>
        <v>0</v>
      </c>
      <c r="AP50" s="21">
        <f>IF($E$15="Yes",'Rolled Up Cash Flows'!AQ$31,'Rolled Up Cash Flows'!AQ$53)</f>
        <v>0</v>
      </c>
      <c r="AQ50" s="21">
        <f>IF($E$15="Yes",'Rolled Up Cash Flows'!AR$31,'Rolled Up Cash Flows'!AR$53)</f>
        <v>0</v>
      </c>
      <c r="AR50" s="21">
        <f>IF($E$15="Yes",'Rolled Up Cash Flows'!AS$31,'Rolled Up Cash Flows'!AS$53)</f>
        <v>0</v>
      </c>
      <c r="AS50" s="21">
        <f>IF($E$15="Yes",'Rolled Up Cash Flows'!AT$31,'Rolled Up Cash Flows'!AT$53)</f>
        <v>0</v>
      </c>
      <c r="AT50" s="21">
        <f>IF($E$15="Yes",'Rolled Up Cash Flows'!AU$31,'Rolled Up Cash Flows'!AU$53)</f>
        <v>0</v>
      </c>
      <c r="AU50" s="21">
        <f>IF($E$15="Yes",'Rolled Up Cash Flows'!AV$31,'Rolled Up Cash Flows'!AV$53)</f>
        <v>0</v>
      </c>
      <c r="AV50" s="21">
        <f>IF($E$15="Yes",'Rolled Up Cash Flows'!AW$31,'Rolled Up Cash Flows'!AW$53)</f>
        <v>0</v>
      </c>
      <c r="AW50" s="21">
        <f>IF($E$15="Yes",'Rolled Up Cash Flows'!AX$31,'Rolled Up Cash Flows'!AX$53)</f>
        <v>0</v>
      </c>
      <c r="AX50" s="21">
        <f>IF($E$15="Yes",'Rolled Up Cash Flows'!AY$31,'Rolled Up Cash Flows'!AY$53)</f>
        <v>0</v>
      </c>
      <c r="AY50" s="21">
        <f>IF($E$15="Yes",'Rolled Up Cash Flows'!AZ$31,'Rolled Up Cash Flows'!AZ$53)</f>
        <v>0</v>
      </c>
      <c r="AZ50" s="21">
        <f>IF($E$15="Yes",'Rolled Up Cash Flows'!BA$31,'Rolled Up Cash Flows'!BA$53)</f>
        <v>0</v>
      </c>
      <c r="BA50" s="21">
        <f>IF($E$15="Yes",'Rolled Up Cash Flows'!BB$31,'Rolled Up Cash Flows'!BB$53)</f>
        <v>0</v>
      </c>
      <c r="BB50" s="21">
        <f>IF($E$15="Yes",'Rolled Up Cash Flows'!BC$31,'Rolled Up Cash Flows'!BC$53)</f>
        <v>0</v>
      </c>
      <c r="BC50" s="21">
        <f>IF($E$15="Yes",'Rolled Up Cash Flows'!BD$31,'Rolled Up Cash Flows'!BD$53)</f>
        <v>0</v>
      </c>
      <c r="BD50" s="21">
        <f>IF($E$15="Yes",'Rolled Up Cash Flows'!BE$31,'Rolled Up Cash Flows'!BE$53)</f>
        <v>0</v>
      </c>
      <c r="BE50" s="21">
        <f>IF($E$15="Yes",'Rolled Up Cash Flows'!BF$31,'Rolled Up Cash Flows'!BF$53)</f>
        <v>0</v>
      </c>
      <c r="BF50" s="21">
        <f>IF($E$15="Yes",'Rolled Up Cash Flows'!BG$31,'Rolled Up Cash Flows'!BG$53)</f>
        <v>0</v>
      </c>
      <c r="BG50" s="21">
        <f>IF($E$15="Yes",'Rolled Up Cash Flows'!BH$31,'Rolled Up Cash Flows'!BH$53)</f>
        <v>0</v>
      </c>
      <c r="BH50" s="21">
        <f>IF($E$15="Yes",'Rolled Up Cash Flows'!BI$31,'Rolled Up Cash Flows'!BI$53)</f>
        <v>0</v>
      </c>
      <c r="BI50" s="21">
        <f>IF($E$15="Yes",'Rolled Up Cash Flows'!BJ$31,'Rolled Up Cash Flows'!BJ$53)</f>
        <v>0</v>
      </c>
      <c r="BJ50" s="21">
        <f>IF($E$15="Yes",'Rolled Up Cash Flows'!BK$31,'Rolled Up Cash Flows'!BK$53)</f>
        <v>0</v>
      </c>
      <c r="BK50" s="21">
        <f>IF($E$15="Yes",'Rolled Up Cash Flows'!BL$31,'Rolled Up Cash Flows'!BL$53)</f>
        <v>0</v>
      </c>
      <c r="BL50" s="21">
        <f>IF($E$15="Yes",'Rolled Up Cash Flows'!BM$31,'Rolled Up Cash Flows'!BM$53)</f>
        <v>0</v>
      </c>
      <c r="BM50" s="21">
        <f>IF($E$15="Yes",'Rolled Up Cash Flows'!BN$31,'Rolled Up Cash Flows'!BN$53)</f>
        <v>0</v>
      </c>
      <c r="BN50" s="21">
        <f>IF($E$15="Yes",'Rolled Up Cash Flows'!BO$31,'Rolled Up Cash Flows'!BO$53)</f>
        <v>0</v>
      </c>
      <c r="BO50" s="21">
        <f>IF($E$15="Yes",'Rolled Up Cash Flows'!BP$31,'Rolled Up Cash Flows'!BP$53)</f>
        <v>0</v>
      </c>
      <c r="BP50" s="21">
        <f>IF($E$15="Yes",'Rolled Up Cash Flows'!BQ$31,'Rolled Up Cash Flows'!BQ$53)</f>
        <v>0</v>
      </c>
      <c r="BQ50" s="21">
        <f>IF($E$15="Yes",'Rolled Up Cash Flows'!BR$31,'Rolled Up Cash Flows'!BR$53)</f>
        <v>0</v>
      </c>
      <c r="BR50" s="21">
        <f>IF($E$15="Yes",'Rolled Up Cash Flows'!BS$31,'Rolled Up Cash Flows'!BS$53)</f>
        <v>0</v>
      </c>
      <c r="BS50" s="21">
        <f>IF($E$15="Yes",'Rolled Up Cash Flows'!BT$31,'Rolled Up Cash Flows'!BT$53)</f>
        <v>0</v>
      </c>
      <c r="BT50" s="21">
        <f>IF($E$15="Yes",'Rolled Up Cash Flows'!BU$31,'Rolled Up Cash Flows'!BU$53)</f>
        <v>0</v>
      </c>
      <c r="BU50" s="21">
        <f>IF($E$15="Yes",'Rolled Up Cash Flows'!BV$31,'Rolled Up Cash Flows'!BV$53)</f>
        <v>0</v>
      </c>
      <c r="BV50" s="21">
        <f>IF($E$15="Yes",'Rolled Up Cash Flows'!BW$31,'Rolled Up Cash Flows'!BW$53)</f>
        <v>0</v>
      </c>
      <c r="BW50" s="21">
        <f>IF($E$15="Yes",'Rolled Up Cash Flows'!BX$31,'Rolled Up Cash Flows'!BX$53)</f>
        <v>0</v>
      </c>
      <c r="BX50" s="21">
        <f>IF($E$15="Yes",'Rolled Up Cash Flows'!BY$31,'Rolled Up Cash Flows'!BY$53)</f>
        <v>0</v>
      </c>
      <c r="BY50" s="21">
        <f>IF($E$15="Yes",'Rolled Up Cash Flows'!BZ$31,'Rolled Up Cash Flows'!BZ$53)</f>
        <v>0</v>
      </c>
      <c r="BZ50" s="21">
        <f>IF($E$15="Yes",'Rolled Up Cash Flows'!CA$31,'Rolled Up Cash Flows'!CA$53)</f>
        <v>0</v>
      </c>
      <c r="CA50" s="21">
        <f>IF($E$15="Yes",'Rolled Up Cash Flows'!CB$31,'Rolled Up Cash Flows'!CB$53)</f>
        <v>0</v>
      </c>
      <c r="CB50" s="21">
        <f>IF($E$15="Yes",'Rolled Up Cash Flows'!CC$31,'Rolled Up Cash Flows'!CC$53)</f>
        <v>0</v>
      </c>
      <c r="CC50" s="21">
        <f>IF($E$15="Yes",'Rolled Up Cash Flows'!CD$31,'Rolled Up Cash Flows'!CD$53)</f>
        <v>0</v>
      </c>
      <c r="CD50" s="21">
        <f>IF($E$15="Yes",'Rolled Up Cash Flows'!CE$31,'Rolled Up Cash Flows'!CE$53)</f>
        <v>0</v>
      </c>
      <c r="CE50" s="21">
        <f>IF($E$15="Yes",'Rolled Up Cash Flows'!CF$31,'Rolled Up Cash Flows'!CF$53)</f>
        <v>0</v>
      </c>
      <c r="CF50" s="21">
        <f>IF($E$15="Yes",'Rolled Up Cash Flows'!CG$31,'Rolled Up Cash Flows'!CG$53)</f>
        <v>0</v>
      </c>
      <c r="CG50" s="21">
        <f>IF($E$15="Yes",'Rolled Up Cash Flows'!CH$31,'Rolled Up Cash Flows'!CH$53)</f>
        <v>0</v>
      </c>
      <c r="CH50" s="21">
        <f>IF($E$15="Yes",'Rolled Up Cash Flows'!CI$31,'Rolled Up Cash Flows'!CI$53)</f>
        <v>0</v>
      </c>
      <c r="CI50" s="21">
        <f>IF($E$15="Yes",'Rolled Up Cash Flows'!CJ$31,'Rolled Up Cash Flows'!CJ$53)</f>
        <v>0</v>
      </c>
      <c r="CJ50" s="21">
        <f>IF($E$15="Yes",'Rolled Up Cash Flows'!CK$31,'Rolled Up Cash Flows'!CK$53)</f>
        <v>0</v>
      </c>
      <c r="CK50" s="21">
        <f>IF($E$15="Yes",'Rolled Up Cash Flows'!CL$31,'Rolled Up Cash Flows'!CL$53)</f>
        <v>0</v>
      </c>
      <c r="CL50" s="21">
        <f>IF($E$15="Yes",'Rolled Up Cash Flows'!CM$31,'Rolled Up Cash Flows'!CM$53)</f>
        <v>0</v>
      </c>
      <c r="CM50" s="21">
        <f>IF($E$15="Yes",'Rolled Up Cash Flows'!CN$31,'Rolled Up Cash Flows'!CN$53)</f>
        <v>0</v>
      </c>
      <c r="CN50" s="21">
        <f>IF($E$15="Yes",'Rolled Up Cash Flows'!CO$31,'Rolled Up Cash Flows'!CO$53)</f>
        <v>0</v>
      </c>
      <c r="CO50" s="21">
        <f>IF($E$15="Yes",'Rolled Up Cash Flows'!CP$31,'Rolled Up Cash Flows'!CP$53)</f>
        <v>0</v>
      </c>
      <c r="CP50" s="21">
        <f>IF($E$15="Yes",'Rolled Up Cash Flows'!CQ$31,'Rolled Up Cash Flows'!CQ$53)</f>
        <v>0</v>
      </c>
      <c r="CQ50" s="21">
        <f>IF($E$15="Yes",'Rolled Up Cash Flows'!CR$31,'Rolled Up Cash Flows'!CR$53)</f>
        <v>0</v>
      </c>
      <c r="CR50" s="21">
        <f>IF($E$15="Yes",'Rolled Up Cash Flows'!CS$31,'Rolled Up Cash Flows'!CS$53)</f>
        <v>0</v>
      </c>
      <c r="CS50" s="21">
        <f>IF($E$15="Yes",'Rolled Up Cash Flows'!CT$31,'Rolled Up Cash Flows'!CT$53)</f>
        <v>0</v>
      </c>
      <c r="CT50" s="21">
        <f>IF($E$15="Yes",'Rolled Up Cash Flows'!CU$31,'Rolled Up Cash Flows'!CU$53)</f>
        <v>0</v>
      </c>
      <c r="CU50" s="21">
        <f>IF($E$15="Yes",'Rolled Up Cash Flows'!CV$31,'Rolled Up Cash Flows'!CV$53)</f>
        <v>0</v>
      </c>
      <c r="CV50" s="21">
        <f>IF($E$15="Yes",'Rolled Up Cash Flows'!CW$31,'Rolled Up Cash Flows'!CW$53)</f>
        <v>0</v>
      </c>
      <c r="CW50" s="21">
        <f>IF($E$15="Yes",'Rolled Up Cash Flows'!CX$31,'Rolled Up Cash Flows'!CX$53)</f>
        <v>0</v>
      </c>
      <c r="CX50" s="21">
        <f>IF($E$15="Yes",'Rolled Up Cash Flows'!CY$31,'Rolled Up Cash Flows'!CY$53)</f>
        <v>0</v>
      </c>
      <c r="CY50" s="21">
        <f>IF($E$15="Yes",'Rolled Up Cash Flows'!CZ$31,'Rolled Up Cash Flows'!CZ$53)</f>
        <v>0</v>
      </c>
      <c r="CZ50" s="21">
        <f>IF($E$15="Yes",'Rolled Up Cash Flows'!DA$31,'Rolled Up Cash Flows'!DA$53)</f>
        <v>0</v>
      </c>
      <c r="DA50" s="21">
        <f>IF($E$15="Yes",'Rolled Up Cash Flows'!DB$31,'Rolled Up Cash Flows'!DB$53)</f>
        <v>0</v>
      </c>
      <c r="DB50" s="21">
        <f>IF($E$15="Yes",'Rolled Up Cash Flows'!DC$31,'Rolled Up Cash Flows'!DC$53)</f>
        <v>0</v>
      </c>
      <c r="DC50" s="21">
        <f>IF($E$15="Yes",'Rolled Up Cash Flows'!DD$31,'Rolled Up Cash Flows'!DD$53)</f>
        <v>0</v>
      </c>
      <c r="DD50" s="21">
        <f>IF($E$15="Yes",'Rolled Up Cash Flows'!DE$31,'Rolled Up Cash Flows'!DE$53)</f>
        <v>0</v>
      </c>
      <c r="DE50" s="21">
        <f>IF($E$15="Yes",'Rolled Up Cash Flows'!DF$31,'Rolled Up Cash Flows'!DF$53)</f>
        <v>0</v>
      </c>
      <c r="DF50" s="21">
        <f>IF($E$15="Yes",'Rolled Up Cash Flows'!DG$31,'Rolled Up Cash Flows'!DG$53)</f>
        <v>0</v>
      </c>
      <c r="DG50" s="21">
        <f>IF($E$15="Yes",'Rolled Up Cash Flows'!DH$31,'Rolled Up Cash Flows'!DH$53)</f>
        <v>0</v>
      </c>
      <c r="DH50" s="21">
        <f>IF($E$15="Yes",'Rolled Up Cash Flows'!DI$31,'Rolled Up Cash Flows'!DI$53)</f>
        <v>0</v>
      </c>
      <c r="DI50" s="21">
        <f>IF($E$15="Yes",'Rolled Up Cash Flows'!DJ$31,'Rolled Up Cash Flows'!DJ$53)</f>
        <v>0</v>
      </c>
      <c r="DJ50" s="21">
        <f>IF($E$15="Yes",'Rolled Up Cash Flows'!DK$31,'Rolled Up Cash Flows'!DK$53)</f>
        <v>0</v>
      </c>
      <c r="DK50" s="21">
        <f>IF($E$15="Yes",'Rolled Up Cash Flows'!DL$31,'Rolled Up Cash Flows'!DL$53)</f>
        <v>0</v>
      </c>
      <c r="DL50" s="21">
        <f>IF($E$15="Yes",'Rolled Up Cash Flows'!DM$31,'Rolled Up Cash Flows'!DM$53)</f>
        <v>0</v>
      </c>
      <c r="DM50" s="21">
        <f>IF($E$15="Yes",'Rolled Up Cash Flows'!DN$31,'Rolled Up Cash Flows'!DN$53)</f>
        <v>0</v>
      </c>
      <c r="DN50" s="21">
        <f>IF($E$15="Yes",'Rolled Up Cash Flows'!DO$31,'Rolled Up Cash Flows'!DO$53)</f>
        <v>0</v>
      </c>
      <c r="DO50" s="21">
        <f>IF($E$15="Yes",'Rolled Up Cash Flows'!DP$31,'Rolled Up Cash Flows'!DP$53)</f>
        <v>0</v>
      </c>
      <c r="DP50" s="21">
        <f>IF($E$15="Yes",'Rolled Up Cash Flows'!DQ$31,'Rolled Up Cash Flows'!DQ$53)</f>
        <v>0</v>
      </c>
      <c r="DQ50" s="21">
        <f>IF($E$15="Yes",'Rolled Up Cash Flows'!DR$31,'Rolled Up Cash Flows'!DR$53)</f>
        <v>0</v>
      </c>
      <c r="DR50" s="21">
        <f>IF($E$15="Yes",'Rolled Up Cash Flows'!DS$31,'Rolled Up Cash Flows'!DS$53)</f>
        <v>0</v>
      </c>
      <c r="DS50" s="21">
        <f>IF($E$15="Yes",'Rolled Up Cash Flows'!DT$31,'Rolled Up Cash Flows'!DT$53)</f>
        <v>0</v>
      </c>
      <c r="DT50" s="21">
        <f>IF($E$15="Yes",'Rolled Up Cash Flows'!DU$31,'Rolled Up Cash Flows'!DU$53)</f>
        <v>0</v>
      </c>
    </row>
    <row r="51" spans="2:124" s="3" customFormat="1" ht="22.95" customHeight="1"/>
    <row r="52" spans="2:124" s="3" customFormat="1" ht="22.95" customHeight="1"/>
    <row r="53" spans="2:124" s="3" customFormat="1" ht="22.95" customHeight="1"/>
    <row r="54" spans="2:124" s="3" customFormat="1" ht="22.95" customHeight="1"/>
    <row r="55" spans="2:124" s="3" customFormat="1" ht="22.95" customHeight="1"/>
    <row r="56" spans="2:124" s="3" customFormat="1" ht="22.95" customHeight="1"/>
    <row r="57" spans="2:124" s="3" customFormat="1" ht="22.95" customHeight="1"/>
    <row r="58" spans="2:124" s="3" customFormat="1" ht="22.95" customHeight="1"/>
    <row r="59" spans="2:124" s="3" customFormat="1" ht="22.95" customHeight="1"/>
    <row r="60" spans="2:124" s="3" customFormat="1" ht="22.95" customHeight="1"/>
    <row r="61" spans="2:124" s="3" customFormat="1" ht="22.95" customHeight="1"/>
    <row r="62" spans="2:124" s="3" customFormat="1" ht="22.95" customHeight="1"/>
    <row r="63" spans="2:124" s="3" customFormat="1" ht="22.95" customHeight="1"/>
    <row r="64" spans="2:124" s="3" customFormat="1" ht="22.95" customHeight="1"/>
    <row r="65" spans="1:1" s="3" customFormat="1" ht="22.95" customHeight="1"/>
    <row r="66" spans="1:1" s="3" customFormat="1" ht="22.95" customHeight="1"/>
    <row r="67" spans="1:1" s="3" customFormat="1" ht="22.95" customHeight="1"/>
    <row r="68" spans="1:1" s="3" customFormat="1" ht="22.95" customHeight="1"/>
    <row r="69" spans="1:1" s="3" customFormat="1" ht="22.95" customHeight="1"/>
    <row r="70" spans="1:1" s="3" customFormat="1" ht="22.95" customHeight="1"/>
    <row r="71" spans="1:1" s="3" customFormat="1" ht="22.95" customHeight="1"/>
    <row r="72" spans="1:1" s="3" customFormat="1" ht="22.95" customHeight="1">
      <c r="A72" s="3" t="s">
        <v>65</v>
      </c>
    </row>
    <row r="73" spans="1:1" s="3" customFormat="1" ht="22.95" customHeight="1">
      <c r="A73" s="3" t="s">
        <v>67</v>
      </c>
    </row>
    <row r="74" spans="1:1" s="3" customFormat="1" ht="22.95" customHeight="1"/>
    <row r="75" spans="1:1" s="3" customFormat="1" ht="22.95" customHeight="1"/>
    <row r="76" spans="1:1" s="3" customFormat="1" ht="22.95" customHeight="1"/>
    <row r="77" spans="1:1" s="3" customFormat="1" ht="22.95" customHeight="1"/>
    <row r="78" spans="1:1" s="3" customFormat="1" ht="22.95" customHeight="1"/>
    <row r="79" spans="1:1" s="3" customFormat="1" ht="22.95" customHeight="1"/>
    <row r="80" spans="1:1" s="3" customFormat="1" ht="22.95" customHeight="1"/>
    <row r="81" s="3" customFormat="1" ht="22.95" customHeight="1"/>
    <row r="82" s="3" customFormat="1" ht="22.95" customHeight="1"/>
    <row r="83" s="3" customFormat="1" ht="22.95" customHeight="1"/>
    <row r="84" s="3" customFormat="1" ht="22.95" customHeight="1"/>
    <row r="85" s="3" customFormat="1" ht="22.95" customHeight="1"/>
    <row r="86" s="3" customFormat="1" ht="22.95" customHeight="1"/>
    <row r="87" s="3" customFormat="1" ht="22.95" customHeight="1"/>
    <row r="88" s="3" customFormat="1" ht="22.95" customHeight="1"/>
    <row r="89" s="3" customFormat="1" ht="22.95" customHeight="1"/>
    <row r="90" s="3" customFormat="1" ht="22.95" customHeight="1"/>
    <row r="91" s="3" customFormat="1" ht="22.95" customHeight="1"/>
    <row r="92" s="3" customFormat="1" ht="22.95" customHeight="1"/>
    <row r="93" s="3" customFormat="1" ht="22.95" customHeight="1"/>
    <row r="94" s="3" customFormat="1" ht="22.95" customHeight="1"/>
    <row r="95" s="3" customFormat="1" ht="22.95" customHeight="1"/>
    <row r="96" s="3" customFormat="1" ht="22.95" customHeight="1"/>
    <row r="97" s="3" customFormat="1" ht="22.95" customHeight="1"/>
    <row r="98" s="3" customFormat="1" ht="22.95" customHeight="1"/>
    <row r="99" s="3" customFormat="1" ht="22.95" customHeight="1"/>
    <row r="100" s="3" customFormat="1" ht="22.95" customHeight="1"/>
    <row r="101" s="3" customFormat="1" ht="22.95" customHeight="1"/>
    <row r="102" s="3" customFormat="1" ht="22.95" customHeight="1"/>
    <row r="103" s="3" customFormat="1" ht="22.95" customHeight="1"/>
    <row r="104" s="3" customFormat="1" ht="22.95" customHeight="1"/>
    <row r="105" s="3" customFormat="1" ht="22.95" customHeight="1"/>
    <row r="106" s="3" customFormat="1" ht="22.95" customHeight="1"/>
    <row r="107" s="3" customFormat="1" ht="22.95" customHeight="1"/>
    <row r="108" s="3" customFormat="1" ht="22.95" customHeight="1"/>
    <row r="109" s="3" customFormat="1" ht="22.95" customHeight="1"/>
    <row r="110" s="3" customFormat="1" ht="22.95" customHeight="1"/>
    <row r="111" s="3" customFormat="1" ht="22.95" customHeight="1"/>
    <row r="112" s="3" customFormat="1" ht="22.95" customHeight="1"/>
    <row r="113" s="3" customFormat="1" ht="22.95" customHeight="1"/>
    <row r="114" s="3" customFormat="1" ht="22.95" customHeight="1"/>
    <row r="115" s="3" customFormat="1" ht="22.95" customHeight="1"/>
    <row r="116" s="3" customFormat="1" ht="22.95" customHeight="1"/>
    <row r="117" s="3" customFormat="1" ht="22.95" customHeight="1"/>
    <row r="118" s="3" customFormat="1" ht="22.95" customHeight="1"/>
    <row r="119" s="3" customFormat="1" ht="22.95" customHeight="1"/>
    <row r="120" s="3" customFormat="1" ht="22.95" customHeight="1"/>
    <row r="121" s="3" customFormat="1" ht="22.95" customHeight="1"/>
    <row r="122" s="3" customFormat="1" ht="22.95" customHeight="1"/>
    <row r="123" s="3" customFormat="1" ht="22.95" customHeight="1"/>
    <row r="124" s="3" customFormat="1" ht="22.95" customHeight="1"/>
    <row r="125" s="3" customFormat="1" ht="22.95" customHeight="1"/>
    <row r="126" s="3" customFormat="1" ht="22.95" customHeight="1"/>
    <row r="127" s="3" customFormat="1" ht="22.95" customHeight="1"/>
    <row r="128" s="3" customFormat="1" ht="22.95" customHeight="1"/>
    <row r="129" s="3" customFormat="1" ht="22.95" customHeight="1"/>
    <row r="130" s="3" customFormat="1" ht="22.95" customHeight="1"/>
    <row r="131" s="3" customFormat="1" ht="22.95" customHeight="1"/>
    <row r="132" s="3" customFormat="1" ht="22.95" customHeight="1"/>
    <row r="133" s="3" customFormat="1" ht="22.95" customHeight="1"/>
    <row r="134" s="3" customFormat="1" ht="22.95" customHeight="1"/>
    <row r="135" s="3" customFormat="1" ht="22.95" customHeight="1"/>
    <row r="136" s="3" customFormat="1" ht="22.95" customHeight="1"/>
    <row r="137" s="3" customFormat="1" ht="22.95" customHeight="1"/>
    <row r="138" s="3" customFormat="1" ht="22.95" customHeight="1"/>
    <row r="139" s="3" customFormat="1" ht="22.95" customHeight="1"/>
    <row r="140" s="3" customFormat="1" ht="22.95" customHeight="1"/>
    <row r="141" s="3" customFormat="1" ht="22.95" customHeight="1"/>
    <row r="142" s="3" customFormat="1" ht="22.95" customHeight="1"/>
    <row r="143" s="3" customFormat="1" ht="22.95" customHeight="1"/>
    <row r="144" s="3" customFormat="1" ht="22.95" customHeight="1"/>
    <row r="145" s="3" customFormat="1" ht="22.95" customHeight="1"/>
    <row r="146" s="3" customFormat="1" ht="22.95" customHeight="1"/>
    <row r="147" s="3" customFormat="1" ht="22.95" customHeight="1"/>
    <row r="148" s="3" customFormat="1" ht="22.95" customHeight="1"/>
    <row r="149" s="3" customFormat="1" ht="22.95" customHeight="1"/>
    <row r="150" s="3" customFormat="1" ht="22.95" customHeight="1"/>
    <row r="151" s="3" customFormat="1" ht="22.95" customHeight="1"/>
    <row r="152" s="3" customFormat="1" ht="22.95" customHeight="1"/>
    <row r="153" s="3" customFormat="1" ht="22.95" customHeight="1"/>
    <row r="154" s="3" customFormat="1" ht="22.95" customHeight="1"/>
    <row r="155" s="3" customFormat="1" ht="22.95" customHeight="1"/>
    <row r="156" s="3" customFormat="1" ht="22.95" customHeight="1"/>
    <row r="157" s="3" customFormat="1" ht="22.95" customHeight="1"/>
    <row r="158" s="3" customFormat="1" ht="22.95" customHeight="1"/>
    <row r="159" s="3" customFormat="1" ht="22.95" customHeight="1"/>
    <row r="160" s="3" customFormat="1" ht="22.95" customHeight="1"/>
    <row r="161" s="3" customFormat="1" ht="22.95" customHeight="1"/>
    <row r="162" s="3" customFormat="1" ht="22.95" customHeight="1"/>
    <row r="163" s="3" customFormat="1" ht="22.95" customHeight="1"/>
    <row r="164" s="3" customFormat="1" ht="22.95" customHeight="1"/>
    <row r="165" s="3" customFormat="1" ht="22.95" customHeight="1"/>
    <row r="166" s="3" customFormat="1" ht="22.95" customHeight="1"/>
    <row r="167" s="3" customFormat="1" ht="22.95" customHeight="1"/>
    <row r="168" s="3" customFormat="1" ht="22.95" customHeight="1"/>
    <row r="169" s="3" customFormat="1" ht="22.95" customHeight="1"/>
    <row r="170" s="3" customFormat="1" ht="22.95" customHeight="1"/>
    <row r="171" s="3" customFormat="1" ht="22.95" customHeight="1"/>
    <row r="172" s="3" customFormat="1" ht="22.95" customHeight="1"/>
    <row r="173" s="3" customFormat="1" ht="22.95" customHeight="1"/>
    <row r="174" s="3" customFormat="1" ht="22.95" customHeight="1"/>
    <row r="175" s="3" customFormat="1" ht="22.95" customHeight="1"/>
    <row r="176" s="3" customFormat="1" ht="22.95" customHeight="1"/>
    <row r="177" s="3" customFormat="1" ht="22.95" customHeight="1"/>
    <row r="178" s="3" customFormat="1" ht="22.95" customHeight="1"/>
    <row r="179" s="3" customFormat="1" ht="22.95" customHeight="1"/>
    <row r="180" s="3" customFormat="1" ht="22.95" customHeight="1"/>
    <row r="181" s="3" customFormat="1" ht="22.95" customHeight="1"/>
    <row r="182" s="3" customFormat="1" ht="22.95" customHeight="1"/>
    <row r="183" s="3" customFormat="1" ht="22.95" customHeight="1"/>
    <row r="184" s="3" customFormat="1" ht="22.95" customHeight="1"/>
    <row r="185" s="3" customFormat="1" ht="22.95" customHeight="1"/>
    <row r="186" s="3" customFormat="1" ht="22.95" customHeight="1"/>
    <row r="187" s="3" customFormat="1" ht="22.95" customHeight="1"/>
    <row r="188" s="3" customFormat="1" ht="22.95" customHeight="1"/>
    <row r="189" s="3" customFormat="1" ht="22.95" customHeight="1"/>
    <row r="190" s="3" customFormat="1" ht="22.95" customHeight="1"/>
    <row r="191" s="3" customFormat="1" ht="22.95" customHeight="1"/>
    <row r="192" s="3" customFormat="1" ht="22.95" customHeight="1"/>
    <row r="193" s="3" customFormat="1" ht="22.95" customHeight="1"/>
    <row r="194" s="3" customFormat="1" ht="22.95" customHeight="1"/>
    <row r="195" s="3" customFormat="1" ht="22.95" customHeight="1"/>
    <row r="196" s="3" customFormat="1" ht="22.95" customHeight="1"/>
    <row r="197" s="3" customFormat="1" ht="22.95" customHeight="1"/>
    <row r="198" s="3" customFormat="1" ht="22.95" customHeight="1"/>
    <row r="199" s="3" customFormat="1" ht="22.95" customHeight="1"/>
    <row r="200" s="3" customFormat="1" ht="22.95" customHeight="1"/>
    <row r="201" s="3" customFormat="1" ht="22.95" customHeight="1"/>
    <row r="202" s="3" customFormat="1" ht="22.95" customHeight="1"/>
    <row r="203" s="3" customFormat="1" ht="22.95" customHeight="1"/>
    <row r="204" s="3" customFormat="1" ht="22.95" customHeight="1"/>
    <row r="205" s="3" customFormat="1" ht="22.95" customHeight="1"/>
    <row r="206" s="3" customFormat="1" ht="22.95" customHeight="1"/>
    <row r="207" s="3" customFormat="1" ht="22.95" customHeight="1"/>
    <row r="208" s="3" customFormat="1" ht="22.95" customHeight="1"/>
    <row r="209" s="3" customFormat="1" ht="22.95" customHeight="1"/>
    <row r="210" s="3" customFormat="1" ht="22.95" customHeight="1"/>
    <row r="211" s="3" customFormat="1" ht="22.95" customHeight="1"/>
    <row r="212" s="3" customFormat="1" ht="22.95" customHeight="1"/>
    <row r="213" s="3" customFormat="1" ht="22.95" customHeight="1"/>
    <row r="214" s="3" customFormat="1" ht="22.95" customHeight="1"/>
    <row r="215" s="3" customFormat="1" ht="22.95" customHeight="1"/>
    <row r="216" s="3" customFormat="1" ht="22.95" customHeight="1"/>
    <row r="217" s="3" customFormat="1" ht="22.95" customHeight="1"/>
    <row r="218" s="3" customFormat="1" ht="22.95" customHeight="1"/>
    <row r="219" s="3" customFormat="1" ht="22.95" customHeight="1"/>
    <row r="220" s="3" customFormat="1" ht="22.95" customHeight="1"/>
    <row r="221" s="3" customFormat="1" ht="22.95" customHeight="1"/>
    <row r="222" s="3" customFormat="1" ht="22.95" customHeight="1"/>
    <row r="223" s="3" customFormat="1" ht="22.95" customHeight="1"/>
    <row r="224" s="3" customFormat="1" ht="22.95" customHeight="1"/>
    <row r="225" s="3" customFormat="1" ht="22.95" customHeight="1"/>
    <row r="226" s="3" customFormat="1" ht="22.95" customHeight="1"/>
    <row r="227" s="3" customFormat="1" ht="22.95" customHeight="1"/>
    <row r="228" s="3" customFormat="1" ht="22.95" customHeight="1"/>
    <row r="229" s="3" customFormat="1" ht="22.95" customHeight="1"/>
    <row r="230" s="3" customFormat="1" ht="22.95" customHeight="1"/>
    <row r="231" s="3" customFormat="1" ht="22.95" customHeight="1"/>
    <row r="232" s="3" customFormat="1" ht="22.95" customHeight="1"/>
    <row r="233" s="3" customFormat="1" ht="22.95" customHeight="1"/>
    <row r="234" s="3" customFormat="1" ht="22.95" customHeight="1"/>
    <row r="235" s="3" customFormat="1" ht="22.95" customHeight="1"/>
    <row r="236" s="3" customFormat="1" ht="22.95" customHeight="1"/>
    <row r="237" s="3" customFormat="1" ht="22.95" customHeight="1"/>
    <row r="238" s="3" customFormat="1" ht="22.95" customHeight="1"/>
    <row r="239" s="3" customFormat="1" ht="22.95" customHeight="1"/>
    <row r="240" s="3" customFormat="1" ht="22.95" customHeight="1"/>
    <row r="241" s="3" customFormat="1" ht="22.95" customHeight="1"/>
    <row r="242" s="3" customFormat="1" ht="22.95" customHeight="1"/>
    <row r="243" s="3" customFormat="1" ht="22.95" customHeight="1"/>
    <row r="244" s="3" customFormat="1" ht="22.95" customHeight="1"/>
    <row r="245" s="3" customFormat="1" ht="22.95" customHeight="1"/>
    <row r="246" s="3" customFormat="1" ht="22.95" customHeight="1"/>
    <row r="247" s="3" customFormat="1" ht="22.95" customHeight="1"/>
    <row r="248" s="3" customFormat="1" ht="22.95" customHeight="1"/>
    <row r="249" s="3" customFormat="1" ht="22.95" customHeight="1"/>
    <row r="250" s="3" customFormat="1" ht="22.95" customHeight="1"/>
    <row r="251" s="3" customFormat="1" ht="22.95" customHeight="1"/>
    <row r="252" s="3" customFormat="1" ht="22.95" customHeight="1"/>
    <row r="253" s="3" customFormat="1" ht="22.95" customHeight="1"/>
    <row r="254" s="3" customFormat="1" ht="22.95" customHeight="1"/>
    <row r="255" s="3" customFormat="1" ht="22.95" customHeight="1"/>
    <row r="256" s="3" customFormat="1" ht="22.95" customHeight="1"/>
    <row r="257" s="3" customFormat="1" ht="22.95" customHeight="1"/>
    <row r="258" s="3" customFormat="1" ht="22.95" customHeight="1"/>
    <row r="259" s="3" customFormat="1" ht="22.95" customHeight="1"/>
    <row r="260" s="3" customFormat="1" ht="22.95" customHeight="1"/>
    <row r="261" s="3" customFormat="1" ht="22.95" customHeight="1"/>
    <row r="262" s="3" customFormat="1" ht="22.95" customHeight="1"/>
    <row r="263" s="3" customFormat="1" ht="22.95" customHeight="1"/>
    <row r="264" s="3" customFormat="1" ht="22.95" customHeight="1"/>
    <row r="265" s="3" customFormat="1" ht="22.95" customHeight="1"/>
    <row r="266" s="3" customFormat="1" ht="22.95" customHeight="1"/>
    <row r="267" s="3" customFormat="1" ht="22.95" customHeight="1"/>
    <row r="268" s="3" customFormat="1" ht="22.95" customHeight="1"/>
    <row r="269" s="3" customFormat="1" ht="22.95" customHeight="1"/>
  </sheetData>
  <conditionalFormatting sqref="E6:E15">
    <cfRule type="cellIs" dxfId="0" priority="1" operator="equal">
      <formula>"Yes"</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89996032593768116"/>
  </sheetPr>
  <dimension ref="C1:DV56"/>
  <sheetViews>
    <sheetView topLeftCell="DL9" workbookViewId="0">
      <selection activeCell="F23" sqref="F23:DU23"/>
    </sheetView>
  </sheetViews>
  <sheetFormatPr baseColWidth="10" defaultColWidth="10.796875" defaultRowHeight="13.8"/>
  <cols>
    <col min="1" max="2" width="2.5" style="2" customWidth="1"/>
    <col min="3" max="3" width="36.69921875" style="2" customWidth="1"/>
    <col min="4" max="4" width="12.69921875" style="2" customWidth="1"/>
    <col min="5" max="44" width="11" style="2" customWidth="1"/>
    <col min="45" max="45" width="11.69921875" style="2" customWidth="1"/>
    <col min="46" max="49" width="10.796875" style="2" customWidth="1"/>
    <col min="50" max="16384" width="10.796875" style="2"/>
  </cols>
  <sheetData>
    <row r="1" spans="3:126" s="3" customFormat="1" ht="22.95" customHeight="1"/>
    <row r="2" spans="3:126" s="3" customFormat="1" ht="22.95" customHeight="1"/>
    <row r="3" spans="3:126" s="3" customFormat="1" ht="22.95" customHeight="1">
      <c r="D3" s="57" t="s">
        <v>83</v>
      </c>
      <c r="E3" s="3">
        <f t="shared" ref="E3:AJ3" si="0">YEAR(E4)</f>
        <v>2026</v>
      </c>
      <c r="F3" s="3">
        <f t="shared" si="0"/>
        <v>2027</v>
      </c>
      <c r="G3" s="3">
        <f t="shared" si="0"/>
        <v>2027</v>
      </c>
      <c r="H3" s="3">
        <f t="shared" si="0"/>
        <v>2027</v>
      </c>
      <c r="I3" s="3">
        <f t="shared" si="0"/>
        <v>2027</v>
      </c>
      <c r="J3" s="3">
        <f t="shared" si="0"/>
        <v>2027</v>
      </c>
      <c r="K3" s="3">
        <f t="shared" si="0"/>
        <v>2027</v>
      </c>
      <c r="L3" s="3">
        <f t="shared" si="0"/>
        <v>2027</v>
      </c>
      <c r="M3" s="3">
        <f t="shared" si="0"/>
        <v>2027</v>
      </c>
      <c r="N3" s="3">
        <f t="shared" si="0"/>
        <v>2027</v>
      </c>
      <c r="O3" s="3">
        <f t="shared" si="0"/>
        <v>2027</v>
      </c>
      <c r="P3" s="3">
        <f t="shared" si="0"/>
        <v>2027</v>
      </c>
      <c r="Q3" s="3">
        <f t="shared" si="0"/>
        <v>2027</v>
      </c>
      <c r="R3" s="3">
        <f t="shared" si="0"/>
        <v>2028</v>
      </c>
      <c r="S3" s="3">
        <f t="shared" si="0"/>
        <v>2028</v>
      </c>
      <c r="T3" s="3">
        <f t="shared" si="0"/>
        <v>2028</v>
      </c>
      <c r="U3" s="3">
        <f t="shared" si="0"/>
        <v>2028</v>
      </c>
      <c r="V3" s="3">
        <f t="shared" si="0"/>
        <v>2028</v>
      </c>
      <c r="W3" s="3">
        <f t="shared" si="0"/>
        <v>2028</v>
      </c>
      <c r="X3" s="3">
        <f t="shared" si="0"/>
        <v>2028</v>
      </c>
      <c r="Y3" s="3">
        <f t="shared" si="0"/>
        <v>2028</v>
      </c>
      <c r="Z3" s="3">
        <f t="shared" si="0"/>
        <v>2028</v>
      </c>
      <c r="AA3" s="3">
        <f t="shared" si="0"/>
        <v>2028</v>
      </c>
      <c r="AB3" s="3">
        <f t="shared" si="0"/>
        <v>2028</v>
      </c>
      <c r="AC3" s="3">
        <f t="shared" si="0"/>
        <v>2028</v>
      </c>
      <c r="AD3" s="3">
        <f t="shared" si="0"/>
        <v>2029</v>
      </c>
      <c r="AE3" s="3">
        <f t="shared" si="0"/>
        <v>2029</v>
      </c>
      <c r="AF3" s="3">
        <f t="shared" si="0"/>
        <v>2029</v>
      </c>
      <c r="AG3" s="3">
        <f t="shared" si="0"/>
        <v>2029</v>
      </c>
      <c r="AH3" s="3">
        <f t="shared" si="0"/>
        <v>2029</v>
      </c>
      <c r="AI3" s="3">
        <f t="shared" si="0"/>
        <v>2029</v>
      </c>
      <c r="AJ3" s="3">
        <f t="shared" si="0"/>
        <v>2029</v>
      </c>
      <c r="AK3" s="3">
        <f t="shared" ref="AK3:BP3" si="1">YEAR(AK4)</f>
        <v>2029</v>
      </c>
      <c r="AL3" s="3">
        <f t="shared" si="1"/>
        <v>2029</v>
      </c>
      <c r="AM3" s="3">
        <f t="shared" si="1"/>
        <v>2029</v>
      </c>
      <c r="AN3" s="3">
        <f t="shared" si="1"/>
        <v>2029</v>
      </c>
      <c r="AO3" s="3">
        <f t="shared" si="1"/>
        <v>2029</v>
      </c>
      <c r="AP3" s="3">
        <f t="shared" si="1"/>
        <v>2030</v>
      </c>
      <c r="AQ3" s="3">
        <f t="shared" si="1"/>
        <v>2030</v>
      </c>
      <c r="AR3" s="3">
        <f t="shared" si="1"/>
        <v>2030</v>
      </c>
      <c r="AS3" s="3">
        <f t="shared" si="1"/>
        <v>2030</v>
      </c>
      <c r="AT3" s="3">
        <f t="shared" si="1"/>
        <v>2030</v>
      </c>
      <c r="AU3" s="3">
        <f t="shared" si="1"/>
        <v>2030</v>
      </c>
      <c r="AV3" s="3">
        <f t="shared" si="1"/>
        <v>2030</v>
      </c>
      <c r="AW3" s="3">
        <f t="shared" si="1"/>
        <v>2030</v>
      </c>
      <c r="AX3" s="3">
        <f t="shared" si="1"/>
        <v>2030</v>
      </c>
      <c r="AY3" s="3">
        <f t="shared" si="1"/>
        <v>2030</v>
      </c>
      <c r="AZ3" s="3">
        <f t="shared" si="1"/>
        <v>2030</v>
      </c>
      <c r="BA3" s="3">
        <f t="shared" si="1"/>
        <v>2030</v>
      </c>
      <c r="BB3" s="3">
        <f t="shared" si="1"/>
        <v>2031</v>
      </c>
      <c r="BC3" s="3">
        <f t="shared" si="1"/>
        <v>2031</v>
      </c>
      <c r="BD3" s="3">
        <f t="shared" si="1"/>
        <v>2031</v>
      </c>
      <c r="BE3" s="3">
        <f t="shared" si="1"/>
        <v>2031</v>
      </c>
      <c r="BF3" s="3">
        <f t="shared" si="1"/>
        <v>2031</v>
      </c>
      <c r="BG3" s="3">
        <f t="shared" si="1"/>
        <v>2031</v>
      </c>
      <c r="BH3" s="3">
        <f t="shared" si="1"/>
        <v>2031</v>
      </c>
      <c r="BI3" s="3">
        <f t="shared" si="1"/>
        <v>2031</v>
      </c>
      <c r="BJ3" s="3">
        <f t="shared" si="1"/>
        <v>2031</v>
      </c>
      <c r="BK3" s="3">
        <f t="shared" si="1"/>
        <v>2031</v>
      </c>
      <c r="BL3" s="3">
        <f t="shared" si="1"/>
        <v>2031</v>
      </c>
      <c r="BM3" s="3">
        <f t="shared" si="1"/>
        <v>2031</v>
      </c>
      <c r="BN3" s="3">
        <f t="shared" si="1"/>
        <v>2032</v>
      </c>
      <c r="BO3" s="3">
        <f t="shared" si="1"/>
        <v>2032</v>
      </c>
      <c r="BP3" s="3">
        <f t="shared" si="1"/>
        <v>2032</v>
      </c>
      <c r="BQ3" s="3">
        <f t="shared" ref="BQ3:CV3" si="2">YEAR(BQ4)</f>
        <v>2032</v>
      </c>
      <c r="BR3" s="3">
        <f t="shared" si="2"/>
        <v>2032</v>
      </c>
      <c r="BS3" s="3">
        <f t="shared" si="2"/>
        <v>2032</v>
      </c>
      <c r="BT3" s="3">
        <f t="shared" si="2"/>
        <v>2032</v>
      </c>
      <c r="BU3" s="3">
        <f t="shared" si="2"/>
        <v>2032</v>
      </c>
      <c r="BV3" s="3">
        <f t="shared" si="2"/>
        <v>2032</v>
      </c>
      <c r="BW3" s="3">
        <f t="shared" si="2"/>
        <v>2032</v>
      </c>
      <c r="BX3" s="3">
        <f t="shared" si="2"/>
        <v>2032</v>
      </c>
      <c r="BY3" s="3">
        <f t="shared" si="2"/>
        <v>2032</v>
      </c>
      <c r="BZ3" s="3">
        <f t="shared" si="2"/>
        <v>2033</v>
      </c>
      <c r="CA3" s="3">
        <f t="shared" si="2"/>
        <v>2033</v>
      </c>
      <c r="CB3" s="3">
        <f t="shared" si="2"/>
        <v>2033</v>
      </c>
      <c r="CC3" s="3">
        <f t="shared" si="2"/>
        <v>2033</v>
      </c>
      <c r="CD3" s="3">
        <f t="shared" si="2"/>
        <v>2033</v>
      </c>
      <c r="CE3" s="3">
        <f t="shared" si="2"/>
        <v>2033</v>
      </c>
      <c r="CF3" s="3">
        <f t="shared" si="2"/>
        <v>2033</v>
      </c>
      <c r="CG3" s="3">
        <f t="shared" si="2"/>
        <v>2033</v>
      </c>
      <c r="CH3" s="3">
        <f t="shared" si="2"/>
        <v>2033</v>
      </c>
      <c r="CI3" s="3">
        <f t="shared" si="2"/>
        <v>2033</v>
      </c>
      <c r="CJ3" s="3">
        <f t="shared" si="2"/>
        <v>2033</v>
      </c>
      <c r="CK3" s="3">
        <f t="shared" si="2"/>
        <v>2033</v>
      </c>
      <c r="CL3" s="3">
        <f t="shared" si="2"/>
        <v>2034</v>
      </c>
      <c r="CM3" s="3">
        <f t="shared" si="2"/>
        <v>2034</v>
      </c>
      <c r="CN3" s="3">
        <f t="shared" si="2"/>
        <v>2034</v>
      </c>
      <c r="CO3" s="3">
        <f t="shared" si="2"/>
        <v>2034</v>
      </c>
      <c r="CP3" s="3">
        <f t="shared" si="2"/>
        <v>2034</v>
      </c>
      <c r="CQ3" s="3">
        <f t="shared" si="2"/>
        <v>2034</v>
      </c>
      <c r="CR3" s="3">
        <f t="shared" si="2"/>
        <v>2034</v>
      </c>
      <c r="CS3" s="3">
        <f t="shared" si="2"/>
        <v>2034</v>
      </c>
      <c r="CT3" s="3">
        <f t="shared" si="2"/>
        <v>2034</v>
      </c>
      <c r="CU3" s="3">
        <f t="shared" si="2"/>
        <v>2034</v>
      </c>
      <c r="CV3" s="3">
        <f t="shared" si="2"/>
        <v>2034</v>
      </c>
      <c r="CW3" s="3">
        <f t="shared" ref="CW3:DU3" si="3">YEAR(CW4)</f>
        <v>2034</v>
      </c>
      <c r="CX3" s="3">
        <f t="shared" si="3"/>
        <v>2035</v>
      </c>
      <c r="CY3" s="3">
        <f t="shared" si="3"/>
        <v>2035</v>
      </c>
      <c r="CZ3" s="3">
        <f t="shared" si="3"/>
        <v>2035</v>
      </c>
      <c r="DA3" s="3">
        <f t="shared" si="3"/>
        <v>2035</v>
      </c>
      <c r="DB3" s="3">
        <f t="shared" si="3"/>
        <v>2035</v>
      </c>
      <c r="DC3" s="3">
        <f t="shared" si="3"/>
        <v>2035</v>
      </c>
      <c r="DD3" s="3">
        <f t="shared" si="3"/>
        <v>2035</v>
      </c>
      <c r="DE3" s="3">
        <f t="shared" si="3"/>
        <v>2035</v>
      </c>
      <c r="DF3" s="3">
        <f t="shared" si="3"/>
        <v>2035</v>
      </c>
      <c r="DG3" s="3">
        <f t="shared" si="3"/>
        <v>2035</v>
      </c>
      <c r="DH3" s="3">
        <f t="shared" si="3"/>
        <v>2035</v>
      </c>
      <c r="DI3" s="3">
        <f t="shared" si="3"/>
        <v>2035</v>
      </c>
      <c r="DJ3" s="3">
        <f t="shared" si="3"/>
        <v>2036</v>
      </c>
      <c r="DK3" s="3">
        <f t="shared" si="3"/>
        <v>2036</v>
      </c>
      <c r="DL3" s="3">
        <f t="shared" si="3"/>
        <v>2036</v>
      </c>
      <c r="DM3" s="3">
        <f t="shared" si="3"/>
        <v>2036</v>
      </c>
      <c r="DN3" s="3">
        <f t="shared" si="3"/>
        <v>2036</v>
      </c>
      <c r="DO3" s="3">
        <f t="shared" si="3"/>
        <v>2036</v>
      </c>
      <c r="DP3" s="3">
        <f t="shared" si="3"/>
        <v>2036</v>
      </c>
      <c r="DQ3" s="3">
        <f t="shared" si="3"/>
        <v>2036</v>
      </c>
      <c r="DR3" s="3">
        <f t="shared" si="3"/>
        <v>2036</v>
      </c>
      <c r="DS3" s="3">
        <f t="shared" si="3"/>
        <v>2036</v>
      </c>
      <c r="DT3" s="3">
        <f t="shared" si="3"/>
        <v>2036</v>
      </c>
      <c r="DU3" s="3">
        <f t="shared" si="3"/>
        <v>2036</v>
      </c>
    </row>
    <row r="4" spans="3:126" s="3" customFormat="1" ht="22.95" customHeight="1">
      <c r="C4" s="5" t="s">
        <v>84</v>
      </c>
      <c r="D4" s="23" t="s">
        <v>72</v>
      </c>
      <c r="E4" s="20">
        <f>'Single Project Assumptions'!D11</f>
        <v>46387</v>
      </c>
      <c r="F4" s="20">
        <f t="shared" ref="F4:AK4" si="4">EOMONTH(E4,1)</f>
        <v>46418</v>
      </c>
      <c r="G4" s="20">
        <f t="shared" si="4"/>
        <v>46446</v>
      </c>
      <c r="H4" s="20">
        <f t="shared" si="4"/>
        <v>46477</v>
      </c>
      <c r="I4" s="20">
        <f t="shared" si="4"/>
        <v>46507</v>
      </c>
      <c r="J4" s="20">
        <f t="shared" si="4"/>
        <v>46538</v>
      </c>
      <c r="K4" s="20">
        <f t="shared" si="4"/>
        <v>46568</v>
      </c>
      <c r="L4" s="20">
        <f t="shared" si="4"/>
        <v>46599</v>
      </c>
      <c r="M4" s="20">
        <f t="shared" si="4"/>
        <v>46630</v>
      </c>
      <c r="N4" s="20">
        <f t="shared" si="4"/>
        <v>46660</v>
      </c>
      <c r="O4" s="20">
        <f t="shared" si="4"/>
        <v>46691</v>
      </c>
      <c r="P4" s="20">
        <f t="shared" si="4"/>
        <v>46721</v>
      </c>
      <c r="Q4" s="20">
        <f t="shared" si="4"/>
        <v>46752</v>
      </c>
      <c r="R4" s="20">
        <f t="shared" si="4"/>
        <v>46783</v>
      </c>
      <c r="S4" s="20">
        <f t="shared" si="4"/>
        <v>46812</v>
      </c>
      <c r="T4" s="20">
        <f t="shared" si="4"/>
        <v>46843</v>
      </c>
      <c r="U4" s="20">
        <f t="shared" si="4"/>
        <v>46873</v>
      </c>
      <c r="V4" s="20">
        <f t="shared" si="4"/>
        <v>46904</v>
      </c>
      <c r="W4" s="20">
        <f t="shared" si="4"/>
        <v>46934</v>
      </c>
      <c r="X4" s="20">
        <f t="shared" si="4"/>
        <v>46965</v>
      </c>
      <c r="Y4" s="20">
        <f t="shared" si="4"/>
        <v>46996</v>
      </c>
      <c r="Z4" s="20">
        <f t="shared" si="4"/>
        <v>47026</v>
      </c>
      <c r="AA4" s="20">
        <f t="shared" si="4"/>
        <v>47057</v>
      </c>
      <c r="AB4" s="20">
        <f t="shared" si="4"/>
        <v>47087</v>
      </c>
      <c r="AC4" s="20">
        <f t="shared" si="4"/>
        <v>47118</v>
      </c>
      <c r="AD4" s="20">
        <f t="shared" si="4"/>
        <v>47149</v>
      </c>
      <c r="AE4" s="20">
        <f t="shared" si="4"/>
        <v>47177</v>
      </c>
      <c r="AF4" s="20">
        <f t="shared" si="4"/>
        <v>47208</v>
      </c>
      <c r="AG4" s="20">
        <f t="shared" si="4"/>
        <v>47238</v>
      </c>
      <c r="AH4" s="20">
        <f t="shared" si="4"/>
        <v>47269</v>
      </c>
      <c r="AI4" s="20">
        <f t="shared" si="4"/>
        <v>47299</v>
      </c>
      <c r="AJ4" s="20">
        <f t="shared" si="4"/>
        <v>47330</v>
      </c>
      <c r="AK4" s="20">
        <f t="shared" si="4"/>
        <v>47361</v>
      </c>
      <c r="AL4" s="20">
        <f t="shared" ref="AL4:BQ4" si="5">EOMONTH(AK4,1)</f>
        <v>47391</v>
      </c>
      <c r="AM4" s="20">
        <f t="shared" si="5"/>
        <v>47422</v>
      </c>
      <c r="AN4" s="20">
        <f t="shared" si="5"/>
        <v>47452</v>
      </c>
      <c r="AO4" s="20">
        <f t="shared" si="5"/>
        <v>47483</v>
      </c>
      <c r="AP4" s="20">
        <f t="shared" si="5"/>
        <v>47514</v>
      </c>
      <c r="AQ4" s="20">
        <f t="shared" si="5"/>
        <v>47542</v>
      </c>
      <c r="AR4" s="20">
        <f t="shared" si="5"/>
        <v>47573</v>
      </c>
      <c r="AS4" s="20">
        <f t="shared" si="5"/>
        <v>47603</v>
      </c>
      <c r="AT4" s="20">
        <f t="shared" si="5"/>
        <v>47634</v>
      </c>
      <c r="AU4" s="20">
        <f t="shared" si="5"/>
        <v>47664</v>
      </c>
      <c r="AV4" s="20">
        <f t="shared" si="5"/>
        <v>47695</v>
      </c>
      <c r="AW4" s="20">
        <f t="shared" si="5"/>
        <v>47726</v>
      </c>
      <c r="AX4" s="20">
        <f t="shared" si="5"/>
        <v>47756</v>
      </c>
      <c r="AY4" s="20">
        <f t="shared" si="5"/>
        <v>47787</v>
      </c>
      <c r="AZ4" s="20">
        <f t="shared" si="5"/>
        <v>47817</v>
      </c>
      <c r="BA4" s="20">
        <f t="shared" si="5"/>
        <v>47848</v>
      </c>
      <c r="BB4" s="20">
        <f t="shared" si="5"/>
        <v>47879</v>
      </c>
      <c r="BC4" s="20">
        <f t="shared" si="5"/>
        <v>47907</v>
      </c>
      <c r="BD4" s="20">
        <f t="shared" si="5"/>
        <v>47938</v>
      </c>
      <c r="BE4" s="20">
        <f t="shared" si="5"/>
        <v>47968</v>
      </c>
      <c r="BF4" s="20">
        <f t="shared" si="5"/>
        <v>47999</v>
      </c>
      <c r="BG4" s="20">
        <f t="shared" si="5"/>
        <v>48029</v>
      </c>
      <c r="BH4" s="20">
        <f t="shared" si="5"/>
        <v>48060</v>
      </c>
      <c r="BI4" s="20">
        <f t="shared" si="5"/>
        <v>48091</v>
      </c>
      <c r="BJ4" s="20">
        <f t="shared" si="5"/>
        <v>48121</v>
      </c>
      <c r="BK4" s="20">
        <f t="shared" si="5"/>
        <v>48152</v>
      </c>
      <c r="BL4" s="20">
        <f t="shared" si="5"/>
        <v>48182</v>
      </c>
      <c r="BM4" s="20">
        <f t="shared" si="5"/>
        <v>48213</v>
      </c>
      <c r="BN4" s="20">
        <f t="shared" si="5"/>
        <v>48244</v>
      </c>
      <c r="BO4" s="20">
        <f t="shared" si="5"/>
        <v>48273</v>
      </c>
      <c r="BP4" s="20">
        <f t="shared" si="5"/>
        <v>48304</v>
      </c>
      <c r="BQ4" s="20">
        <f t="shared" si="5"/>
        <v>48334</v>
      </c>
      <c r="BR4" s="20">
        <f t="shared" ref="BR4:CW4" si="6">EOMONTH(BQ4,1)</f>
        <v>48365</v>
      </c>
      <c r="BS4" s="20">
        <f t="shared" si="6"/>
        <v>48395</v>
      </c>
      <c r="BT4" s="20">
        <f t="shared" si="6"/>
        <v>48426</v>
      </c>
      <c r="BU4" s="20">
        <f t="shared" si="6"/>
        <v>48457</v>
      </c>
      <c r="BV4" s="20">
        <f t="shared" si="6"/>
        <v>48487</v>
      </c>
      <c r="BW4" s="20">
        <f t="shared" si="6"/>
        <v>48518</v>
      </c>
      <c r="BX4" s="20">
        <f t="shared" si="6"/>
        <v>48548</v>
      </c>
      <c r="BY4" s="20">
        <f t="shared" si="6"/>
        <v>48579</v>
      </c>
      <c r="BZ4" s="20">
        <f t="shared" si="6"/>
        <v>48610</v>
      </c>
      <c r="CA4" s="20">
        <f t="shared" si="6"/>
        <v>48638</v>
      </c>
      <c r="CB4" s="20">
        <f t="shared" si="6"/>
        <v>48669</v>
      </c>
      <c r="CC4" s="20">
        <f t="shared" si="6"/>
        <v>48699</v>
      </c>
      <c r="CD4" s="20">
        <f t="shared" si="6"/>
        <v>48730</v>
      </c>
      <c r="CE4" s="20">
        <f t="shared" si="6"/>
        <v>48760</v>
      </c>
      <c r="CF4" s="20">
        <f t="shared" si="6"/>
        <v>48791</v>
      </c>
      <c r="CG4" s="20">
        <f t="shared" si="6"/>
        <v>48822</v>
      </c>
      <c r="CH4" s="20">
        <f t="shared" si="6"/>
        <v>48852</v>
      </c>
      <c r="CI4" s="20">
        <f t="shared" si="6"/>
        <v>48883</v>
      </c>
      <c r="CJ4" s="20">
        <f t="shared" si="6"/>
        <v>48913</v>
      </c>
      <c r="CK4" s="20">
        <f t="shared" si="6"/>
        <v>48944</v>
      </c>
      <c r="CL4" s="20">
        <f t="shared" si="6"/>
        <v>48975</v>
      </c>
      <c r="CM4" s="20">
        <f t="shared" si="6"/>
        <v>49003</v>
      </c>
      <c r="CN4" s="20">
        <f t="shared" si="6"/>
        <v>49034</v>
      </c>
      <c r="CO4" s="20">
        <f t="shared" si="6"/>
        <v>49064</v>
      </c>
      <c r="CP4" s="20">
        <f t="shared" si="6"/>
        <v>49095</v>
      </c>
      <c r="CQ4" s="20">
        <f t="shared" si="6"/>
        <v>49125</v>
      </c>
      <c r="CR4" s="20">
        <f t="shared" si="6"/>
        <v>49156</v>
      </c>
      <c r="CS4" s="20">
        <f t="shared" si="6"/>
        <v>49187</v>
      </c>
      <c r="CT4" s="20">
        <f t="shared" si="6"/>
        <v>49217</v>
      </c>
      <c r="CU4" s="20">
        <f t="shared" si="6"/>
        <v>49248</v>
      </c>
      <c r="CV4" s="20">
        <f t="shared" si="6"/>
        <v>49278</v>
      </c>
      <c r="CW4" s="20">
        <f t="shared" si="6"/>
        <v>49309</v>
      </c>
      <c r="CX4" s="20">
        <f t="shared" ref="CX4:DU4" si="7">EOMONTH(CW4,1)</f>
        <v>49340</v>
      </c>
      <c r="CY4" s="20">
        <f t="shared" si="7"/>
        <v>49368</v>
      </c>
      <c r="CZ4" s="20">
        <f t="shared" si="7"/>
        <v>49399</v>
      </c>
      <c r="DA4" s="20">
        <f t="shared" si="7"/>
        <v>49429</v>
      </c>
      <c r="DB4" s="20">
        <f t="shared" si="7"/>
        <v>49460</v>
      </c>
      <c r="DC4" s="20">
        <f t="shared" si="7"/>
        <v>49490</v>
      </c>
      <c r="DD4" s="20">
        <f t="shared" si="7"/>
        <v>49521</v>
      </c>
      <c r="DE4" s="20">
        <f t="shared" si="7"/>
        <v>49552</v>
      </c>
      <c r="DF4" s="20">
        <f t="shared" si="7"/>
        <v>49582</v>
      </c>
      <c r="DG4" s="20">
        <f t="shared" si="7"/>
        <v>49613</v>
      </c>
      <c r="DH4" s="20">
        <f t="shared" si="7"/>
        <v>49643</v>
      </c>
      <c r="DI4" s="20">
        <f t="shared" si="7"/>
        <v>49674</v>
      </c>
      <c r="DJ4" s="20">
        <f t="shared" si="7"/>
        <v>49705</v>
      </c>
      <c r="DK4" s="20">
        <f t="shared" si="7"/>
        <v>49734</v>
      </c>
      <c r="DL4" s="20">
        <f t="shared" si="7"/>
        <v>49765</v>
      </c>
      <c r="DM4" s="20">
        <f t="shared" si="7"/>
        <v>49795</v>
      </c>
      <c r="DN4" s="20">
        <f t="shared" si="7"/>
        <v>49826</v>
      </c>
      <c r="DO4" s="20">
        <f t="shared" si="7"/>
        <v>49856</v>
      </c>
      <c r="DP4" s="20">
        <f t="shared" si="7"/>
        <v>49887</v>
      </c>
      <c r="DQ4" s="20">
        <f t="shared" si="7"/>
        <v>49918</v>
      </c>
      <c r="DR4" s="20">
        <f t="shared" si="7"/>
        <v>49948</v>
      </c>
      <c r="DS4" s="20">
        <f t="shared" si="7"/>
        <v>49979</v>
      </c>
      <c r="DT4" s="20">
        <f t="shared" si="7"/>
        <v>50009</v>
      </c>
      <c r="DU4" s="20">
        <f t="shared" si="7"/>
        <v>50040</v>
      </c>
    </row>
    <row r="5" spans="3:126" s="3" customFormat="1" ht="22.95" customHeight="1">
      <c r="D5" s="24"/>
    </row>
    <row r="6" spans="3:126" s="3" customFormat="1" ht="22.95" customHeight="1">
      <c r="C6" s="60" t="s">
        <v>85</v>
      </c>
      <c r="D6" s="24"/>
    </row>
    <row r="7" spans="3:126" s="3" customFormat="1" ht="22.95" customHeight="1">
      <c r="C7" s="104">
        <v>1</v>
      </c>
      <c r="D7" s="77">
        <f t="shared" ref="D7:D17" si="8">SUM(E7:DU7)</f>
        <v>3393551.9944464052</v>
      </c>
      <c r="E7" s="21">
        <f>IF(E$4&lt;'Platform Assumptions'!$D$22,0,HLOOKUP(E$4,'Platform Assumptions'!$D22:$DT23,2,FALSE))</f>
        <v>46666.666666666664</v>
      </c>
      <c r="F7" s="21">
        <f>IF(F$4&lt;'Platform Assumptions'!$D$22,0,HLOOKUP(F$4,'Platform Assumptions'!$D22:$DT23,2,FALSE))</f>
        <v>-3333.3333333333335</v>
      </c>
      <c r="G7" s="21">
        <f>IF(G$4&lt;'Platform Assumptions'!$D$22,0,HLOOKUP(G$4,'Platform Assumptions'!$D22:$DT23,2,FALSE))</f>
        <v>-3333.3333333333335</v>
      </c>
      <c r="H7" s="21">
        <f>IF(H$4&lt;'Platform Assumptions'!$D$22,0,HLOOKUP(H$4,'Platform Assumptions'!$D22:$DT23,2,FALSE))</f>
        <v>-3333.3333333333335</v>
      </c>
      <c r="I7" s="21">
        <f>IF(I$4&lt;'Platform Assumptions'!$D$22,0,HLOOKUP(I$4,'Platform Assumptions'!$D22:$DT23,2,FALSE))</f>
        <v>-3333.3333333333335</v>
      </c>
      <c r="J7" s="21">
        <f>IF(J$4&lt;'Platform Assumptions'!$D$22,0,HLOOKUP(J$4,'Platform Assumptions'!$D22:$DT23,2,FALSE))</f>
        <v>-3333.3333333333335</v>
      </c>
      <c r="K7" s="21">
        <f>IF(K$4&lt;'Platform Assumptions'!$D$22,0,HLOOKUP(K$4,'Platform Assumptions'!$D22:$DT23,2,FALSE))</f>
        <v>6250</v>
      </c>
      <c r="L7" s="21">
        <f>IF(L$4&lt;'Platform Assumptions'!$D$22,0,HLOOKUP(L$4,'Platform Assumptions'!$D22:$DT23,2,FALSE))</f>
        <v>6250</v>
      </c>
      <c r="M7" s="21">
        <f>IF(M$4&lt;'Platform Assumptions'!$D$22,0,HLOOKUP(M$4,'Platform Assumptions'!$D22:$DT23,2,FALSE))</f>
        <v>6250</v>
      </c>
      <c r="N7" s="21">
        <f>IF(N$4&lt;'Platform Assumptions'!$D$22,0,HLOOKUP(N$4,'Platform Assumptions'!$D22:$DT23,2,FALSE))</f>
        <v>6250</v>
      </c>
      <c r="O7" s="21">
        <f>IF(O$4&lt;'Platform Assumptions'!$D$22,0,HLOOKUP(O$4,'Platform Assumptions'!$D22:$DT23,2,FALSE))</f>
        <v>6250</v>
      </c>
      <c r="P7" s="21">
        <f>IF(P$4&lt;'Platform Assumptions'!$D$22,0,HLOOKUP(P$4,'Platform Assumptions'!$D22:$DT23,2,FALSE))</f>
        <v>6250</v>
      </c>
      <c r="Q7" s="21">
        <f>IF(Q$4&lt;'Platform Assumptions'!$D$22,0,HLOOKUP(Q$4,'Platform Assumptions'!$D22:$DT23,2,FALSE))</f>
        <v>6250</v>
      </c>
      <c r="R7" s="21">
        <f>IF(R$4&lt;'Platform Assumptions'!$D$22,0,HLOOKUP(R$4,'Platform Assumptions'!$D22:$DT23,2,FALSE))</f>
        <v>6250</v>
      </c>
      <c r="S7" s="21">
        <f>IF(S$4&lt;'Platform Assumptions'!$D$22,0,HLOOKUP(S$4,'Platform Assumptions'!$D22:$DT23,2,FALSE))</f>
        <v>6250</v>
      </c>
      <c r="T7" s="21">
        <f>IF(T$4&lt;'Platform Assumptions'!$D$22,0,HLOOKUP(T$4,'Platform Assumptions'!$D22:$DT23,2,FALSE))</f>
        <v>6250</v>
      </c>
      <c r="U7" s="21">
        <f>IF(U$4&lt;'Platform Assumptions'!$D$22,0,HLOOKUP(U$4,'Platform Assumptions'!$D22:$DT23,2,FALSE))</f>
        <v>6250</v>
      </c>
      <c r="V7" s="21">
        <f>IF(V$4&lt;'Platform Assumptions'!$D$22,0,HLOOKUP(V$4,'Platform Assumptions'!$D22:$DT23,2,FALSE))</f>
        <v>6250</v>
      </c>
      <c r="W7" s="21">
        <f>IF(W$4&lt;'Platform Assumptions'!$D$22,0,HLOOKUP(W$4,'Platform Assumptions'!$D22:$DT23,2,FALSE))</f>
        <v>37500</v>
      </c>
      <c r="X7" s="21">
        <f>IF(X$4&lt;'Platform Assumptions'!$D$22,0,HLOOKUP(X$4,'Platform Assumptions'!$D22:$DT23,2,FALSE))</f>
        <v>0</v>
      </c>
      <c r="Y7" s="21">
        <f>IF(Y$4&lt;'Platform Assumptions'!$D$22,0,HLOOKUP(Y$4,'Platform Assumptions'!$D22:$DT23,2,FALSE))</f>
        <v>0</v>
      </c>
      <c r="Z7" s="21">
        <f>IF(Z$4&lt;'Platform Assumptions'!$D$22,0,HLOOKUP(Z$4,'Platform Assumptions'!$D22:$DT23,2,FALSE))</f>
        <v>0</v>
      </c>
      <c r="AA7" s="21">
        <f>IF(AA$4&lt;'Platform Assumptions'!$D$22,0,HLOOKUP(AA$4,'Platform Assumptions'!$D22:$DT23,2,FALSE))</f>
        <v>0</v>
      </c>
      <c r="AB7" s="21">
        <f>IF(AB$4&lt;'Platform Assumptions'!$D$22,0,HLOOKUP(AB$4,'Platform Assumptions'!$D22:$DT23,2,FALSE))</f>
        <v>0</v>
      </c>
      <c r="AC7" s="21">
        <f>IF(AC$4&lt;'Platform Assumptions'!$D$22,0,HLOOKUP(AC$4,'Platform Assumptions'!$D22:$DT23,2,FALSE))</f>
        <v>1350000</v>
      </c>
      <c r="AD7" s="21">
        <f>IF(AD$4&lt;'Platform Assumptions'!$D$22,0,HLOOKUP(AD$4,'Platform Assumptions'!$D22:$DT23,2,FALSE))</f>
        <v>0</v>
      </c>
      <c r="AE7" s="21">
        <f>IF(AE$4&lt;'Platform Assumptions'!$D$22,0,HLOOKUP(AE$4,'Platform Assumptions'!$D22:$DT23,2,FALSE))</f>
        <v>0</v>
      </c>
      <c r="AF7" s="21">
        <f>IF(AF$4&lt;'Platform Assumptions'!$D$22,0,HLOOKUP(AF$4,'Platform Assumptions'!$D22:$DT23,2,FALSE))</f>
        <v>9851.3671875</v>
      </c>
      <c r="AG7" s="21">
        <f>IF(AG$4&lt;'Platform Assumptions'!$D$22,0,HLOOKUP(AG$4,'Platform Assumptions'!$D22:$DT23,2,FALSE))</f>
        <v>9851.3671875</v>
      </c>
      <c r="AH7" s="21">
        <f>IF(AH$4&lt;'Platform Assumptions'!$D$22,0,HLOOKUP(AH$4,'Platform Assumptions'!$D22:$DT23,2,FALSE))</f>
        <v>9851.3671875</v>
      </c>
      <c r="AI7" s="21">
        <f>IF(AI$4&lt;'Platform Assumptions'!$D$22,0,HLOOKUP(AI$4,'Platform Assumptions'!$D22:$DT23,2,FALSE))</f>
        <v>9851.3671875</v>
      </c>
      <c r="AJ7" s="21">
        <f>IF(AJ$4&lt;'Platform Assumptions'!$D$22,0,HLOOKUP(AJ$4,'Platform Assumptions'!$D22:$DT23,2,FALSE))</f>
        <v>9851.3671875</v>
      </c>
      <c r="AK7" s="21">
        <f>IF(AK$4&lt;'Platform Assumptions'!$D$22,0,HLOOKUP(AK$4,'Platform Assumptions'!$D22:$DT23,2,FALSE))</f>
        <v>9851.3671875</v>
      </c>
      <c r="AL7" s="21">
        <f>IF(AL$4&lt;'Platform Assumptions'!$D$22,0,HLOOKUP(AL$4,'Platform Assumptions'!$D22:$DT23,2,FALSE))</f>
        <v>9851.3671875</v>
      </c>
      <c r="AM7" s="21">
        <f>IF(AM$4&lt;'Platform Assumptions'!$D$22,0,HLOOKUP(AM$4,'Platform Assumptions'!$D22:$DT23,2,FALSE))</f>
        <v>9851.3671875</v>
      </c>
      <c r="AN7" s="21">
        <f>IF(AN$4&lt;'Platform Assumptions'!$D$22,0,HLOOKUP(AN$4,'Platform Assumptions'!$D22:$DT23,2,FALSE))</f>
        <v>9851.3671875</v>
      </c>
      <c r="AO7" s="21">
        <f>IF(AO$4&lt;'Platform Assumptions'!$D$22,0,HLOOKUP(AO$4,'Platform Assumptions'!$D22:$DT23,2,FALSE))</f>
        <v>9851.3671875</v>
      </c>
      <c r="AP7" s="21">
        <f>IF(AP$4&lt;'Platform Assumptions'!$D$22,0,HLOOKUP(AP$4,'Platform Assumptions'!$D22:$DT23,2,FALSE))</f>
        <v>9851.3671875</v>
      </c>
      <c r="AQ7" s="21">
        <f>IF(AQ$4&lt;'Platform Assumptions'!$D$22,0,HLOOKUP(AQ$4,'Platform Assumptions'!$D22:$DT23,2,FALSE))</f>
        <v>9851.3671875</v>
      </c>
      <c r="AR7" s="21">
        <f>IF(AR$4&lt;'Platform Assumptions'!$D$22,0,HLOOKUP(AR$4,'Platform Assumptions'!$D22:$DT23,2,FALSE))</f>
        <v>9851.3671875</v>
      </c>
      <c r="AS7" s="21">
        <f>IF(AS$4&lt;'Platform Assumptions'!$D$22,0,HLOOKUP(AS$4,'Platform Assumptions'!$D22:$DT23,2,FALSE))</f>
        <v>9851.3671875</v>
      </c>
      <c r="AT7" s="21">
        <f>IF(AT$4&lt;'Platform Assumptions'!$D$22,0,HLOOKUP(AT$4,'Platform Assumptions'!$D22:$DT23,2,FALSE))</f>
        <v>9851.3671875</v>
      </c>
      <c r="AU7" s="21">
        <f>IF(AU$4&lt;'Platform Assumptions'!$D$22,0,HLOOKUP(AU$4,'Platform Assumptions'!$D22:$DT23,2,FALSE))</f>
        <v>9851.3671875</v>
      </c>
      <c r="AV7" s="21">
        <f>IF(AV$4&lt;'Platform Assumptions'!$D$22,0,HLOOKUP(AV$4,'Platform Assumptions'!$D22:$DT23,2,FALSE))</f>
        <v>9851.3671875</v>
      </c>
      <c r="AW7" s="21">
        <f>IF(AW$4&lt;'Platform Assumptions'!$D$22,0,HLOOKUP(AW$4,'Platform Assumptions'!$D22:$DT23,2,FALSE))</f>
        <v>9851.3671875</v>
      </c>
      <c r="AX7" s="21">
        <f>IF(AX$4&lt;'Platform Assumptions'!$D$22,0,HLOOKUP(AX$4,'Platform Assumptions'!$D22:$DT23,2,FALSE))</f>
        <v>21035.69370372003</v>
      </c>
      <c r="AY7" s="21">
        <f>IF(AY$4&lt;'Platform Assumptions'!$D$22,0,HLOOKUP(AY$4,'Platform Assumptions'!$D22:$DT23,2,FALSE))</f>
        <v>21035.69370372003</v>
      </c>
      <c r="AZ7" s="21">
        <f>IF(AZ$4&lt;'Platform Assumptions'!$D$22,0,HLOOKUP(AZ$4,'Platform Assumptions'!$D22:$DT23,2,FALSE))</f>
        <v>21035.69370372003</v>
      </c>
      <c r="BA7" s="21">
        <f>IF(BA$4&lt;'Platform Assumptions'!$D$22,0,HLOOKUP(BA$4,'Platform Assumptions'!$D22:$DT23,2,FALSE))</f>
        <v>21035.69370372003</v>
      </c>
      <c r="BB7" s="21">
        <f>IF(BB$4&lt;'Platform Assumptions'!$D$22,0,HLOOKUP(BB$4,'Platform Assumptions'!$D22:$DT23,2,FALSE))</f>
        <v>21035.69370372003</v>
      </c>
      <c r="BC7" s="21">
        <f>IF(BC$4&lt;'Platform Assumptions'!$D$22,0,HLOOKUP(BC$4,'Platform Assumptions'!$D22:$DT23,2,FALSE))</f>
        <v>21035.69370372003</v>
      </c>
      <c r="BD7" s="21">
        <f>IF(BD$4&lt;'Platform Assumptions'!$D$22,0,HLOOKUP(BD$4,'Platform Assumptions'!$D22:$DT23,2,FALSE))</f>
        <v>447829.27832628123</v>
      </c>
      <c r="BE7" s="21">
        <f>IF(BE$4&lt;'Platform Assumptions'!$D$22,0,HLOOKUP(BE$4,'Platform Assumptions'!$D22:$DT23,2,FALSE))</f>
        <v>68812.176774800188</v>
      </c>
      <c r="BF7" s="21">
        <f>IF(BF$4&lt;'Platform Assumptions'!$D$22,0,HLOOKUP(BF$4,'Platform Assumptions'!$D22:$DT23,2,FALSE))</f>
        <v>70062.176774800188</v>
      </c>
      <c r="BG7" s="21">
        <f>IF(BG$4&lt;'Platform Assumptions'!$D$22,0,HLOOKUP(BG$4,'Platform Assumptions'!$D22:$DT23,2,FALSE))</f>
        <v>71312.176774800188</v>
      </c>
      <c r="BH7" s="21">
        <f>IF(BH$4&lt;'Platform Assumptions'!$D$22,0,HLOOKUP(BH$4,'Platform Assumptions'!$D22:$DT23,2,FALSE))</f>
        <v>72562.176774800188</v>
      </c>
      <c r="BI7" s="21">
        <f>IF(BI$4&lt;'Platform Assumptions'!$D$22,0,HLOOKUP(BI$4,'Platform Assumptions'!$D22:$DT23,2,FALSE))</f>
        <v>73812.176774800188</v>
      </c>
      <c r="BJ7" s="21">
        <f>IF(BJ$4&lt;'Platform Assumptions'!$D$22,0,HLOOKUP(BJ$4,'Platform Assumptions'!$D22:$DT23,2,FALSE))</f>
        <v>75062.176774800188</v>
      </c>
      <c r="BK7" s="21">
        <f>IF(BK$4&lt;'Platform Assumptions'!$D$22,0,HLOOKUP(BK$4,'Platform Assumptions'!$D22:$DT23,2,FALSE))</f>
        <v>76312.176774800188</v>
      </c>
      <c r="BL7" s="21">
        <f>IF(BL$4&lt;'Platform Assumptions'!$D$22,0,HLOOKUP(BL$4,'Platform Assumptions'!$D22:$DT23,2,FALSE))</f>
        <v>77562.176774800188</v>
      </c>
      <c r="BM7" s="21">
        <f>IF(BM$4&lt;'Platform Assumptions'!$D$22,0,HLOOKUP(BM$4,'Platform Assumptions'!$D22:$DT23,2,FALSE))</f>
        <v>78812.176774800188</v>
      </c>
      <c r="BN7" s="21">
        <f>IF(BN$4&lt;'Platform Assumptions'!$D$22,0,HLOOKUP(BN$4,'Platform Assumptions'!$D22:$DT23,2,FALSE))</f>
        <v>80062.176774800188</v>
      </c>
      <c r="BO7" s="21">
        <f>IF(BO$4&lt;'Platform Assumptions'!$D$22,0,HLOOKUP(BO$4,'Platform Assumptions'!$D22:$DT23,2,FALSE))</f>
        <v>81312.176774800188</v>
      </c>
      <c r="BP7" s="21">
        <f>IF(BP$4&lt;'Platform Assumptions'!$D$22,0,HLOOKUP(BP$4,'Platform Assumptions'!$D22:$DT23,2,FALSE))</f>
        <v>6750</v>
      </c>
      <c r="BQ7" s="21">
        <f>IF(BQ$4&lt;'Platform Assumptions'!$D$22,0,HLOOKUP(BQ$4,'Platform Assumptions'!$D22:$DT23,2,FALSE))</f>
        <v>6750</v>
      </c>
      <c r="BR7" s="21">
        <f>IF(BR$4&lt;'Platform Assumptions'!$D$22,0,HLOOKUP(BR$4,'Platform Assumptions'!$D22:$DT23,2,FALSE))</f>
        <v>6750</v>
      </c>
      <c r="BS7" s="21">
        <f>IF(BS$4&lt;'Platform Assumptions'!$D$22,0,HLOOKUP(BS$4,'Platform Assumptions'!$D22:$DT23,2,FALSE))</f>
        <v>6750</v>
      </c>
      <c r="BT7" s="21">
        <f>IF(BT$4&lt;'Platform Assumptions'!$D$22,0,HLOOKUP(BT$4,'Platform Assumptions'!$D22:$DT23,2,FALSE))</f>
        <v>6750</v>
      </c>
      <c r="BU7" s="21">
        <f>IF(BU$4&lt;'Platform Assumptions'!$D$22,0,HLOOKUP(BU$4,'Platform Assumptions'!$D22:$DT23,2,FALSE))</f>
        <v>6750</v>
      </c>
      <c r="BV7" s="21">
        <f>IF(BV$4&lt;'Platform Assumptions'!$D$22,0,HLOOKUP(BV$4,'Platform Assumptions'!$D22:$DT23,2,FALSE))</f>
        <v>6750</v>
      </c>
      <c r="BW7" s="21">
        <f>IF(BW$4&lt;'Platform Assumptions'!$D$22,0,HLOOKUP(BW$4,'Platform Assumptions'!$D22:$DT23,2,FALSE))</f>
        <v>6750</v>
      </c>
      <c r="BX7" s="21">
        <f>IF(BX$4&lt;'Platform Assumptions'!$D$22,0,HLOOKUP(BX$4,'Platform Assumptions'!$D22:$DT23,2,FALSE))</f>
        <v>6750</v>
      </c>
      <c r="BY7" s="21">
        <f>IF(BY$4&lt;'Platform Assumptions'!$D$22,0,HLOOKUP(BY$4,'Platform Assumptions'!$D22:$DT23,2,FALSE))</f>
        <v>6750</v>
      </c>
      <c r="BZ7" s="21">
        <f>IF(BZ$4&lt;'Platform Assumptions'!$D$22,0,HLOOKUP(BZ$4,'Platform Assumptions'!$D22:$DT23,2,FALSE))</f>
        <v>6750</v>
      </c>
      <c r="CA7" s="21">
        <f>IF(CA$4&lt;'Platform Assumptions'!$D$22,0,HLOOKUP(CA$4,'Platform Assumptions'!$D22:$DT23,2,FALSE))</f>
        <v>6750</v>
      </c>
      <c r="CB7" s="21">
        <f>IF(CB$4&lt;'Platform Assumptions'!$D$22,0,HLOOKUP(CB$4,'Platform Assumptions'!$D22:$DT23,2,FALSE))</f>
        <v>6750</v>
      </c>
      <c r="CC7" s="21">
        <f>IF(CC$4&lt;'Platform Assumptions'!$D$22,0,HLOOKUP(CC$4,'Platform Assumptions'!$D22:$DT23,2,FALSE))</f>
        <v>6750</v>
      </c>
      <c r="CD7" s="21">
        <f>IF(CD$4&lt;'Platform Assumptions'!$D$22,0,HLOOKUP(CD$4,'Platform Assumptions'!$D22:$DT23,2,FALSE))</f>
        <v>6750</v>
      </c>
      <c r="CE7" s="21">
        <f>IF(CE$4&lt;'Platform Assumptions'!$D$22,0,HLOOKUP(CE$4,'Platform Assumptions'!$D22:$DT23,2,FALSE))</f>
        <v>6750</v>
      </c>
      <c r="CF7" s="21">
        <f>IF(CF$4&lt;'Platform Assumptions'!$D$22,0,HLOOKUP(CF$4,'Platform Assumptions'!$D22:$DT23,2,FALSE))</f>
        <v>6750</v>
      </c>
      <c r="CG7" s="21">
        <f>IF(CG$4&lt;'Platform Assumptions'!$D$22,0,HLOOKUP(CG$4,'Platform Assumptions'!$D22:$DT23,2,FALSE))</f>
        <v>6750</v>
      </c>
      <c r="CH7" s="21">
        <f>IF(CH$4&lt;'Platform Assumptions'!$D$22,0,HLOOKUP(CH$4,'Platform Assumptions'!$D22:$DT23,2,FALSE))</f>
        <v>6750</v>
      </c>
      <c r="CI7" s="21">
        <f>IF(CI$4&lt;'Platform Assumptions'!$D$22,0,HLOOKUP(CI$4,'Platform Assumptions'!$D22:$DT23,2,FALSE))</f>
        <v>6750</v>
      </c>
      <c r="CJ7" s="21">
        <f>IF(CJ$4&lt;'Platform Assumptions'!$D$22,0,HLOOKUP(CJ$4,'Platform Assumptions'!$D22:$DT23,2,FALSE))</f>
        <v>6750</v>
      </c>
      <c r="CK7" s="21">
        <f>IF(CK$4&lt;'Platform Assumptions'!$D$22,0,HLOOKUP(CK$4,'Platform Assumptions'!$D22:$DT23,2,FALSE))</f>
        <v>6750</v>
      </c>
      <c r="CL7" s="21">
        <f>IF(CL$4&lt;'Platform Assumptions'!$D$22,0,HLOOKUP(CL$4,'Platform Assumptions'!$D22:$DT23,2,FALSE))</f>
        <v>6750</v>
      </c>
      <c r="CM7" s="21">
        <f>IF(CM$4&lt;'Platform Assumptions'!$D$22,0,HLOOKUP(CM$4,'Platform Assumptions'!$D22:$DT23,2,FALSE))</f>
        <v>6750</v>
      </c>
      <c r="CN7" s="21">
        <f>IF(CN$4&lt;'Platform Assumptions'!$D$22,0,HLOOKUP(CN$4,'Platform Assumptions'!$D22:$DT23,2,FALSE))</f>
        <v>6750</v>
      </c>
      <c r="CO7" s="21">
        <f>IF(CO$4&lt;'Platform Assumptions'!$D$22,0,HLOOKUP(CO$4,'Platform Assumptions'!$D22:$DT23,2,FALSE))</f>
        <v>6750</v>
      </c>
      <c r="CP7" s="21">
        <f>IF(CP$4&lt;'Platform Assumptions'!$D$22,0,HLOOKUP(CP$4,'Platform Assumptions'!$D22:$DT23,2,FALSE))</f>
        <v>6750</v>
      </c>
      <c r="CQ7" s="21">
        <f>IF(CQ$4&lt;'Platform Assumptions'!$D$22,0,HLOOKUP(CQ$4,'Platform Assumptions'!$D22:$DT23,2,FALSE))</f>
        <v>6750</v>
      </c>
      <c r="CR7" s="21">
        <f>IF(CR$4&lt;'Platform Assumptions'!$D$22,0,HLOOKUP(CR$4,'Platform Assumptions'!$D22:$DT23,2,FALSE))</f>
        <v>6750</v>
      </c>
      <c r="CS7" s="21">
        <f>IF(CS$4&lt;'Platform Assumptions'!$D$22,0,HLOOKUP(CS$4,'Platform Assumptions'!$D22:$DT23,2,FALSE))</f>
        <v>6750</v>
      </c>
      <c r="CT7" s="21">
        <f>IF(CT$4&lt;'Platform Assumptions'!$D$22,0,HLOOKUP(CT$4,'Platform Assumptions'!$D22:$DT23,2,FALSE))</f>
        <v>6750</v>
      </c>
      <c r="CU7" s="21">
        <f>IF(CU$4&lt;'Platform Assumptions'!$D$22,0,HLOOKUP(CU$4,'Platform Assumptions'!$D22:$DT23,2,FALSE))</f>
        <v>6750</v>
      </c>
      <c r="CV7" s="21">
        <f>IF(CV$4&lt;'Platform Assumptions'!$D$22,0,HLOOKUP(CV$4,'Platform Assumptions'!$D22:$DT23,2,FALSE))</f>
        <v>6750</v>
      </c>
      <c r="CW7" s="21">
        <f>IF(CW$4&lt;'Platform Assumptions'!$D$22,0,HLOOKUP(CW$4,'Platform Assumptions'!$D22:$DT23,2,FALSE))</f>
        <v>6750</v>
      </c>
      <c r="CX7" s="21">
        <f>IF(CX$4&lt;'Platform Assumptions'!$D$22,0,HLOOKUP(CX$4,'Platform Assumptions'!$D22:$DT23,2,FALSE))</f>
        <v>6750</v>
      </c>
      <c r="CY7" s="21">
        <f>IF(CY$4&lt;'Platform Assumptions'!$D$22,0,HLOOKUP(CY$4,'Platform Assumptions'!$D22:$DT23,2,FALSE))</f>
        <v>6750</v>
      </c>
      <c r="CZ7" s="21">
        <f>IF(CZ$4&lt;'Platform Assumptions'!$D$22,0,HLOOKUP(CZ$4,'Platform Assumptions'!$D22:$DT23,2,FALSE))</f>
        <v>6750</v>
      </c>
      <c r="DA7" s="21">
        <f>IF(DA$4&lt;'Platform Assumptions'!$D$22,0,HLOOKUP(DA$4,'Platform Assumptions'!$D22:$DT23,2,FALSE))</f>
        <v>6750</v>
      </c>
      <c r="DB7" s="21">
        <f>IF(DB$4&lt;'Platform Assumptions'!$D$22,0,HLOOKUP(DB$4,'Platform Assumptions'!$D22:$DT23,2,FALSE))</f>
        <v>6750</v>
      </c>
      <c r="DC7" s="21">
        <f>IF(DC$4&lt;'Platform Assumptions'!$D$22,0,HLOOKUP(DC$4,'Platform Assumptions'!$D22:$DT23,2,FALSE))</f>
        <v>6750</v>
      </c>
      <c r="DD7" s="21">
        <f>IF(DD$4&lt;'Platform Assumptions'!$D$22,0,HLOOKUP(DD$4,'Platform Assumptions'!$D22:$DT23,2,FALSE))</f>
        <v>6750</v>
      </c>
      <c r="DE7" s="21">
        <f>IF(DE$4&lt;'Platform Assumptions'!$D$22,0,HLOOKUP(DE$4,'Platform Assumptions'!$D22:$DT23,2,FALSE))</f>
        <v>6750</v>
      </c>
      <c r="DF7" s="21">
        <f>IF(DF$4&lt;'Platform Assumptions'!$D$22,0,HLOOKUP(DF$4,'Platform Assumptions'!$D22:$DT23,2,FALSE))</f>
        <v>6750</v>
      </c>
      <c r="DG7" s="21">
        <f>IF(DG$4&lt;'Platform Assumptions'!$D$22,0,HLOOKUP(DG$4,'Platform Assumptions'!$D22:$DT23,2,FALSE))</f>
        <v>6750</v>
      </c>
      <c r="DH7" s="21">
        <f>IF(DH$4&lt;'Platform Assumptions'!$D$22,0,HLOOKUP(DH$4,'Platform Assumptions'!$D22:$DT23,2,FALSE))</f>
        <v>6750</v>
      </c>
      <c r="DI7" s="21">
        <f>IF(DI$4&lt;'Platform Assumptions'!$D$22,0,HLOOKUP(DI$4,'Platform Assumptions'!$D22:$DT23,2,FALSE))</f>
        <v>6750</v>
      </c>
      <c r="DJ7" s="21">
        <f>IF(DJ$4&lt;'Platform Assumptions'!$D$22,0,HLOOKUP(DJ$4,'Platform Assumptions'!$D22:$DT23,2,FALSE))</f>
        <v>6750</v>
      </c>
      <c r="DK7" s="21">
        <f>IF(DK$4&lt;'Platform Assumptions'!$D$22,0,HLOOKUP(DK$4,'Platform Assumptions'!$D22:$DT23,2,FALSE))</f>
        <v>6750</v>
      </c>
      <c r="DL7" s="21">
        <f>IF(DL$4&lt;'Platform Assumptions'!$D$22,0,HLOOKUP(DL$4,'Platform Assumptions'!$D22:$DT23,2,FALSE))</f>
        <v>0</v>
      </c>
      <c r="DM7" s="21">
        <f>IF(DM$4&lt;'Platform Assumptions'!$D$22,0,HLOOKUP(DM$4,'Platform Assumptions'!$D22:$DT23,2,FALSE))</f>
        <v>0</v>
      </c>
      <c r="DN7" s="21">
        <f>IF(DN$4&lt;'Platform Assumptions'!$D$22,0,HLOOKUP(DN$4,'Platform Assumptions'!$D22:$DT23,2,FALSE))</f>
        <v>0</v>
      </c>
      <c r="DO7" s="21">
        <f>IF(DO$4&lt;'Platform Assumptions'!$D$22,0,HLOOKUP(DO$4,'Platform Assumptions'!$D22:$DT23,2,FALSE))</f>
        <v>0</v>
      </c>
      <c r="DP7" s="21">
        <f>IF(DP$4&lt;'Platform Assumptions'!$D$22,0,HLOOKUP(DP$4,'Platform Assumptions'!$D22:$DT23,2,FALSE))</f>
        <v>0</v>
      </c>
      <c r="DQ7" s="21">
        <f>IF(DQ$4&lt;'Platform Assumptions'!$D$22,0,HLOOKUP(DQ$4,'Platform Assumptions'!$D22:$DT23,2,FALSE))</f>
        <v>0</v>
      </c>
      <c r="DR7" s="21">
        <f>IF(DR$4&lt;'Platform Assumptions'!$D$22,0,HLOOKUP(DR$4,'Platform Assumptions'!$D22:$DT23,2,FALSE))</f>
        <v>0</v>
      </c>
      <c r="DS7" s="21">
        <f>IF(DS$4&lt;'Platform Assumptions'!$D$22,0,HLOOKUP(DS$4,'Platform Assumptions'!$D22:$DT23,2,FALSE))</f>
        <v>0</v>
      </c>
      <c r="DT7" s="21">
        <f>IF(DT$4&lt;'Platform Assumptions'!$D$22,0,HLOOKUP(DT$4,'Platform Assumptions'!$D22:$DT23,2,FALSE))</f>
        <v>0</v>
      </c>
      <c r="DU7" s="21">
        <f>IF(DU$4&lt;'Platform Assumptions'!$D$22,0,HLOOKUP(DU$4,'Platform Assumptions'!$D22:$DT23,2,FALSE))</f>
        <v>0</v>
      </c>
    </row>
    <row r="8" spans="3:126" s="3" customFormat="1" ht="22.95" customHeight="1">
      <c r="C8" s="104">
        <f t="shared" ref="C8:C16" si="9">C7+1</f>
        <v>2</v>
      </c>
      <c r="D8" s="77">
        <f t="shared" si="8"/>
        <v>104999.99999999999</v>
      </c>
      <c r="E8" s="21">
        <f>IF(E$4&lt;'Platform Assumptions'!$D$25,0,HLOOKUP(E$4,'Platform Assumptions'!$D25:$DT26,2,FALSE))</f>
        <v>0</v>
      </c>
      <c r="F8" s="21">
        <f>IF(F$4&lt;'Platform Assumptions'!$D$25,0,HLOOKUP(F$4,'Platform Assumptions'!$D25:$DT26,2,FALSE))</f>
        <v>0</v>
      </c>
      <c r="G8" s="21">
        <f>IF(G$4&lt;'Platform Assumptions'!$D$25,0,HLOOKUP(G$4,'Platform Assumptions'!$D25:$DT26,2,FALSE))</f>
        <v>0</v>
      </c>
      <c r="H8" s="21">
        <f>IF(H$4&lt;'Platform Assumptions'!$D$25,0,HLOOKUP(H$4,'Platform Assumptions'!$D25:$DT26,2,FALSE))</f>
        <v>46666.666666666664</v>
      </c>
      <c r="I8" s="21">
        <f>IF(I$4&lt;'Platform Assumptions'!$D$25,0,HLOOKUP(I$4,'Platform Assumptions'!$D25:$DT26,2,FALSE))</f>
        <v>-3333.3333333333335</v>
      </c>
      <c r="J8" s="21">
        <f>IF(J$4&lt;'Platform Assumptions'!$D$25,0,HLOOKUP(J$4,'Platform Assumptions'!$D25:$DT26,2,FALSE))</f>
        <v>-3333.3333333333335</v>
      </c>
      <c r="K8" s="21">
        <f>IF(K$4&lt;'Platform Assumptions'!$D$25,0,HLOOKUP(K$4,'Platform Assumptions'!$D25:$DT26,2,FALSE))</f>
        <v>-3333.3333333333335</v>
      </c>
      <c r="L8" s="21">
        <f>IF(L$4&lt;'Platform Assumptions'!$D$25,0,HLOOKUP(L$4,'Platform Assumptions'!$D25:$DT26,2,FALSE))</f>
        <v>-3333.3333333333335</v>
      </c>
      <c r="M8" s="21">
        <f>IF(M$4&lt;'Platform Assumptions'!$D$25,0,HLOOKUP(M$4,'Platform Assumptions'!$D25:$DT26,2,FALSE))</f>
        <v>-3333.3333333333335</v>
      </c>
      <c r="N8" s="21">
        <f>IF(N$4&lt;'Platform Assumptions'!$D$25,0,HLOOKUP(N$4,'Platform Assumptions'!$D25:$DT26,2,FALSE))</f>
        <v>6250</v>
      </c>
      <c r="O8" s="21">
        <f>IF(O$4&lt;'Platform Assumptions'!$D$25,0,HLOOKUP(O$4,'Platform Assumptions'!$D25:$DT26,2,FALSE))</f>
        <v>6250</v>
      </c>
      <c r="P8" s="21">
        <f>IF(P$4&lt;'Platform Assumptions'!$D$25,0,HLOOKUP(P$4,'Platform Assumptions'!$D25:$DT26,2,FALSE))</f>
        <v>6250</v>
      </c>
      <c r="Q8" s="21">
        <f>IF(Q$4&lt;'Platform Assumptions'!$D$25,0,HLOOKUP(Q$4,'Platform Assumptions'!$D25:$DT26,2,FALSE))</f>
        <v>6250</v>
      </c>
      <c r="R8" s="21">
        <f>IF(R$4&lt;'Platform Assumptions'!$D$25,0,HLOOKUP(R$4,'Platform Assumptions'!$D25:$DT26,2,FALSE))</f>
        <v>6250</v>
      </c>
      <c r="S8" s="21">
        <f>IF(S$4&lt;'Platform Assumptions'!$D$25,0,HLOOKUP(S$4,'Platform Assumptions'!$D25:$DT26,2,FALSE))</f>
        <v>6250</v>
      </c>
      <c r="T8" s="21">
        <f>IF(T$4&lt;'Platform Assumptions'!$D$25,0,HLOOKUP(T$4,'Platform Assumptions'!$D25:$DT26,2,FALSE))</f>
        <v>6250</v>
      </c>
      <c r="U8" s="21">
        <f>IF(U$4&lt;'Platform Assumptions'!$D$25,0,HLOOKUP(U$4,'Platform Assumptions'!$D25:$DT26,2,FALSE))</f>
        <v>6250</v>
      </c>
      <c r="V8" s="21">
        <f>IF(V$4&lt;'Platform Assumptions'!$D$25,0,HLOOKUP(V$4,'Platform Assumptions'!$D25:$DT26,2,FALSE))</f>
        <v>6250</v>
      </c>
      <c r="W8" s="21">
        <f>IF(W$4&lt;'Platform Assumptions'!$D$25,0,HLOOKUP(W$4,'Platform Assumptions'!$D25:$DT26,2,FALSE))</f>
        <v>6250</v>
      </c>
      <c r="X8" s="21">
        <f>IF(X$4&lt;'Platform Assumptions'!$D$25,0,HLOOKUP(X$4,'Platform Assumptions'!$D25:$DT26,2,FALSE))</f>
        <v>6250</v>
      </c>
      <c r="Y8" s="21">
        <f>IF(Y$4&lt;'Platform Assumptions'!$D$25,0,HLOOKUP(Y$4,'Platform Assumptions'!$D25:$DT26,2,FALSE))</f>
        <v>6250</v>
      </c>
      <c r="Z8" s="21">
        <f>IF(Z$4&lt;'Platform Assumptions'!$D$25,0,HLOOKUP(Z$4,'Platform Assumptions'!$D25:$DT26,2,FALSE))</f>
        <v>0</v>
      </c>
      <c r="AA8" s="21">
        <f>IF(AA$4&lt;'Platform Assumptions'!$D$25,0,HLOOKUP(AA$4,'Platform Assumptions'!$D25:$DT26,2,FALSE))</f>
        <v>0</v>
      </c>
      <c r="AB8" s="21">
        <f>IF(AB$4&lt;'Platform Assumptions'!$D$25,0,HLOOKUP(AB$4,'Platform Assumptions'!$D25:$DT26,2,FALSE))</f>
        <v>0</v>
      </c>
      <c r="AC8" s="21">
        <f>IF(AC$4&lt;'Platform Assumptions'!$D$25,0,HLOOKUP(AC$4,'Platform Assumptions'!$D25:$DT26,2,FALSE))</f>
        <v>0</v>
      </c>
      <c r="AD8" s="21">
        <f>IF(AD$4&lt;'Platform Assumptions'!$D$25,0,HLOOKUP(AD$4,'Platform Assumptions'!$D25:$DT26,2,FALSE))</f>
        <v>0</v>
      </c>
      <c r="AE8" s="21">
        <f>IF(AE$4&lt;'Platform Assumptions'!$D$25,0,HLOOKUP(AE$4,'Platform Assumptions'!$D25:$DT26,2,FALSE))</f>
        <v>0</v>
      </c>
      <c r="AF8" s="21">
        <f>IF(AF$4&lt;'Platform Assumptions'!$D$25,0,HLOOKUP(AF$4,'Platform Assumptions'!$D25:$DT26,2,FALSE))</f>
        <v>0</v>
      </c>
      <c r="AG8" s="21">
        <f>IF(AG$4&lt;'Platform Assumptions'!$D$25,0,HLOOKUP(AG$4,'Platform Assumptions'!$D25:$DT26,2,FALSE))</f>
        <v>0</v>
      </c>
      <c r="AH8" s="21">
        <f>IF(AH$4&lt;'Platform Assumptions'!$D$25,0,HLOOKUP(AH$4,'Platform Assumptions'!$D25:$DT26,2,FALSE))</f>
        <v>0</v>
      </c>
      <c r="AI8" s="21">
        <f>IF(AI$4&lt;'Platform Assumptions'!$D$25,0,HLOOKUP(AI$4,'Platform Assumptions'!$D25:$DT26,2,FALSE))</f>
        <v>0</v>
      </c>
      <c r="AJ8" s="21">
        <f>IF(AJ$4&lt;'Platform Assumptions'!$D$25,0,HLOOKUP(AJ$4,'Platform Assumptions'!$D25:$DT26,2,FALSE))</f>
        <v>0</v>
      </c>
      <c r="AK8" s="21">
        <f>IF(AK$4&lt;'Platform Assumptions'!$D$25,0,HLOOKUP(AK$4,'Platform Assumptions'!$D25:$DT26,2,FALSE))</f>
        <v>0</v>
      </c>
      <c r="AL8" s="21">
        <f>IF(AL$4&lt;'Platform Assumptions'!$D$25,0,HLOOKUP(AL$4,'Platform Assumptions'!$D25:$DT26,2,FALSE))</f>
        <v>0</v>
      </c>
      <c r="AM8" s="21">
        <f>IF(AM$4&lt;'Platform Assumptions'!$D$25,0,HLOOKUP(AM$4,'Platform Assumptions'!$D25:$DT26,2,FALSE))</f>
        <v>0</v>
      </c>
      <c r="AN8" s="21">
        <f>IF(AN$4&lt;'Platform Assumptions'!$D$25,0,HLOOKUP(AN$4,'Platform Assumptions'!$D25:$DT26,2,FALSE))</f>
        <v>0</v>
      </c>
      <c r="AO8" s="21">
        <f>IF(AO$4&lt;'Platform Assumptions'!$D$25,0,HLOOKUP(AO$4,'Platform Assumptions'!$D25:$DT26,2,FALSE))</f>
        <v>0</v>
      </c>
      <c r="AP8" s="21">
        <f>IF(AP$4&lt;'Platform Assumptions'!$D$25,0,HLOOKUP(AP$4,'Platform Assumptions'!$D25:$DT26,2,FALSE))</f>
        <v>0</v>
      </c>
      <c r="AQ8" s="21">
        <f>IF(AQ$4&lt;'Platform Assumptions'!$D$25,0,HLOOKUP(AQ$4,'Platform Assumptions'!$D25:$DT26,2,FALSE))</f>
        <v>0</v>
      </c>
      <c r="AR8" s="21">
        <f>IF(AR$4&lt;'Platform Assumptions'!$D$25,0,HLOOKUP(AR$4,'Platform Assumptions'!$D25:$DT26,2,FALSE))</f>
        <v>0</v>
      </c>
      <c r="AS8" s="21">
        <f>IF(AS$4&lt;'Platform Assumptions'!$D$25,0,HLOOKUP(AS$4,'Platform Assumptions'!$D25:$DT26,2,FALSE))</f>
        <v>0</v>
      </c>
      <c r="AT8" s="21">
        <f>IF(AT$4&lt;'Platform Assumptions'!$D$25,0,HLOOKUP(AT$4,'Platform Assumptions'!$D25:$DT26,2,FALSE))</f>
        <v>0</v>
      </c>
      <c r="AU8" s="21">
        <f>IF(AU$4&lt;'Platform Assumptions'!$D$25,0,HLOOKUP(AU$4,'Platform Assumptions'!$D25:$DT26,2,FALSE))</f>
        <v>0</v>
      </c>
      <c r="AV8" s="21">
        <f>IF(AV$4&lt;'Platform Assumptions'!$D$25,0,HLOOKUP(AV$4,'Platform Assumptions'!$D25:$DT26,2,FALSE))</f>
        <v>0</v>
      </c>
      <c r="AW8" s="21">
        <f>IF(AW$4&lt;'Platform Assumptions'!$D$25,0,HLOOKUP(AW$4,'Platform Assumptions'!$D25:$DT26,2,FALSE))</f>
        <v>0</v>
      </c>
      <c r="AX8" s="21">
        <f>IF(AX$4&lt;'Platform Assumptions'!$D$25,0,HLOOKUP(AX$4,'Platform Assumptions'!$D25:$DT26,2,FALSE))</f>
        <v>0</v>
      </c>
      <c r="AY8" s="21">
        <f>IF(AY$4&lt;'Platform Assumptions'!$D$25,0,HLOOKUP(AY$4,'Platform Assumptions'!$D25:$DT26,2,FALSE))</f>
        <v>0</v>
      </c>
      <c r="AZ8" s="21">
        <f>IF(AZ$4&lt;'Platform Assumptions'!$D$25,0,HLOOKUP(AZ$4,'Platform Assumptions'!$D25:$DT26,2,FALSE))</f>
        <v>0</v>
      </c>
      <c r="BA8" s="21">
        <f>IF(BA$4&lt;'Platform Assumptions'!$D$25,0,HLOOKUP(BA$4,'Platform Assumptions'!$D25:$DT26,2,FALSE))</f>
        <v>0</v>
      </c>
      <c r="BB8" s="21">
        <f>IF(BB$4&lt;'Platform Assumptions'!$D$25,0,HLOOKUP(BB$4,'Platform Assumptions'!$D25:$DT26,2,FALSE))</f>
        <v>0</v>
      </c>
      <c r="BC8" s="21">
        <f>IF(BC$4&lt;'Platform Assumptions'!$D$25,0,HLOOKUP(BC$4,'Platform Assumptions'!$D25:$DT26,2,FALSE))</f>
        <v>0</v>
      </c>
      <c r="BD8" s="21">
        <f>IF(BD$4&lt;'Platform Assumptions'!$D$25,0,HLOOKUP(BD$4,'Platform Assumptions'!$D25:$DT26,2,FALSE))</f>
        <v>0</v>
      </c>
      <c r="BE8" s="21">
        <f>IF(BE$4&lt;'Platform Assumptions'!$D$25,0,HLOOKUP(BE$4,'Platform Assumptions'!$D25:$DT26,2,FALSE))</f>
        <v>0</v>
      </c>
      <c r="BF8" s="21">
        <f>IF(BF$4&lt;'Platform Assumptions'!$D$25,0,HLOOKUP(BF$4,'Platform Assumptions'!$D25:$DT26,2,FALSE))</f>
        <v>0</v>
      </c>
      <c r="BG8" s="21">
        <f>IF(BG$4&lt;'Platform Assumptions'!$D$25,0,HLOOKUP(BG$4,'Platform Assumptions'!$D25:$DT26,2,FALSE))</f>
        <v>0</v>
      </c>
      <c r="BH8" s="21">
        <f>IF(BH$4&lt;'Platform Assumptions'!$D$25,0,HLOOKUP(BH$4,'Platform Assumptions'!$D25:$DT26,2,FALSE))</f>
        <v>0</v>
      </c>
      <c r="BI8" s="21">
        <f>IF(BI$4&lt;'Platform Assumptions'!$D$25,0,HLOOKUP(BI$4,'Platform Assumptions'!$D25:$DT26,2,FALSE))</f>
        <v>0</v>
      </c>
      <c r="BJ8" s="21">
        <f>IF(BJ$4&lt;'Platform Assumptions'!$D$25,0,HLOOKUP(BJ$4,'Platform Assumptions'!$D25:$DT26,2,FALSE))</f>
        <v>0</v>
      </c>
      <c r="BK8" s="21">
        <f>IF(BK$4&lt;'Platform Assumptions'!$D$25,0,HLOOKUP(BK$4,'Platform Assumptions'!$D25:$DT26,2,FALSE))</f>
        <v>0</v>
      </c>
      <c r="BL8" s="21">
        <f>IF(BL$4&lt;'Platform Assumptions'!$D$25,0,HLOOKUP(BL$4,'Platform Assumptions'!$D25:$DT26,2,FALSE))</f>
        <v>0</v>
      </c>
      <c r="BM8" s="21">
        <f>IF(BM$4&lt;'Platform Assumptions'!$D$25,0,HLOOKUP(BM$4,'Platform Assumptions'!$D25:$DT26,2,FALSE))</f>
        <v>0</v>
      </c>
      <c r="BN8" s="21">
        <f>IF(BN$4&lt;'Platform Assumptions'!$D$25,0,HLOOKUP(BN$4,'Platform Assumptions'!$D25:$DT26,2,FALSE))</f>
        <v>0</v>
      </c>
      <c r="BO8" s="21">
        <f>IF(BO$4&lt;'Platform Assumptions'!$D$25,0,HLOOKUP(BO$4,'Platform Assumptions'!$D25:$DT26,2,FALSE))</f>
        <v>0</v>
      </c>
      <c r="BP8" s="21">
        <f>IF(BP$4&lt;'Platform Assumptions'!$D$25,0,HLOOKUP(BP$4,'Platform Assumptions'!$D25:$DT26,2,FALSE))</f>
        <v>0</v>
      </c>
      <c r="BQ8" s="21">
        <f>IF(BQ$4&lt;'Platform Assumptions'!$D$25,0,HLOOKUP(BQ$4,'Platform Assumptions'!$D25:$DT26,2,FALSE))</f>
        <v>0</v>
      </c>
      <c r="BR8" s="21">
        <f>IF(BR$4&lt;'Platform Assumptions'!$D$25,0,HLOOKUP(BR$4,'Platform Assumptions'!$D25:$DT26,2,FALSE))</f>
        <v>0</v>
      </c>
      <c r="BS8" s="21">
        <f>IF(BS$4&lt;'Platform Assumptions'!$D$25,0,HLOOKUP(BS$4,'Platform Assumptions'!$D25:$DT26,2,FALSE))</f>
        <v>0</v>
      </c>
      <c r="BT8" s="21">
        <f>IF(BT$4&lt;'Platform Assumptions'!$D$25,0,HLOOKUP(BT$4,'Platform Assumptions'!$D25:$DT26,2,FALSE))</f>
        <v>0</v>
      </c>
      <c r="BU8" s="21">
        <f>IF(BU$4&lt;'Platform Assumptions'!$D$25,0,HLOOKUP(BU$4,'Platform Assumptions'!$D25:$DT26,2,FALSE))</f>
        <v>0</v>
      </c>
      <c r="BV8" s="21">
        <f>IF(BV$4&lt;'Platform Assumptions'!$D$25,0,HLOOKUP(BV$4,'Platform Assumptions'!$D25:$DT26,2,FALSE))</f>
        <v>0</v>
      </c>
      <c r="BW8" s="21">
        <f>IF(BW$4&lt;'Platform Assumptions'!$D$25,0,HLOOKUP(BW$4,'Platform Assumptions'!$D25:$DT26,2,FALSE))</f>
        <v>0</v>
      </c>
      <c r="BX8" s="21">
        <f>IF(BX$4&lt;'Platform Assumptions'!$D$25,0,HLOOKUP(BX$4,'Platform Assumptions'!$D25:$DT26,2,FALSE))</f>
        <v>0</v>
      </c>
      <c r="BY8" s="21">
        <f>IF(BY$4&lt;'Platform Assumptions'!$D$25,0,HLOOKUP(BY$4,'Platform Assumptions'!$D25:$DT26,2,FALSE))</f>
        <v>0</v>
      </c>
      <c r="BZ8" s="21">
        <f>IF(BZ$4&lt;'Platform Assumptions'!$D$25,0,HLOOKUP(BZ$4,'Platform Assumptions'!$D25:$DT26,2,FALSE))</f>
        <v>0</v>
      </c>
      <c r="CA8" s="21">
        <f>IF(CA$4&lt;'Platform Assumptions'!$D$25,0,HLOOKUP(CA$4,'Platform Assumptions'!$D25:$DT26,2,FALSE))</f>
        <v>0</v>
      </c>
      <c r="CB8" s="21">
        <f>IF(CB$4&lt;'Platform Assumptions'!$D$25,0,HLOOKUP(CB$4,'Platform Assumptions'!$D25:$DT26,2,FALSE))</f>
        <v>0</v>
      </c>
      <c r="CC8" s="21">
        <f>IF(CC$4&lt;'Platform Assumptions'!$D$25,0,HLOOKUP(CC$4,'Platform Assumptions'!$D25:$DT26,2,FALSE))</f>
        <v>0</v>
      </c>
      <c r="CD8" s="21">
        <f>IF(CD$4&lt;'Platform Assumptions'!$D$25,0,HLOOKUP(CD$4,'Platform Assumptions'!$D25:$DT26,2,FALSE))</f>
        <v>0</v>
      </c>
      <c r="CE8" s="21">
        <f>IF(CE$4&lt;'Platform Assumptions'!$D$25,0,HLOOKUP(CE$4,'Platform Assumptions'!$D25:$DT26,2,FALSE))</f>
        <v>0</v>
      </c>
      <c r="CF8" s="21">
        <f>IF(CF$4&lt;'Platform Assumptions'!$D$25,0,HLOOKUP(CF$4,'Platform Assumptions'!$D25:$DT26,2,FALSE))</f>
        <v>0</v>
      </c>
      <c r="CG8" s="21">
        <f>IF(CG$4&lt;'Platform Assumptions'!$D$25,0,HLOOKUP(CG$4,'Platform Assumptions'!$D25:$DT26,2,FALSE))</f>
        <v>0</v>
      </c>
      <c r="CH8" s="21">
        <f>IF(CH$4&lt;'Platform Assumptions'!$D$25,0,HLOOKUP(CH$4,'Platform Assumptions'!$D25:$DT26,2,FALSE))</f>
        <v>0</v>
      </c>
      <c r="CI8" s="21">
        <f>IF(CI$4&lt;'Platform Assumptions'!$D$25,0,HLOOKUP(CI$4,'Platform Assumptions'!$D25:$DT26,2,FALSE))</f>
        <v>0</v>
      </c>
      <c r="CJ8" s="21">
        <f>IF(CJ$4&lt;'Platform Assumptions'!$D$25,0,HLOOKUP(CJ$4,'Platform Assumptions'!$D25:$DT26,2,FALSE))</f>
        <v>0</v>
      </c>
      <c r="CK8" s="21">
        <f>IF(CK$4&lt;'Platform Assumptions'!$D$25,0,HLOOKUP(CK$4,'Platform Assumptions'!$D25:$DT26,2,FALSE))</f>
        <v>0</v>
      </c>
      <c r="CL8" s="21">
        <f>IF(CL$4&lt;'Platform Assumptions'!$D$25,0,HLOOKUP(CL$4,'Platform Assumptions'!$D25:$DT26,2,FALSE))</f>
        <v>0</v>
      </c>
      <c r="CM8" s="21">
        <f>IF(CM$4&lt;'Platform Assumptions'!$D$25,0,HLOOKUP(CM$4,'Platform Assumptions'!$D25:$DT26,2,FALSE))</f>
        <v>0</v>
      </c>
      <c r="CN8" s="21">
        <f>IF(CN$4&lt;'Platform Assumptions'!$D$25,0,HLOOKUP(CN$4,'Platform Assumptions'!$D25:$DT26,2,FALSE))</f>
        <v>0</v>
      </c>
      <c r="CO8" s="21">
        <f>IF(CO$4&lt;'Platform Assumptions'!$D$25,0,HLOOKUP(CO$4,'Platform Assumptions'!$D25:$DT26,2,FALSE))</f>
        <v>0</v>
      </c>
      <c r="CP8" s="21">
        <f>IF(CP$4&lt;'Platform Assumptions'!$D$25,0,HLOOKUP(CP$4,'Platform Assumptions'!$D25:$DT26,2,FALSE))</f>
        <v>0</v>
      </c>
      <c r="CQ8" s="21">
        <f>IF(CQ$4&lt;'Platform Assumptions'!$D$25,0,HLOOKUP(CQ$4,'Platform Assumptions'!$D25:$DT26,2,FALSE))</f>
        <v>0</v>
      </c>
      <c r="CR8" s="21">
        <f>IF(CR$4&lt;'Platform Assumptions'!$D$25,0,HLOOKUP(CR$4,'Platform Assumptions'!$D25:$DT26,2,FALSE))</f>
        <v>0</v>
      </c>
      <c r="CS8" s="21">
        <f>IF(CS$4&lt;'Platform Assumptions'!$D$25,0,HLOOKUP(CS$4,'Platform Assumptions'!$D25:$DT26,2,FALSE))</f>
        <v>0</v>
      </c>
      <c r="CT8" s="21">
        <f>IF(CT$4&lt;'Platform Assumptions'!$D$25,0,HLOOKUP(CT$4,'Platform Assumptions'!$D25:$DT26,2,FALSE))</f>
        <v>0</v>
      </c>
      <c r="CU8" s="21">
        <f>IF(CU$4&lt;'Platform Assumptions'!$D$25,0,HLOOKUP(CU$4,'Platform Assumptions'!$D25:$DT26,2,FALSE))</f>
        <v>0</v>
      </c>
      <c r="CV8" s="21">
        <f>IF(CV$4&lt;'Platform Assumptions'!$D$25,0,HLOOKUP(CV$4,'Platform Assumptions'!$D25:$DT26,2,FALSE))</f>
        <v>0</v>
      </c>
      <c r="CW8" s="21">
        <f>IF(CW$4&lt;'Platform Assumptions'!$D$25,0,HLOOKUP(CW$4,'Platform Assumptions'!$D25:$DT26,2,FALSE))</f>
        <v>0</v>
      </c>
      <c r="CX8" s="21">
        <f>IF(CX$4&lt;'Platform Assumptions'!$D$25,0,HLOOKUP(CX$4,'Platform Assumptions'!$D25:$DT26,2,FALSE))</f>
        <v>0</v>
      </c>
      <c r="CY8" s="21">
        <f>IF(CY$4&lt;'Platform Assumptions'!$D$25,0,HLOOKUP(CY$4,'Platform Assumptions'!$D25:$DT26,2,FALSE))</f>
        <v>0</v>
      </c>
      <c r="CZ8" s="21">
        <f>IF(CZ$4&lt;'Platform Assumptions'!$D$25,0,HLOOKUP(CZ$4,'Platform Assumptions'!$D25:$DT26,2,FALSE))</f>
        <v>0</v>
      </c>
      <c r="DA8" s="21">
        <f>IF(DA$4&lt;'Platform Assumptions'!$D$25,0,HLOOKUP(DA$4,'Platform Assumptions'!$D25:$DT26,2,FALSE))</f>
        <v>0</v>
      </c>
      <c r="DB8" s="21">
        <f>IF(DB$4&lt;'Platform Assumptions'!$D$25,0,HLOOKUP(DB$4,'Platform Assumptions'!$D25:$DT26,2,FALSE))</f>
        <v>0</v>
      </c>
      <c r="DC8" s="21">
        <f>IF(DC$4&lt;'Platform Assumptions'!$D$25,0,HLOOKUP(DC$4,'Platform Assumptions'!$D25:$DT26,2,FALSE))</f>
        <v>0</v>
      </c>
      <c r="DD8" s="21">
        <f>IF(DD$4&lt;'Platform Assumptions'!$D$25,0,HLOOKUP(DD$4,'Platform Assumptions'!$D25:$DT26,2,FALSE))</f>
        <v>0</v>
      </c>
      <c r="DE8" s="21">
        <f>IF(DE$4&lt;'Platform Assumptions'!$D$25,0,HLOOKUP(DE$4,'Platform Assumptions'!$D25:$DT26,2,FALSE))</f>
        <v>0</v>
      </c>
      <c r="DF8" s="21">
        <f>IF(DF$4&lt;'Platform Assumptions'!$D$25,0,HLOOKUP(DF$4,'Platform Assumptions'!$D25:$DT26,2,FALSE))</f>
        <v>0</v>
      </c>
      <c r="DG8" s="21">
        <f>IF(DG$4&lt;'Platform Assumptions'!$D$25,0,HLOOKUP(DG$4,'Platform Assumptions'!$D25:$DT26,2,FALSE))</f>
        <v>0</v>
      </c>
      <c r="DH8" s="21">
        <f>IF(DH$4&lt;'Platform Assumptions'!$D$25,0,HLOOKUP(DH$4,'Platform Assumptions'!$D25:$DT26,2,FALSE))</f>
        <v>0</v>
      </c>
      <c r="DI8" s="21">
        <f>IF(DI$4&lt;'Platform Assumptions'!$D$25,0,HLOOKUP(DI$4,'Platform Assumptions'!$D25:$DT26,2,FALSE))</f>
        <v>0</v>
      </c>
      <c r="DJ8" s="21">
        <f>IF(DJ$4&lt;'Platform Assumptions'!$D$25,0,HLOOKUP(DJ$4,'Platform Assumptions'!$D25:$DT26,2,FALSE))</f>
        <v>0</v>
      </c>
      <c r="DK8" s="21">
        <f>IF(DK$4&lt;'Platform Assumptions'!$D$25,0,HLOOKUP(DK$4,'Platform Assumptions'!$D25:$DT26,2,FALSE))</f>
        <v>0</v>
      </c>
      <c r="DL8" s="21">
        <f>IF(DL$4&lt;'Platform Assumptions'!$D$25,0,HLOOKUP(DL$4,'Platform Assumptions'!$D25:$DT26,2,FALSE))</f>
        <v>0</v>
      </c>
      <c r="DM8" s="21">
        <f>IF(DM$4&lt;'Platform Assumptions'!$D$25,0,HLOOKUP(DM$4,'Platform Assumptions'!$D25:$DT26,2,FALSE))</f>
        <v>0</v>
      </c>
      <c r="DN8" s="21">
        <f>IF(DN$4&lt;'Platform Assumptions'!$D$25,0,HLOOKUP(DN$4,'Platform Assumptions'!$D25:$DT26,2,FALSE))</f>
        <v>0</v>
      </c>
      <c r="DO8" s="21">
        <f>IF(DO$4&lt;'Platform Assumptions'!$D$25,0,HLOOKUP(DO$4,'Platform Assumptions'!$D25:$DT26,2,FALSE))</f>
        <v>0</v>
      </c>
      <c r="DP8" s="21">
        <f>IF(DP$4&lt;'Platform Assumptions'!$D$25,0,HLOOKUP(DP$4,'Platform Assumptions'!$D25:$DT26,2,FALSE))</f>
        <v>0</v>
      </c>
      <c r="DQ8" s="21">
        <f>IF(DQ$4&lt;'Platform Assumptions'!$D$25,0,HLOOKUP(DQ$4,'Platform Assumptions'!$D25:$DT26,2,FALSE))</f>
        <v>0</v>
      </c>
      <c r="DR8" s="21">
        <f>IF(DR$4&lt;'Platform Assumptions'!$D$25,0,HLOOKUP(DR$4,'Platform Assumptions'!$D25:$DT26,2,FALSE))</f>
        <v>0</v>
      </c>
      <c r="DS8" s="21">
        <f>IF(DS$4&lt;'Platform Assumptions'!$D$25,0,HLOOKUP(DS$4,'Platform Assumptions'!$D25:$DT26,2,FALSE))</f>
        <v>0</v>
      </c>
      <c r="DT8" s="21">
        <f>IF(DT$4&lt;'Platform Assumptions'!$D$25,0,HLOOKUP(DT$4,'Platform Assumptions'!$D25:$DT26,2,FALSE))</f>
        <v>0</v>
      </c>
      <c r="DU8" s="21">
        <f>IF(DU$4&lt;'Platform Assumptions'!$D$25,0,HLOOKUP(DU$4,'Platform Assumptions'!$D25:$DT26,2,FALSE))</f>
        <v>0</v>
      </c>
    </row>
    <row r="9" spans="3:126" s="3" customFormat="1" ht="22.95" customHeight="1">
      <c r="C9" s="104">
        <f t="shared" si="9"/>
        <v>3</v>
      </c>
      <c r="D9" s="77">
        <f t="shared" si="8"/>
        <v>3393551.9944464052</v>
      </c>
      <c r="E9" s="21">
        <f>IF(E$4&lt;'Platform Assumptions'!$D$28,0,HLOOKUP(E$4,'Platform Assumptions'!$D28:$DT29,2,FALSE))</f>
        <v>0</v>
      </c>
      <c r="F9" s="21">
        <f>IF(F$4&lt;'Platform Assumptions'!$D$28,0,HLOOKUP(F$4,'Platform Assumptions'!$D28:$DT29,2,FALSE))</f>
        <v>0</v>
      </c>
      <c r="G9" s="21">
        <f>IF(G$4&lt;'Platform Assumptions'!$D$28,0,HLOOKUP(G$4,'Platform Assumptions'!$D28:$DT29,2,FALSE))</f>
        <v>0</v>
      </c>
      <c r="H9" s="21">
        <f>IF(H$4&lt;'Platform Assumptions'!$D$28,0,HLOOKUP(H$4,'Platform Assumptions'!$D28:$DT29,2,FALSE))</f>
        <v>0</v>
      </c>
      <c r="I9" s="21">
        <f>IF(I$4&lt;'Platform Assumptions'!$D$28,0,HLOOKUP(I$4,'Platform Assumptions'!$D28:$DT29,2,FALSE))</f>
        <v>0</v>
      </c>
      <c r="J9" s="21">
        <f>IF(J$4&lt;'Platform Assumptions'!$D$28,0,HLOOKUP(J$4,'Platform Assumptions'!$D28:$DT29,2,FALSE))</f>
        <v>0</v>
      </c>
      <c r="K9" s="21">
        <f>IF(K$4&lt;'Platform Assumptions'!$D$28,0,HLOOKUP(K$4,'Platform Assumptions'!$D28:$DT29,2,FALSE))</f>
        <v>46666.666666666664</v>
      </c>
      <c r="L9" s="21">
        <f>IF(L$4&lt;'Platform Assumptions'!$D$28,0,HLOOKUP(L$4,'Platform Assumptions'!$D28:$DT29,2,FALSE))</f>
        <v>-3333.3333333333335</v>
      </c>
      <c r="M9" s="21">
        <f>IF(M$4&lt;'Platform Assumptions'!$D$28,0,HLOOKUP(M$4,'Platform Assumptions'!$D28:$DT29,2,FALSE))</f>
        <v>-3333.3333333333335</v>
      </c>
      <c r="N9" s="21">
        <f>IF(N$4&lt;'Platform Assumptions'!$D$28,0,HLOOKUP(N$4,'Platform Assumptions'!$D28:$DT29,2,FALSE))</f>
        <v>-3333.3333333333335</v>
      </c>
      <c r="O9" s="21">
        <f>IF(O$4&lt;'Platform Assumptions'!$D$28,0,HLOOKUP(O$4,'Platform Assumptions'!$D28:$DT29,2,FALSE))</f>
        <v>-3333.3333333333335</v>
      </c>
      <c r="P9" s="21">
        <f>IF(P$4&lt;'Platform Assumptions'!$D$28,0,HLOOKUP(P$4,'Platform Assumptions'!$D28:$DT29,2,FALSE))</f>
        <v>-3333.3333333333335</v>
      </c>
      <c r="Q9" s="21">
        <f>IF(Q$4&lt;'Platform Assumptions'!$D$28,0,HLOOKUP(Q$4,'Platform Assumptions'!$D28:$DT29,2,FALSE))</f>
        <v>6250</v>
      </c>
      <c r="R9" s="21">
        <f>IF(R$4&lt;'Platform Assumptions'!$D$28,0,HLOOKUP(R$4,'Platform Assumptions'!$D28:$DT29,2,FALSE))</f>
        <v>6250</v>
      </c>
      <c r="S9" s="21">
        <f>IF(S$4&lt;'Platform Assumptions'!$D$28,0,HLOOKUP(S$4,'Platform Assumptions'!$D28:$DT29,2,FALSE))</f>
        <v>6250</v>
      </c>
      <c r="T9" s="21">
        <f>IF(T$4&lt;'Platform Assumptions'!$D$28,0,HLOOKUP(T$4,'Platform Assumptions'!$D28:$DT29,2,FALSE))</f>
        <v>6250</v>
      </c>
      <c r="U9" s="21">
        <f>IF(U$4&lt;'Platform Assumptions'!$D$28,0,HLOOKUP(U$4,'Platform Assumptions'!$D28:$DT29,2,FALSE))</f>
        <v>6250</v>
      </c>
      <c r="V9" s="21">
        <f>IF(V$4&lt;'Platform Assumptions'!$D$28,0,HLOOKUP(V$4,'Platform Assumptions'!$D28:$DT29,2,FALSE))</f>
        <v>6250</v>
      </c>
      <c r="W9" s="21">
        <f>IF(W$4&lt;'Platform Assumptions'!$D$28,0,HLOOKUP(W$4,'Platform Assumptions'!$D28:$DT29,2,FALSE))</f>
        <v>6250</v>
      </c>
      <c r="X9" s="21">
        <f>IF(X$4&lt;'Platform Assumptions'!$D$28,0,HLOOKUP(X$4,'Platform Assumptions'!$D28:$DT29,2,FALSE))</f>
        <v>6250</v>
      </c>
      <c r="Y9" s="21">
        <f>IF(Y$4&lt;'Platform Assumptions'!$D$28,0,HLOOKUP(Y$4,'Platform Assumptions'!$D28:$DT29,2,FALSE))</f>
        <v>6250</v>
      </c>
      <c r="Z9" s="21">
        <f>IF(Z$4&lt;'Platform Assumptions'!$D$28,0,HLOOKUP(Z$4,'Platform Assumptions'!$D28:$DT29,2,FALSE))</f>
        <v>6250</v>
      </c>
      <c r="AA9" s="21">
        <f>IF(AA$4&lt;'Platform Assumptions'!$D$28,0,HLOOKUP(AA$4,'Platform Assumptions'!$D28:$DT29,2,FALSE))</f>
        <v>6250</v>
      </c>
      <c r="AB9" s="21">
        <f>IF(AB$4&lt;'Platform Assumptions'!$D$28,0,HLOOKUP(AB$4,'Platform Assumptions'!$D28:$DT29,2,FALSE))</f>
        <v>6250</v>
      </c>
      <c r="AC9" s="21">
        <f>IF(AC$4&lt;'Platform Assumptions'!$D$28,0,HLOOKUP(AC$4,'Platform Assumptions'!$D28:$DT29,2,FALSE))</f>
        <v>37500</v>
      </c>
      <c r="AD9" s="21">
        <f>IF(AD$4&lt;'Platform Assumptions'!$D$28,0,HLOOKUP(AD$4,'Platform Assumptions'!$D28:$DT29,2,FALSE))</f>
        <v>0</v>
      </c>
      <c r="AE9" s="21">
        <f>IF(AE$4&lt;'Platform Assumptions'!$D$28,0,HLOOKUP(AE$4,'Platform Assumptions'!$D28:$DT29,2,FALSE))</f>
        <v>0</v>
      </c>
      <c r="AF9" s="21">
        <f>IF(AF$4&lt;'Platform Assumptions'!$D$28,0,HLOOKUP(AF$4,'Platform Assumptions'!$D28:$DT29,2,FALSE))</f>
        <v>0</v>
      </c>
      <c r="AG9" s="21">
        <f>IF(AG$4&lt;'Platform Assumptions'!$D$28,0,HLOOKUP(AG$4,'Platform Assumptions'!$D28:$DT29,2,FALSE))</f>
        <v>0</v>
      </c>
      <c r="AH9" s="21">
        <f>IF(AH$4&lt;'Platform Assumptions'!$D$28,0,HLOOKUP(AH$4,'Platform Assumptions'!$D28:$DT29,2,FALSE))</f>
        <v>0</v>
      </c>
      <c r="AI9" s="21">
        <f>IF(AI$4&lt;'Platform Assumptions'!$D$28,0,HLOOKUP(AI$4,'Platform Assumptions'!$D28:$DT29,2,FALSE))</f>
        <v>1350000</v>
      </c>
      <c r="AJ9" s="21">
        <f>IF(AJ$4&lt;'Platform Assumptions'!$D$28,0,HLOOKUP(AJ$4,'Platform Assumptions'!$D28:$DT29,2,FALSE))</f>
        <v>0</v>
      </c>
      <c r="AK9" s="21">
        <f>IF(AK$4&lt;'Platform Assumptions'!$D$28,0,HLOOKUP(AK$4,'Platform Assumptions'!$D28:$DT29,2,FALSE))</f>
        <v>0</v>
      </c>
      <c r="AL9" s="21">
        <f>IF(AL$4&lt;'Platform Assumptions'!$D$28,0,HLOOKUP(AL$4,'Platform Assumptions'!$D28:$DT29,2,FALSE))</f>
        <v>9851.3671875</v>
      </c>
      <c r="AM9" s="21">
        <f>IF(AM$4&lt;'Platform Assumptions'!$D$28,0,HLOOKUP(AM$4,'Platform Assumptions'!$D28:$DT29,2,FALSE))</f>
        <v>9851.3671875</v>
      </c>
      <c r="AN9" s="21">
        <f>IF(AN$4&lt;'Platform Assumptions'!$D$28,0,HLOOKUP(AN$4,'Platform Assumptions'!$D28:$DT29,2,FALSE))</f>
        <v>9851.3671875</v>
      </c>
      <c r="AO9" s="21">
        <f>IF(AO$4&lt;'Platform Assumptions'!$D$28,0,HLOOKUP(AO$4,'Platform Assumptions'!$D28:$DT29,2,FALSE))</f>
        <v>9851.3671875</v>
      </c>
      <c r="AP9" s="21">
        <f>IF(AP$4&lt;'Platform Assumptions'!$D$28,0,HLOOKUP(AP$4,'Platform Assumptions'!$D28:$DT29,2,FALSE))</f>
        <v>9851.3671875</v>
      </c>
      <c r="AQ9" s="21">
        <f>IF(AQ$4&lt;'Platform Assumptions'!$D$28,0,HLOOKUP(AQ$4,'Platform Assumptions'!$D28:$DT29,2,FALSE))</f>
        <v>9851.3671875</v>
      </c>
      <c r="AR9" s="21">
        <f>IF(AR$4&lt;'Platform Assumptions'!$D$28,0,HLOOKUP(AR$4,'Platform Assumptions'!$D28:$DT29,2,FALSE))</f>
        <v>9851.3671875</v>
      </c>
      <c r="AS9" s="21">
        <f>IF(AS$4&lt;'Platform Assumptions'!$D$28,0,HLOOKUP(AS$4,'Platform Assumptions'!$D28:$DT29,2,FALSE))</f>
        <v>9851.3671875</v>
      </c>
      <c r="AT9" s="21">
        <f>IF(AT$4&lt;'Platform Assumptions'!$D$28,0,HLOOKUP(AT$4,'Platform Assumptions'!$D28:$DT29,2,FALSE))</f>
        <v>9851.3671875</v>
      </c>
      <c r="AU9" s="21">
        <f>IF(AU$4&lt;'Platform Assumptions'!$D$28,0,HLOOKUP(AU$4,'Platform Assumptions'!$D28:$DT29,2,FALSE))</f>
        <v>9851.3671875</v>
      </c>
      <c r="AV9" s="21">
        <f>IF(AV$4&lt;'Platform Assumptions'!$D$28,0,HLOOKUP(AV$4,'Platform Assumptions'!$D28:$DT29,2,FALSE))</f>
        <v>9851.3671875</v>
      </c>
      <c r="AW9" s="21">
        <f>IF(AW$4&lt;'Platform Assumptions'!$D$28,0,HLOOKUP(AW$4,'Platform Assumptions'!$D28:$DT29,2,FALSE))</f>
        <v>9851.3671875</v>
      </c>
      <c r="AX9" s="21">
        <f>IF(AX$4&lt;'Platform Assumptions'!$D$28,0,HLOOKUP(AX$4,'Platform Assumptions'!$D28:$DT29,2,FALSE))</f>
        <v>9851.3671875</v>
      </c>
      <c r="AY9" s="21">
        <f>IF(AY$4&lt;'Platform Assumptions'!$D$28,0,HLOOKUP(AY$4,'Platform Assumptions'!$D28:$DT29,2,FALSE))</f>
        <v>9851.3671875</v>
      </c>
      <c r="AZ9" s="21">
        <f>IF(AZ$4&lt;'Platform Assumptions'!$D$28,0,HLOOKUP(AZ$4,'Platform Assumptions'!$D28:$DT29,2,FALSE))</f>
        <v>9851.3671875</v>
      </c>
      <c r="BA9" s="21">
        <f>IF(BA$4&lt;'Platform Assumptions'!$D$28,0,HLOOKUP(BA$4,'Platform Assumptions'!$D28:$DT29,2,FALSE))</f>
        <v>9851.3671875</v>
      </c>
      <c r="BB9" s="21">
        <f>IF(BB$4&lt;'Platform Assumptions'!$D$28,0,HLOOKUP(BB$4,'Platform Assumptions'!$D28:$DT29,2,FALSE))</f>
        <v>9851.3671875</v>
      </c>
      <c r="BC9" s="21">
        <f>IF(BC$4&lt;'Platform Assumptions'!$D$28,0,HLOOKUP(BC$4,'Platform Assumptions'!$D28:$DT29,2,FALSE))</f>
        <v>9851.3671875</v>
      </c>
      <c r="BD9" s="21">
        <f>IF(BD$4&lt;'Platform Assumptions'!$D$28,0,HLOOKUP(BD$4,'Platform Assumptions'!$D28:$DT29,2,FALSE))</f>
        <v>21035.69370372003</v>
      </c>
      <c r="BE9" s="21">
        <f>IF(BE$4&lt;'Platform Assumptions'!$D$28,0,HLOOKUP(BE$4,'Platform Assumptions'!$D28:$DT29,2,FALSE))</f>
        <v>21035.69370372003</v>
      </c>
      <c r="BF9" s="21">
        <f>IF(BF$4&lt;'Platform Assumptions'!$D$28,0,HLOOKUP(BF$4,'Platform Assumptions'!$D28:$DT29,2,FALSE))</f>
        <v>21035.69370372003</v>
      </c>
      <c r="BG9" s="21">
        <f>IF(BG$4&lt;'Platform Assumptions'!$D$28,0,HLOOKUP(BG$4,'Platform Assumptions'!$D28:$DT29,2,FALSE))</f>
        <v>21035.69370372003</v>
      </c>
      <c r="BH9" s="21">
        <f>IF(BH$4&lt;'Platform Assumptions'!$D$28,0,HLOOKUP(BH$4,'Platform Assumptions'!$D28:$DT29,2,FALSE))</f>
        <v>21035.69370372003</v>
      </c>
      <c r="BI9" s="21">
        <f>IF(BI$4&lt;'Platform Assumptions'!$D$28,0,HLOOKUP(BI$4,'Platform Assumptions'!$D28:$DT29,2,FALSE))</f>
        <v>21035.69370372003</v>
      </c>
      <c r="BJ9" s="21">
        <f>IF(BJ$4&lt;'Platform Assumptions'!$D$28,0,HLOOKUP(BJ$4,'Platform Assumptions'!$D28:$DT29,2,FALSE))</f>
        <v>447829.27832628123</v>
      </c>
      <c r="BK9" s="21">
        <f>IF(BK$4&lt;'Platform Assumptions'!$D$28,0,HLOOKUP(BK$4,'Platform Assumptions'!$D28:$DT29,2,FALSE))</f>
        <v>68812.176774800188</v>
      </c>
      <c r="BL9" s="21">
        <f>IF(BL$4&lt;'Platform Assumptions'!$D$28,0,HLOOKUP(BL$4,'Platform Assumptions'!$D28:$DT29,2,FALSE))</f>
        <v>70062.176774800188</v>
      </c>
      <c r="BM9" s="21">
        <f>IF(BM$4&lt;'Platform Assumptions'!$D$28,0,HLOOKUP(BM$4,'Platform Assumptions'!$D28:$DT29,2,FALSE))</f>
        <v>71312.176774800188</v>
      </c>
      <c r="BN9" s="21">
        <f>IF(BN$4&lt;'Platform Assumptions'!$D$28,0,HLOOKUP(BN$4,'Platform Assumptions'!$D28:$DT29,2,FALSE))</f>
        <v>72562.176774800188</v>
      </c>
      <c r="BO9" s="21">
        <f>IF(BO$4&lt;'Platform Assumptions'!$D$28,0,HLOOKUP(BO$4,'Platform Assumptions'!$D28:$DT29,2,FALSE))</f>
        <v>73812.176774800188</v>
      </c>
      <c r="BP9" s="21">
        <f>IF(BP$4&lt;'Platform Assumptions'!$D$28,0,HLOOKUP(BP$4,'Platform Assumptions'!$D28:$DT29,2,FALSE))</f>
        <v>75062.176774800188</v>
      </c>
      <c r="BQ9" s="21">
        <f>IF(BQ$4&lt;'Platform Assumptions'!$D$28,0,HLOOKUP(BQ$4,'Platform Assumptions'!$D28:$DT29,2,FALSE))</f>
        <v>76312.176774800188</v>
      </c>
      <c r="BR9" s="21">
        <f>IF(BR$4&lt;'Platform Assumptions'!$D$28,0,HLOOKUP(BR$4,'Platform Assumptions'!$D28:$DT29,2,FALSE))</f>
        <v>77562.176774800188</v>
      </c>
      <c r="BS9" s="21">
        <f>IF(BS$4&lt;'Platform Assumptions'!$D$28,0,HLOOKUP(BS$4,'Platform Assumptions'!$D28:$DT29,2,FALSE))</f>
        <v>78812.176774800188</v>
      </c>
      <c r="BT9" s="21">
        <f>IF(BT$4&lt;'Platform Assumptions'!$D$28,0,HLOOKUP(BT$4,'Platform Assumptions'!$D28:$DT29,2,FALSE))</f>
        <v>80062.176774800188</v>
      </c>
      <c r="BU9" s="21">
        <f>IF(BU$4&lt;'Platform Assumptions'!$D$28,0,HLOOKUP(BU$4,'Platform Assumptions'!$D28:$DT29,2,FALSE))</f>
        <v>81312.176774800188</v>
      </c>
      <c r="BV9" s="21">
        <f>IF(BV$4&lt;'Platform Assumptions'!$D$28,0,HLOOKUP(BV$4,'Platform Assumptions'!$D28:$DT29,2,FALSE))</f>
        <v>6750</v>
      </c>
      <c r="BW9" s="21">
        <f>IF(BW$4&lt;'Platform Assumptions'!$D$28,0,HLOOKUP(BW$4,'Platform Assumptions'!$D28:$DT29,2,FALSE))</f>
        <v>6750</v>
      </c>
      <c r="BX9" s="21">
        <f>IF(BX$4&lt;'Platform Assumptions'!$D$28,0,HLOOKUP(BX$4,'Platform Assumptions'!$D28:$DT29,2,FALSE))</f>
        <v>6750</v>
      </c>
      <c r="BY9" s="21">
        <f>IF(BY$4&lt;'Platform Assumptions'!$D$28,0,HLOOKUP(BY$4,'Platform Assumptions'!$D28:$DT29,2,FALSE))</f>
        <v>6750</v>
      </c>
      <c r="BZ9" s="21">
        <f>IF(BZ$4&lt;'Platform Assumptions'!$D$28,0,HLOOKUP(BZ$4,'Platform Assumptions'!$D28:$DT29,2,FALSE))</f>
        <v>6750</v>
      </c>
      <c r="CA9" s="21">
        <f>IF(CA$4&lt;'Platform Assumptions'!$D$28,0,HLOOKUP(CA$4,'Platform Assumptions'!$D28:$DT29,2,FALSE))</f>
        <v>6750</v>
      </c>
      <c r="CB9" s="21">
        <f>IF(CB$4&lt;'Platform Assumptions'!$D$28,0,HLOOKUP(CB$4,'Platform Assumptions'!$D28:$DT29,2,FALSE))</f>
        <v>6750</v>
      </c>
      <c r="CC9" s="21">
        <f>IF(CC$4&lt;'Platform Assumptions'!$D$28,0,HLOOKUP(CC$4,'Platform Assumptions'!$D28:$DT29,2,FALSE))</f>
        <v>6750</v>
      </c>
      <c r="CD9" s="21">
        <f>IF(CD$4&lt;'Platform Assumptions'!$D$28,0,HLOOKUP(CD$4,'Platform Assumptions'!$D28:$DT29,2,FALSE))</f>
        <v>6750</v>
      </c>
      <c r="CE9" s="21">
        <f>IF(CE$4&lt;'Platform Assumptions'!$D$28,0,HLOOKUP(CE$4,'Platform Assumptions'!$D28:$DT29,2,FALSE))</f>
        <v>6750</v>
      </c>
      <c r="CF9" s="21">
        <f>IF(CF$4&lt;'Platform Assumptions'!$D$28,0,HLOOKUP(CF$4,'Platform Assumptions'!$D28:$DT29,2,FALSE))</f>
        <v>6750</v>
      </c>
      <c r="CG9" s="21">
        <f>IF(CG$4&lt;'Platform Assumptions'!$D$28,0,HLOOKUP(CG$4,'Platform Assumptions'!$D28:$DT29,2,FALSE))</f>
        <v>6750</v>
      </c>
      <c r="CH9" s="21">
        <f>IF(CH$4&lt;'Platform Assumptions'!$D$28,0,HLOOKUP(CH$4,'Platform Assumptions'!$D28:$DT29,2,FALSE))</f>
        <v>6750</v>
      </c>
      <c r="CI9" s="21">
        <f>IF(CI$4&lt;'Platform Assumptions'!$D$28,0,HLOOKUP(CI$4,'Platform Assumptions'!$D28:$DT29,2,FALSE))</f>
        <v>6750</v>
      </c>
      <c r="CJ9" s="21">
        <f>IF(CJ$4&lt;'Platform Assumptions'!$D$28,0,HLOOKUP(CJ$4,'Platform Assumptions'!$D28:$DT29,2,FALSE))</f>
        <v>6750</v>
      </c>
      <c r="CK9" s="21">
        <f>IF(CK$4&lt;'Platform Assumptions'!$D$28,0,HLOOKUP(CK$4,'Platform Assumptions'!$D28:$DT29,2,FALSE))</f>
        <v>6750</v>
      </c>
      <c r="CL9" s="21">
        <f>IF(CL$4&lt;'Platform Assumptions'!$D$28,0,HLOOKUP(CL$4,'Platform Assumptions'!$D28:$DT29,2,FALSE))</f>
        <v>6750</v>
      </c>
      <c r="CM9" s="21">
        <f>IF(CM$4&lt;'Platform Assumptions'!$D$28,0,HLOOKUP(CM$4,'Platform Assumptions'!$D28:$DT29,2,FALSE))</f>
        <v>6750</v>
      </c>
      <c r="CN9" s="21">
        <f>IF(CN$4&lt;'Platform Assumptions'!$D$28,0,HLOOKUP(CN$4,'Platform Assumptions'!$D28:$DT29,2,FALSE))</f>
        <v>6750</v>
      </c>
      <c r="CO9" s="21">
        <f>IF(CO$4&lt;'Platform Assumptions'!$D$28,0,HLOOKUP(CO$4,'Platform Assumptions'!$D28:$DT29,2,FALSE))</f>
        <v>6750</v>
      </c>
      <c r="CP9" s="21">
        <f>IF(CP$4&lt;'Platform Assumptions'!$D$28,0,HLOOKUP(CP$4,'Platform Assumptions'!$D28:$DT29,2,FALSE))</f>
        <v>6750</v>
      </c>
      <c r="CQ9" s="21">
        <f>IF(CQ$4&lt;'Platform Assumptions'!$D$28,0,HLOOKUP(CQ$4,'Platform Assumptions'!$D28:$DT29,2,FALSE))</f>
        <v>6750</v>
      </c>
      <c r="CR9" s="21">
        <f>IF(CR$4&lt;'Platform Assumptions'!$D$28,0,HLOOKUP(CR$4,'Platform Assumptions'!$D28:$DT29,2,FALSE))</f>
        <v>6750</v>
      </c>
      <c r="CS9" s="21">
        <f>IF(CS$4&lt;'Platform Assumptions'!$D$28,0,HLOOKUP(CS$4,'Platform Assumptions'!$D28:$DT29,2,FALSE))</f>
        <v>6750</v>
      </c>
      <c r="CT9" s="21">
        <f>IF(CT$4&lt;'Platform Assumptions'!$D$28,0,HLOOKUP(CT$4,'Platform Assumptions'!$D28:$DT29,2,FALSE))</f>
        <v>6750</v>
      </c>
      <c r="CU9" s="21">
        <f>IF(CU$4&lt;'Platform Assumptions'!$D$28,0,HLOOKUP(CU$4,'Platform Assumptions'!$D28:$DT29,2,FALSE))</f>
        <v>6750</v>
      </c>
      <c r="CV9" s="21">
        <f>IF(CV$4&lt;'Platform Assumptions'!$D$28,0,HLOOKUP(CV$4,'Platform Assumptions'!$D28:$DT29,2,FALSE))</f>
        <v>6750</v>
      </c>
      <c r="CW9" s="21">
        <f>IF(CW$4&lt;'Platform Assumptions'!$D$28,0,HLOOKUP(CW$4,'Platform Assumptions'!$D28:$DT29,2,FALSE))</f>
        <v>6750</v>
      </c>
      <c r="CX9" s="21">
        <f>IF(CX$4&lt;'Platform Assumptions'!$D$28,0,HLOOKUP(CX$4,'Platform Assumptions'!$D28:$DT29,2,FALSE))</f>
        <v>6750</v>
      </c>
      <c r="CY9" s="21">
        <f>IF(CY$4&lt;'Platform Assumptions'!$D$28,0,HLOOKUP(CY$4,'Platform Assumptions'!$D28:$DT29,2,FALSE))</f>
        <v>6750</v>
      </c>
      <c r="CZ9" s="21">
        <f>IF(CZ$4&lt;'Platform Assumptions'!$D$28,0,HLOOKUP(CZ$4,'Platform Assumptions'!$D28:$DT29,2,FALSE))</f>
        <v>6750</v>
      </c>
      <c r="DA9" s="21">
        <f>IF(DA$4&lt;'Platform Assumptions'!$D$28,0,HLOOKUP(DA$4,'Platform Assumptions'!$D28:$DT29,2,FALSE))</f>
        <v>6750</v>
      </c>
      <c r="DB9" s="21">
        <f>IF(DB$4&lt;'Platform Assumptions'!$D$28,0,HLOOKUP(DB$4,'Platform Assumptions'!$D28:$DT29,2,FALSE))</f>
        <v>6750</v>
      </c>
      <c r="DC9" s="21">
        <f>IF(DC$4&lt;'Platform Assumptions'!$D$28,0,HLOOKUP(DC$4,'Platform Assumptions'!$D28:$DT29,2,FALSE))</f>
        <v>6750</v>
      </c>
      <c r="DD9" s="21">
        <f>IF(DD$4&lt;'Platform Assumptions'!$D$28,0,HLOOKUP(DD$4,'Platform Assumptions'!$D28:$DT29,2,FALSE))</f>
        <v>6750</v>
      </c>
      <c r="DE9" s="21">
        <f>IF(DE$4&lt;'Platform Assumptions'!$D$28,0,HLOOKUP(DE$4,'Platform Assumptions'!$D28:$DT29,2,FALSE))</f>
        <v>6750</v>
      </c>
      <c r="DF9" s="21">
        <f>IF(DF$4&lt;'Platform Assumptions'!$D$28,0,HLOOKUP(DF$4,'Platform Assumptions'!$D28:$DT29,2,FALSE))</f>
        <v>6750</v>
      </c>
      <c r="DG9" s="21">
        <f>IF(DG$4&lt;'Platform Assumptions'!$D$28,0,HLOOKUP(DG$4,'Platform Assumptions'!$D28:$DT29,2,FALSE))</f>
        <v>6750</v>
      </c>
      <c r="DH9" s="21">
        <f>IF(DH$4&lt;'Platform Assumptions'!$D$28,0,HLOOKUP(DH$4,'Platform Assumptions'!$D28:$DT29,2,FALSE))</f>
        <v>6750</v>
      </c>
      <c r="DI9" s="21">
        <f>IF(DI$4&lt;'Platform Assumptions'!$D$28,0,HLOOKUP(DI$4,'Platform Assumptions'!$D28:$DT29,2,FALSE))</f>
        <v>6750</v>
      </c>
      <c r="DJ9" s="21">
        <f>IF(DJ$4&lt;'Platform Assumptions'!$D$28,0,HLOOKUP(DJ$4,'Platform Assumptions'!$D28:$DT29,2,FALSE))</f>
        <v>6750</v>
      </c>
      <c r="DK9" s="21">
        <f>IF(DK$4&lt;'Platform Assumptions'!$D$28,0,HLOOKUP(DK$4,'Platform Assumptions'!$D28:$DT29,2,FALSE))</f>
        <v>6750</v>
      </c>
      <c r="DL9" s="21">
        <f>IF(DL$4&lt;'Platform Assumptions'!$D$28,0,HLOOKUP(DL$4,'Platform Assumptions'!$D28:$DT29,2,FALSE))</f>
        <v>6750</v>
      </c>
      <c r="DM9" s="21">
        <f>IF(DM$4&lt;'Platform Assumptions'!$D$28,0,HLOOKUP(DM$4,'Platform Assumptions'!$D28:$DT29,2,FALSE))</f>
        <v>6750</v>
      </c>
      <c r="DN9" s="21">
        <f>IF(DN$4&lt;'Platform Assumptions'!$D$28,0,HLOOKUP(DN$4,'Platform Assumptions'!$D28:$DT29,2,FALSE))</f>
        <v>6750</v>
      </c>
      <c r="DO9" s="21">
        <f>IF(DO$4&lt;'Platform Assumptions'!$D$28,0,HLOOKUP(DO$4,'Platform Assumptions'!$D28:$DT29,2,FALSE))</f>
        <v>6750</v>
      </c>
      <c r="DP9" s="21">
        <f>IF(DP$4&lt;'Platform Assumptions'!$D$28,0,HLOOKUP(DP$4,'Platform Assumptions'!$D28:$DT29,2,FALSE))</f>
        <v>6750</v>
      </c>
      <c r="DQ9" s="21">
        <f>IF(DQ$4&lt;'Platform Assumptions'!$D$28,0,HLOOKUP(DQ$4,'Platform Assumptions'!$D28:$DT29,2,FALSE))</f>
        <v>6750</v>
      </c>
      <c r="DR9" s="21">
        <f>IF(DR$4&lt;'Platform Assumptions'!$D$28,0,HLOOKUP(DR$4,'Platform Assumptions'!$D28:$DT29,2,FALSE))</f>
        <v>0</v>
      </c>
      <c r="DS9" s="21">
        <f>IF(DS$4&lt;'Platform Assumptions'!$D$28,0,HLOOKUP(DS$4,'Platform Assumptions'!$D28:$DT29,2,FALSE))</f>
        <v>0</v>
      </c>
      <c r="DT9" s="21">
        <f>IF(DT$4&lt;'Platform Assumptions'!$D$28,0,HLOOKUP(DT$4,'Platform Assumptions'!$D28:$DT29,2,FALSE))</f>
        <v>0</v>
      </c>
      <c r="DU9" s="21">
        <f>IF(DU$4&lt;'Platform Assumptions'!$D$28,0,HLOOKUP(DU$4,'Platform Assumptions'!$D28:$DT29,2,FALSE))</f>
        <v>0</v>
      </c>
      <c r="DV9" s="21"/>
    </row>
    <row r="10" spans="3:126" s="3" customFormat="1" ht="22.95" customHeight="1">
      <c r="C10" s="104">
        <f t="shared" si="9"/>
        <v>4</v>
      </c>
      <c r="D10" s="77">
        <f t="shared" si="8"/>
        <v>104999.99999999999</v>
      </c>
      <c r="E10" s="21">
        <f>IF(E$4&lt;'Platform Assumptions'!$D$31,0,HLOOKUP(E$4,'Platform Assumptions'!$D31:$DT32,2,FALSE))</f>
        <v>0</v>
      </c>
      <c r="F10" s="21">
        <f>IF(F$4&lt;'Platform Assumptions'!$D$31,0,HLOOKUP(F$4,'Platform Assumptions'!$D31:$DT32,2,FALSE))</f>
        <v>0</v>
      </c>
      <c r="G10" s="21">
        <f>IF(G$4&lt;'Platform Assumptions'!$D$31,0,HLOOKUP(G$4,'Platform Assumptions'!$D31:$DT32,2,FALSE))</f>
        <v>0</v>
      </c>
      <c r="H10" s="21">
        <f>IF(H$4&lt;'Platform Assumptions'!$D$31,0,HLOOKUP(H$4,'Platform Assumptions'!$D31:$DT32,2,FALSE))</f>
        <v>0</v>
      </c>
      <c r="I10" s="21">
        <f>IF(I$4&lt;'Platform Assumptions'!$D$31,0,HLOOKUP(I$4,'Platform Assumptions'!$D31:$DT32,2,FALSE))</f>
        <v>0</v>
      </c>
      <c r="J10" s="21">
        <f>IF(J$4&lt;'Platform Assumptions'!$D$31,0,HLOOKUP(J$4,'Platform Assumptions'!$D31:$DT32,2,FALSE))</f>
        <v>0</v>
      </c>
      <c r="K10" s="21">
        <f>IF(K$4&lt;'Platform Assumptions'!$D$31,0,HLOOKUP(K$4,'Platform Assumptions'!$D31:$DT32,2,FALSE))</f>
        <v>0</v>
      </c>
      <c r="L10" s="21">
        <f>IF(L$4&lt;'Platform Assumptions'!$D$31,0,HLOOKUP(L$4,'Platform Assumptions'!$D31:$DT32,2,FALSE))</f>
        <v>0</v>
      </c>
      <c r="M10" s="21">
        <f>IF(M$4&lt;'Platform Assumptions'!$D$31,0,HLOOKUP(M$4,'Platform Assumptions'!$D31:$DT32,2,FALSE))</f>
        <v>0</v>
      </c>
      <c r="N10" s="21">
        <f>IF(N$4&lt;'Platform Assumptions'!$D$31,0,HLOOKUP(N$4,'Platform Assumptions'!$D31:$DT32,2,FALSE))</f>
        <v>46666.666666666664</v>
      </c>
      <c r="O10" s="21">
        <f>IF(O$4&lt;'Platform Assumptions'!$D$31,0,HLOOKUP(O$4,'Platform Assumptions'!$D31:$DT32,2,FALSE))</f>
        <v>-3333.3333333333335</v>
      </c>
      <c r="P10" s="21">
        <f>IF(P$4&lt;'Platform Assumptions'!$D$31,0,HLOOKUP(P$4,'Platform Assumptions'!$D31:$DT32,2,FALSE))</f>
        <v>-3333.3333333333335</v>
      </c>
      <c r="Q10" s="21">
        <f>IF(Q$4&lt;'Platform Assumptions'!$D$31,0,HLOOKUP(Q$4,'Platform Assumptions'!$D31:$DT32,2,FALSE))</f>
        <v>-3333.3333333333335</v>
      </c>
      <c r="R10" s="21">
        <f>IF(R$4&lt;'Platform Assumptions'!$D$31,0,HLOOKUP(R$4,'Platform Assumptions'!$D31:$DT32,2,FALSE))</f>
        <v>-3333.3333333333335</v>
      </c>
      <c r="S10" s="21">
        <f>IF(S$4&lt;'Platform Assumptions'!$D$31,0,HLOOKUP(S$4,'Platform Assumptions'!$D31:$DT32,2,FALSE))</f>
        <v>-3333.3333333333335</v>
      </c>
      <c r="T10" s="21">
        <f>IF(T$4&lt;'Platform Assumptions'!$D$31,0,HLOOKUP(T$4,'Platform Assumptions'!$D31:$DT32,2,FALSE))</f>
        <v>6250</v>
      </c>
      <c r="U10" s="21">
        <f>IF(U$4&lt;'Platform Assumptions'!$D$31,0,HLOOKUP(U$4,'Platform Assumptions'!$D31:$DT32,2,FALSE))</f>
        <v>6250</v>
      </c>
      <c r="V10" s="21">
        <f>IF(V$4&lt;'Platform Assumptions'!$D$31,0,HLOOKUP(V$4,'Platform Assumptions'!$D31:$DT32,2,FALSE))</f>
        <v>6250</v>
      </c>
      <c r="W10" s="21">
        <f>IF(W$4&lt;'Platform Assumptions'!$D$31,0,HLOOKUP(W$4,'Platform Assumptions'!$D31:$DT32,2,FALSE))</f>
        <v>6250</v>
      </c>
      <c r="X10" s="21">
        <f>IF(X$4&lt;'Platform Assumptions'!$D$31,0,HLOOKUP(X$4,'Platform Assumptions'!$D31:$DT32,2,FALSE))</f>
        <v>6250</v>
      </c>
      <c r="Y10" s="21">
        <f>IF(Y$4&lt;'Platform Assumptions'!$D$31,0,HLOOKUP(Y$4,'Platform Assumptions'!$D31:$DT32,2,FALSE))</f>
        <v>6250</v>
      </c>
      <c r="Z10" s="21">
        <f>IF(Z$4&lt;'Platform Assumptions'!$D$31,0,HLOOKUP(Z$4,'Platform Assumptions'!$D31:$DT32,2,FALSE))</f>
        <v>6250</v>
      </c>
      <c r="AA10" s="21">
        <f>IF(AA$4&lt;'Platform Assumptions'!$D$31,0,HLOOKUP(AA$4,'Platform Assumptions'!$D31:$DT32,2,FALSE))</f>
        <v>6250</v>
      </c>
      <c r="AB10" s="21">
        <f>IF(AB$4&lt;'Platform Assumptions'!$D$31,0,HLOOKUP(AB$4,'Platform Assumptions'!$D31:$DT32,2,FALSE))</f>
        <v>6250</v>
      </c>
      <c r="AC10" s="21">
        <f>IF(AC$4&lt;'Platform Assumptions'!$D$31,0,HLOOKUP(AC$4,'Platform Assumptions'!$D31:$DT32,2,FALSE))</f>
        <v>6250</v>
      </c>
      <c r="AD10" s="21">
        <f>IF(AD$4&lt;'Platform Assumptions'!$D$31,0,HLOOKUP(AD$4,'Platform Assumptions'!$D31:$DT32,2,FALSE))</f>
        <v>6250</v>
      </c>
      <c r="AE10" s="21">
        <f>IF(AE$4&lt;'Platform Assumptions'!$D$31,0,HLOOKUP(AE$4,'Platform Assumptions'!$D31:$DT32,2,FALSE))</f>
        <v>6250</v>
      </c>
      <c r="AF10" s="21">
        <f>IF(AF$4&lt;'Platform Assumptions'!$D$31,0,HLOOKUP(AF$4,'Platform Assumptions'!$D31:$DT32,2,FALSE))</f>
        <v>0</v>
      </c>
      <c r="AG10" s="21">
        <f>IF(AG$4&lt;'Platform Assumptions'!$D$31,0,HLOOKUP(AG$4,'Platform Assumptions'!$D31:$DT32,2,FALSE))</f>
        <v>0</v>
      </c>
      <c r="AH10" s="21">
        <f>IF(AH$4&lt;'Platform Assumptions'!$D$31,0,HLOOKUP(AH$4,'Platform Assumptions'!$D31:$DT32,2,FALSE))</f>
        <v>0</v>
      </c>
      <c r="AI10" s="21">
        <f>IF(AI$4&lt;'Platform Assumptions'!$D$31,0,HLOOKUP(AI$4,'Platform Assumptions'!$D31:$DT32,2,FALSE))</f>
        <v>0</v>
      </c>
      <c r="AJ10" s="21">
        <f>IF(AJ$4&lt;'Platform Assumptions'!$D$31,0,HLOOKUP(AJ$4,'Platform Assumptions'!$D31:$DT32,2,FALSE))</f>
        <v>0</v>
      </c>
      <c r="AK10" s="21">
        <f>IF(AK$4&lt;'Platform Assumptions'!$D$31,0,HLOOKUP(AK$4,'Platform Assumptions'!$D31:$DT32,2,FALSE))</f>
        <v>0</v>
      </c>
      <c r="AL10" s="21">
        <f>IF(AL$4&lt;'Platform Assumptions'!$D$31,0,HLOOKUP(AL$4,'Platform Assumptions'!$D31:$DT32,2,FALSE))</f>
        <v>0</v>
      </c>
      <c r="AM10" s="21">
        <f>IF(AM$4&lt;'Platform Assumptions'!$D$31,0,HLOOKUP(AM$4,'Platform Assumptions'!$D31:$DT32,2,FALSE))</f>
        <v>0</v>
      </c>
      <c r="AN10" s="21">
        <f>IF(AN$4&lt;'Platform Assumptions'!$D$31,0,HLOOKUP(AN$4,'Platform Assumptions'!$D31:$DT32,2,FALSE))</f>
        <v>0</v>
      </c>
      <c r="AO10" s="21">
        <f>IF(AO$4&lt;'Platform Assumptions'!$D$31,0,HLOOKUP(AO$4,'Platform Assumptions'!$D31:$DT32,2,FALSE))</f>
        <v>0</v>
      </c>
      <c r="AP10" s="21">
        <f>IF(AP$4&lt;'Platform Assumptions'!$D$31,0,HLOOKUP(AP$4,'Platform Assumptions'!$D31:$DT32,2,FALSE))</f>
        <v>0</v>
      </c>
      <c r="AQ10" s="21">
        <f>IF(AQ$4&lt;'Platform Assumptions'!$D$31,0,HLOOKUP(AQ$4,'Platform Assumptions'!$D31:$DT32,2,FALSE))</f>
        <v>0</v>
      </c>
      <c r="AR10" s="21">
        <f>IF(AR$4&lt;'Platform Assumptions'!$D$31,0,HLOOKUP(AR$4,'Platform Assumptions'!$D31:$DT32,2,FALSE))</f>
        <v>0</v>
      </c>
      <c r="AS10" s="21">
        <f>IF(AS$4&lt;'Platform Assumptions'!$D$31,0,HLOOKUP(AS$4,'Platform Assumptions'!$D31:$DT32,2,FALSE))</f>
        <v>0</v>
      </c>
      <c r="AT10" s="21">
        <f>IF(AT$4&lt;'Platform Assumptions'!$D$31,0,HLOOKUP(AT$4,'Platform Assumptions'!$D31:$DT32,2,FALSE))</f>
        <v>0</v>
      </c>
      <c r="AU10" s="21">
        <f>IF(AU$4&lt;'Platform Assumptions'!$D$31,0,HLOOKUP(AU$4,'Platform Assumptions'!$D31:$DT32,2,FALSE))</f>
        <v>0</v>
      </c>
      <c r="AV10" s="21">
        <f>IF(AV$4&lt;'Platform Assumptions'!$D$31,0,HLOOKUP(AV$4,'Platform Assumptions'!$D31:$DT32,2,FALSE))</f>
        <v>0</v>
      </c>
      <c r="AW10" s="21">
        <f>IF(AW$4&lt;'Platform Assumptions'!$D$31,0,HLOOKUP(AW$4,'Platform Assumptions'!$D31:$DT32,2,FALSE))</f>
        <v>0</v>
      </c>
      <c r="AX10" s="21">
        <f>IF(AX$4&lt;'Platform Assumptions'!$D$31,0,HLOOKUP(AX$4,'Platform Assumptions'!$D31:$DT32,2,FALSE))</f>
        <v>0</v>
      </c>
      <c r="AY10" s="21">
        <f>IF(AY$4&lt;'Platform Assumptions'!$D$31,0,HLOOKUP(AY$4,'Platform Assumptions'!$D31:$DT32,2,FALSE))</f>
        <v>0</v>
      </c>
      <c r="AZ10" s="21">
        <f>IF(AZ$4&lt;'Platform Assumptions'!$D$31,0,HLOOKUP(AZ$4,'Platform Assumptions'!$D31:$DT32,2,FALSE))</f>
        <v>0</v>
      </c>
      <c r="BA10" s="21">
        <f>IF(BA$4&lt;'Platform Assumptions'!$D$31,0,HLOOKUP(BA$4,'Platform Assumptions'!$D31:$DT32,2,FALSE))</f>
        <v>0</v>
      </c>
      <c r="BB10" s="21">
        <f>IF(BB$4&lt;'Platform Assumptions'!$D$31,0,HLOOKUP(BB$4,'Platform Assumptions'!$D31:$DT32,2,FALSE))</f>
        <v>0</v>
      </c>
      <c r="BC10" s="21">
        <f>IF(BC$4&lt;'Platform Assumptions'!$D$31,0,HLOOKUP(BC$4,'Platform Assumptions'!$D31:$DT32,2,FALSE))</f>
        <v>0</v>
      </c>
      <c r="BD10" s="21">
        <f>IF(BD$4&lt;'Platform Assumptions'!$D$31,0,HLOOKUP(BD$4,'Platform Assumptions'!$D31:$DT32,2,FALSE))</f>
        <v>0</v>
      </c>
      <c r="BE10" s="21">
        <f>IF(BE$4&lt;'Platform Assumptions'!$D$31,0,HLOOKUP(BE$4,'Platform Assumptions'!$D31:$DT32,2,FALSE))</f>
        <v>0</v>
      </c>
      <c r="BF10" s="21">
        <f>IF(BF$4&lt;'Platform Assumptions'!$D$31,0,HLOOKUP(BF$4,'Platform Assumptions'!$D31:$DT32,2,FALSE))</f>
        <v>0</v>
      </c>
      <c r="BG10" s="21">
        <f>IF(BG$4&lt;'Platform Assumptions'!$D$31,0,HLOOKUP(BG$4,'Platform Assumptions'!$D31:$DT32,2,FALSE))</f>
        <v>0</v>
      </c>
      <c r="BH10" s="21">
        <f>IF(BH$4&lt;'Platform Assumptions'!$D$31,0,HLOOKUP(BH$4,'Platform Assumptions'!$D31:$DT32,2,FALSE))</f>
        <v>0</v>
      </c>
      <c r="BI10" s="21">
        <f>IF(BI$4&lt;'Platform Assumptions'!$D$31,0,HLOOKUP(BI$4,'Platform Assumptions'!$D31:$DT32,2,FALSE))</f>
        <v>0</v>
      </c>
      <c r="BJ10" s="21">
        <f>IF(BJ$4&lt;'Platform Assumptions'!$D$31,0,HLOOKUP(BJ$4,'Platform Assumptions'!$D31:$DT32,2,FALSE))</f>
        <v>0</v>
      </c>
      <c r="BK10" s="21">
        <f>IF(BK$4&lt;'Platform Assumptions'!$D$31,0,HLOOKUP(BK$4,'Platform Assumptions'!$D31:$DT32,2,FALSE))</f>
        <v>0</v>
      </c>
      <c r="BL10" s="21">
        <f>IF(BL$4&lt;'Platform Assumptions'!$D$31,0,HLOOKUP(BL$4,'Platform Assumptions'!$D31:$DT32,2,FALSE))</f>
        <v>0</v>
      </c>
      <c r="BM10" s="21">
        <f>IF(BM$4&lt;'Platform Assumptions'!$D$31,0,HLOOKUP(BM$4,'Platform Assumptions'!$D31:$DT32,2,FALSE))</f>
        <v>0</v>
      </c>
      <c r="BN10" s="21">
        <f>IF(BN$4&lt;'Platform Assumptions'!$D$31,0,HLOOKUP(BN$4,'Platform Assumptions'!$D31:$DT32,2,FALSE))</f>
        <v>0</v>
      </c>
      <c r="BO10" s="21">
        <f>IF(BO$4&lt;'Platform Assumptions'!$D$31,0,HLOOKUP(BO$4,'Platform Assumptions'!$D31:$DT32,2,FALSE))</f>
        <v>0</v>
      </c>
      <c r="BP10" s="21">
        <f>IF(BP$4&lt;'Platform Assumptions'!$D$31,0,HLOOKUP(BP$4,'Platform Assumptions'!$D31:$DT32,2,FALSE))</f>
        <v>0</v>
      </c>
      <c r="BQ10" s="21">
        <f>IF(BQ$4&lt;'Platform Assumptions'!$D$31,0,HLOOKUP(BQ$4,'Platform Assumptions'!$D31:$DT32,2,FALSE))</f>
        <v>0</v>
      </c>
      <c r="BR10" s="21">
        <f>IF(BR$4&lt;'Platform Assumptions'!$D$31,0,HLOOKUP(BR$4,'Platform Assumptions'!$D31:$DT32,2,FALSE))</f>
        <v>0</v>
      </c>
      <c r="BS10" s="21">
        <f>IF(BS$4&lt;'Platform Assumptions'!$D$31,0,HLOOKUP(BS$4,'Platform Assumptions'!$D31:$DT32,2,FALSE))</f>
        <v>0</v>
      </c>
      <c r="BT10" s="21">
        <f>IF(BT$4&lt;'Platform Assumptions'!$D$31,0,HLOOKUP(BT$4,'Platform Assumptions'!$D31:$DT32,2,FALSE))</f>
        <v>0</v>
      </c>
      <c r="BU10" s="21">
        <f>IF(BU$4&lt;'Platform Assumptions'!$D$31,0,HLOOKUP(BU$4,'Platform Assumptions'!$D31:$DT32,2,FALSE))</f>
        <v>0</v>
      </c>
      <c r="BV10" s="21">
        <f>IF(BV$4&lt;'Platform Assumptions'!$D$31,0,HLOOKUP(BV$4,'Platform Assumptions'!$D31:$DT32,2,FALSE))</f>
        <v>0</v>
      </c>
      <c r="BW10" s="21">
        <f>IF(BW$4&lt;'Platform Assumptions'!$D$31,0,HLOOKUP(BW$4,'Platform Assumptions'!$D31:$DT32,2,FALSE))</f>
        <v>0</v>
      </c>
      <c r="BX10" s="21">
        <f>IF(BX$4&lt;'Platform Assumptions'!$D$31,0,HLOOKUP(BX$4,'Platform Assumptions'!$D31:$DT32,2,FALSE))</f>
        <v>0</v>
      </c>
      <c r="BY10" s="21">
        <f>IF(BY$4&lt;'Platform Assumptions'!$D$31,0,HLOOKUP(BY$4,'Platform Assumptions'!$D31:$DT32,2,FALSE))</f>
        <v>0</v>
      </c>
      <c r="BZ10" s="21">
        <f>IF(BZ$4&lt;'Platform Assumptions'!$D$31,0,HLOOKUP(BZ$4,'Platform Assumptions'!$D31:$DT32,2,FALSE))</f>
        <v>0</v>
      </c>
      <c r="CA10" s="21">
        <f>IF(CA$4&lt;'Platform Assumptions'!$D$31,0,HLOOKUP(CA$4,'Platform Assumptions'!$D31:$DT32,2,FALSE))</f>
        <v>0</v>
      </c>
      <c r="CB10" s="21">
        <f>IF(CB$4&lt;'Platform Assumptions'!$D$31,0,HLOOKUP(CB$4,'Platform Assumptions'!$D31:$DT32,2,FALSE))</f>
        <v>0</v>
      </c>
      <c r="CC10" s="21">
        <f>IF(CC$4&lt;'Platform Assumptions'!$D$31,0,HLOOKUP(CC$4,'Platform Assumptions'!$D31:$DT32,2,FALSE))</f>
        <v>0</v>
      </c>
      <c r="CD10" s="21">
        <f>IF(CD$4&lt;'Platform Assumptions'!$D$31,0,HLOOKUP(CD$4,'Platform Assumptions'!$D31:$DT32,2,FALSE))</f>
        <v>0</v>
      </c>
      <c r="CE10" s="21">
        <f>IF(CE$4&lt;'Platform Assumptions'!$D$31,0,HLOOKUP(CE$4,'Platform Assumptions'!$D31:$DT32,2,FALSE))</f>
        <v>0</v>
      </c>
      <c r="CF10" s="21">
        <f>IF(CF$4&lt;'Platform Assumptions'!$D$31,0,HLOOKUP(CF$4,'Platform Assumptions'!$D31:$DT32,2,FALSE))</f>
        <v>0</v>
      </c>
      <c r="CG10" s="21">
        <f>IF(CG$4&lt;'Platform Assumptions'!$D$31,0,HLOOKUP(CG$4,'Platform Assumptions'!$D31:$DT32,2,FALSE))</f>
        <v>0</v>
      </c>
      <c r="CH10" s="21">
        <f>IF(CH$4&lt;'Platform Assumptions'!$D$31,0,HLOOKUP(CH$4,'Platform Assumptions'!$D31:$DT32,2,FALSE))</f>
        <v>0</v>
      </c>
      <c r="CI10" s="21">
        <f>IF(CI$4&lt;'Platform Assumptions'!$D$31,0,HLOOKUP(CI$4,'Platform Assumptions'!$D31:$DT32,2,FALSE))</f>
        <v>0</v>
      </c>
      <c r="CJ10" s="21">
        <f>IF(CJ$4&lt;'Platform Assumptions'!$D$31,0,HLOOKUP(CJ$4,'Platform Assumptions'!$D31:$DT32,2,FALSE))</f>
        <v>0</v>
      </c>
      <c r="CK10" s="21">
        <f>IF(CK$4&lt;'Platform Assumptions'!$D$31,0,HLOOKUP(CK$4,'Platform Assumptions'!$D31:$DT32,2,FALSE))</f>
        <v>0</v>
      </c>
      <c r="CL10" s="21">
        <f>IF(CL$4&lt;'Platform Assumptions'!$D$31,0,HLOOKUP(CL$4,'Platform Assumptions'!$D31:$DT32,2,FALSE))</f>
        <v>0</v>
      </c>
      <c r="CM10" s="21">
        <f>IF(CM$4&lt;'Platform Assumptions'!$D$31,0,HLOOKUP(CM$4,'Platform Assumptions'!$D31:$DT32,2,FALSE))</f>
        <v>0</v>
      </c>
      <c r="CN10" s="21">
        <f>IF(CN$4&lt;'Platform Assumptions'!$D$31,0,HLOOKUP(CN$4,'Platform Assumptions'!$D31:$DT32,2,FALSE))</f>
        <v>0</v>
      </c>
      <c r="CO10" s="21">
        <f>IF(CO$4&lt;'Platform Assumptions'!$D$31,0,HLOOKUP(CO$4,'Platform Assumptions'!$D31:$DT32,2,FALSE))</f>
        <v>0</v>
      </c>
      <c r="CP10" s="21">
        <f>IF(CP$4&lt;'Platform Assumptions'!$D$31,0,HLOOKUP(CP$4,'Platform Assumptions'!$D31:$DT32,2,FALSE))</f>
        <v>0</v>
      </c>
      <c r="CQ10" s="21">
        <f>IF(CQ$4&lt;'Platform Assumptions'!$D$31,0,HLOOKUP(CQ$4,'Platform Assumptions'!$D31:$DT32,2,FALSE))</f>
        <v>0</v>
      </c>
      <c r="CR10" s="21">
        <f>IF(CR$4&lt;'Platform Assumptions'!$D$31,0,HLOOKUP(CR$4,'Platform Assumptions'!$D31:$DT32,2,FALSE))</f>
        <v>0</v>
      </c>
      <c r="CS10" s="21">
        <f>IF(CS$4&lt;'Platform Assumptions'!$D$31,0,HLOOKUP(CS$4,'Platform Assumptions'!$D31:$DT32,2,FALSE))</f>
        <v>0</v>
      </c>
      <c r="CT10" s="21">
        <f>IF(CT$4&lt;'Platform Assumptions'!$D$31,0,HLOOKUP(CT$4,'Platform Assumptions'!$D31:$DT32,2,FALSE))</f>
        <v>0</v>
      </c>
      <c r="CU10" s="21">
        <f>IF(CU$4&lt;'Platform Assumptions'!$D$31,0,HLOOKUP(CU$4,'Platform Assumptions'!$D31:$DT32,2,FALSE))</f>
        <v>0</v>
      </c>
      <c r="CV10" s="21">
        <f>IF(CV$4&lt;'Platform Assumptions'!$D$31,0,HLOOKUP(CV$4,'Platform Assumptions'!$D31:$DT32,2,FALSE))</f>
        <v>0</v>
      </c>
      <c r="CW10" s="21">
        <f>IF(CW$4&lt;'Platform Assumptions'!$D$31,0,HLOOKUP(CW$4,'Platform Assumptions'!$D31:$DT32,2,FALSE))</f>
        <v>0</v>
      </c>
      <c r="CX10" s="21">
        <f>IF(CX$4&lt;'Platform Assumptions'!$D$31,0,HLOOKUP(CX$4,'Platform Assumptions'!$D31:$DT32,2,FALSE))</f>
        <v>0</v>
      </c>
      <c r="CY10" s="21">
        <f>IF(CY$4&lt;'Platform Assumptions'!$D$31,0,HLOOKUP(CY$4,'Platform Assumptions'!$D31:$DT32,2,FALSE))</f>
        <v>0</v>
      </c>
      <c r="CZ10" s="21">
        <f>IF(CZ$4&lt;'Platform Assumptions'!$D$31,0,HLOOKUP(CZ$4,'Platform Assumptions'!$D31:$DT32,2,FALSE))</f>
        <v>0</v>
      </c>
      <c r="DA10" s="21">
        <f>IF(DA$4&lt;'Platform Assumptions'!$D$31,0,HLOOKUP(DA$4,'Platform Assumptions'!$D31:$DT32,2,FALSE))</f>
        <v>0</v>
      </c>
      <c r="DB10" s="21">
        <f>IF(DB$4&lt;'Platform Assumptions'!$D$31,0,HLOOKUP(DB$4,'Platform Assumptions'!$D31:$DT32,2,FALSE))</f>
        <v>0</v>
      </c>
      <c r="DC10" s="21">
        <f>IF(DC$4&lt;'Platform Assumptions'!$D$31,0,HLOOKUP(DC$4,'Platform Assumptions'!$D31:$DT32,2,FALSE))</f>
        <v>0</v>
      </c>
      <c r="DD10" s="21">
        <f>IF(DD$4&lt;'Platform Assumptions'!$D$31,0,HLOOKUP(DD$4,'Platform Assumptions'!$D31:$DT32,2,FALSE))</f>
        <v>0</v>
      </c>
      <c r="DE10" s="21">
        <f>IF(DE$4&lt;'Platform Assumptions'!$D$31,0,HLOOKUP(DE$4,'Platform Assumptions'!$D31:$DT32,2,FALSE))</f>
        <v>0</v>
      </c>
      <c r="DF10" s="21">
        <f>IF(DF$4&lt;'Platform Assumptions'!$D$31,0,HLOOKUP(DF$4,'Platform Assumptions'!$D31:$DT32,2,FALSE))</f>
        <v>0</v>
      </c>
      <c r="DG10" s="21">
        <f>IF(DG$4&lt;'Platform Assumptions'!$D$31,0,HLOOKUP(DG$4,'Platform Assumptions'!$D31:$DT32,2,FALSE))</f>
        <v>0</v>
      </c>
      <c r="DH10" s="21">
        <f>IF(DH$4&lt;'Platform Assumptions'!$D$31,0,HLOOKUP(DH$4,'Platform Assumptions'!$D31:$DT32,2,FALSE))</f>
        <v>0</v>
      </c>
      <c r="DI10" s="21">
        <f>IF(DI$4&lt;'Platform Assumptions'!$D$31,0,HLOOKUP(DI$4,'Platform Assumptions'!$D31:$DT32,2,FALSE))</f>
        <v>0</v>
      </c>
      <c r="DJ10" s="21">
        <f>IF(DJ$4&lt;'Platform Assumptions'!$D$31,0,HLOOKUP(DJ$4,'Platform Assumptions'!$D31:$DT32,2,FALSE))</f>
        <v>0</v>
      </c>
      <c r="DK10" s="21">
        <f>IF(DK$4&lt;'Platform Assumptions'!$D$31,0,HLOOKUP(DK$4,'Platform Assumptions'!$D31:$DT32,2,FALSE))</f>
        <v>0</v>
      </c>
      <c r="DL10" s="21">
        <f>IF(DL$4&lt;'Platform Assumptions'!$D$31,0,HLOOKUP(DL$4,'Platform Assumptions'!$D31:$DT32,2,FALSE))</f>
        <v>0</v>
      </c>
      <c r="DM10" s="21">
        <f>IF(DM$4&lt;'Platform Assumptions'!$D$31,0,HLOOKUP(DM$4,'Platform Assumptions'!$D31:$DT32,2,FALSE))</f>
        <v>0</v>
      </c>
      <c r="DN10" s="21">
        <f>IF(DN$4&lt;'Platform Assumptions'!$D$31,0,HLOOKUP(DN$4,'Platform Assumptions'!$D31:$DT32,2,FALSE))</f>
        <v>0</v>
      </c>
      <c r="DO10" s="21">
        <f>IF(DO$4&lt;'Platform Assumptions'!$D$31,0,HLOOKUP(DO$4,'Platform Assumptions'!$D31:$DT32,2,FALSE))</f>
        <v>0</v>
      </c>
      <c r="DP10" s="21">
        <f>IF(DP$4&lt;'Platform Assumptions'!$D$31,0,HLOOKUP(DP$4,'Platform Assumptions'!$D31:$DT32,2,FALSE))</f>
        <v>0</v>
      </c>
      <c r="DQ10" s="21">
        <f>IF(DQ$4&lt;'Platform Assumptions'!$D$31,0,HLOOKUP(DQ$4,'Platform Assumptions'!$D31:$DT32,2,FALSE))</f>
        <v>0</v>
      </c>
      <c r="DR10" s="21">
        <f>IF(DR$4&lt;'Platform Assumptions'!$D$31,0,HLOOKUP(DR$4,'Platform Assumptions'!$D31:$DT32,2,FALSE))</f>
        <v>0</v>
      </c>
      <c r="DS10" s="21">
        <f>IF(DS$4&lt;'Platform Assumptions'!$D$31,0,HLOOKUP(DS$4,'Platform Assumptions'!$D31:$DT32,2,FALSE))</f>
        <v>0</v>
      </c>
      <c r="DT10" s="21">
        <f>IF(DT$4&lt;'Platform Assumptions'!$D$31,0,HLOOKUP(DT$4,'Platform Assumptions'!$D31:$DT32,2,FALSE))</f>
        <v>0</v>
      </c>
      <c r="DU10" s="21">
        <f>IF(DU$4&lt;'Platform Assumptions'!$D$31,0,HLOOKUP(DU$4,'Platform Assumptions'!$D31:$DT32,2,FALSE))</f>
        <v>0</v>
      </c>
      <c r="DV10" s="21"/>
    </row>
    <row r="11" spans="3:126" s="3" customFormat="1" ht="22.95" customHeight="1">
      <c r="C11" s="104">
        <f t="shared" si="9"/>
        <v>5</v>
      </c>
      <c r="D11" s="77">
        <f t="shared" si="8"/>
        <v>3380051.9944464052</v>
      </c>
      <c r="E11" s="21">
        <f>IF(E$4&lt;'Platform Assumptions'!$D$34,0,HLOOKUP(E$4,'Platform Assumptions'!$D34:$DT35,2,FALSE))</f>
        <v>0</v>
      </c>
      <c r="F11" s="21">
        <f>IF(F$4&lt;'Platform Assumptions'!$D$34,0,HLOOKUP(F$4,'Platform Assumptions'!$D34:$DT35,2,FALSE))</f>
        <v>0</v>
      </c>
      <c r="G11" s="21">
        <f>IF(G$4&lt;'Platform Assumptions'!$D$34,0,HLOOKUP(G$4,'Platform Assumptions'!$D34:$DT35,2,FALSE))</f>
        <v>0</v>
      </c>
      <c r="H11" s="21">
        <f>IF(H$4&lt;'Platform Assumptions'!$D$34,0,HLOOKUP(H$4,'Platform Assumptions'!$D34:$DT35,2,FALSE))</f>
        <v>0</v>
      </c>
      <c r="I11" s="21">
        <f>IF(I$4&lt;'Platform Assumptions'!$D$34,0,HLOOKUP(I$4,'Platform Assumptions'!$D34:$DT35,2,FALSE))</f>
        <v>0</v>
      </c>
      <c r="J11" s="21">
        <f>IF(J$4&lt;'Platform Assumptions'!$D$34,0,HLOOKUP(J$4,'Platform Assumptions'!$D34:$DT35,2,FALSE))</f>
        <v>0</v>
      </c>
      <c r="K11" s="21">
        <f>IF(K$4&lt;'Platform Assumptions'!$D$34,0,HLOOKUP(K$4,'Platform Assumptions'!$D34:$DT35,2,FALSE))</f>
        <v>0</v>
      </c>
      <c r="L11" s="21">
        <f>IF(L$4&lt;'Platform Assumptions'!$D$34,0,HLOOKUP(L$4,'Platform Assumptions'!$D34:$DT35,2,FALSE))</f>
        <v>0</v>
      </c>
      <c r="M11" s="21">
        <f>IF(M$4&lt;'Platform Assumptions'!$D$34,0,HLOOKUP(M$4,'Platform Assumptions'!$D34:$DT35,2,FALSE))</f>
        <v>0</v>
      </c>
      <c r="N11" s="21">
        <f>IF(N$4&lt;'Platform Assumptions'!$D$34,0,HLOOKUP(N$4,'Platform Assumptions'!$D34:$DT35,2,FALSE))</f>
        <v>0</v>
      </c>
      <c r="O11" s="21">
        <f>IF(O$4&lt;'Platform Assumptions'!$D$34,0,HLOOKUP(O$4,'Platform Assumptions'!$D34:$DT35,2,FALSE))</f>
        <v>0</v>
      </c>
      <c r="P11" s="21">
        <f>IF(P$4&lt;'Platform Assumptions'!$D$34,0,HLOOKUP(P$4,'Platform Assumptions'!$D34:$DT35,2,FALSE))</f>
        <v>0</v>
      </c>
      <c r="Q11" s="21">
        <f>IF(Q$4&lt;'Platform Assumptions'!$D$34,0,HLOOKUP(Q$4,'Platform Assumptions'!$D34:$DT35,2,FALSE))</f>
        <v>46666.666666666664</v>
      </c>
      <c r="R11" s="21">
        <f>IF(R$4&lt;'Platform Assumptions'!$D$34,0,HLOOKUP(R$4,'Platform Assumptions'!$D34:$DT35,2,FALSE))</f>
        <v>-3333.3333333333335</v>
      </c>
      <c r="S11" s="21">
        <f>IF(S$4&lt;'Platform Assumptions'!$D$34,0,HLOOKUP(S$4,'Platform Assumptions'!$D34:$DT35,2,FALSE))</f>
        <v>-3333.3333333333335</v>
      </c>
      <c r="T11" s="21">
        <f>IF(T$4&lt;'Platform Assumptions'!$D$34,0,HLOOKUP(T$4,'Platform Assumptions'!$D34:$DT35,2,FALSE))</f>
        <v>-3333.3333333333335</v>
      </c>
      <c r="U11" s="21">
        <f>IF(U$4&lt;'Platform Assumptions'!$D$34,0,HLOOKUP(U$4,'Platform Assumptions'!$D34:$DT35,2,FALSE))</f>
        <v>-3333.3333333333335</v>
      </c>
      <c r="V11" s="21">
        <f>IF(V$4&lt;'Platform Assumptions'!$D$34,0,HLOOKUP(V$4,'Platform Assumptions'!$D34:$DT35,2,FALSE))</f>
        <v>-3333.3333333333335</v>
      </c>
      <c r="W11" s="21">
        <f>IF(W$4&lt;'Platform Assumptions'!$D$34,0,HLOOKUP(W$4,'Platform Assumptions'!$D34:$DT35,2,FALSE))</f>
        <v>6250</v>
      </c>
      <c r="X11" s="21">
        <f>IF(X$4&lt;'Platform Assumptions'!$D$34,0,HLOOKUP(X$4,'Platform Assumptions'!$D34:$DT35,2,FALSE))</f>
        <v>6250</v>
      </c>
      <c r="Y11" s="21">
        <f>IF(Y$4&lt;'Platform Assumptions'!$D$34,0,HLOOKUP(Y$4,'Platform Assumptions'!$D34:$DT35,2,FALSE))</f>
        <v>6250</v>
      </c>
      <c r="Z11" s="21">
        <f>IF(Z$4&lt;'Platform Assumptions'!$D$34,0,HLOOKUP(Z$4,'Platform Assumptions'!$D34:$DT35,2,FALSE))</f>
        <v>6250</v>
      </c>
      <c r="AA11" s="21">
        <f>IF(AA$4&lt;'Platform Assumptions'!$D$34,0,HLOOKUP(AA$4,'Platform Assumptions'!$D34:$DT35,2,FALSE))</f>
        <v>6250</v>
      </c>
      <c r="AB11" s="21">
        <f>IF(AB$4&lt;'Platform Assumptions'!$D$34,0,HLOOKUP(AB$4,'Platform Assumptions'!$D34:$DT35,2,FALSE))</f>
        <v>6250</v>
      </c>
      <c r="AC11" s="21">
        <f>IF(AC$4&lt;'Platform Assumptions'!$D$34,0,HLOOKUP(AC$4,'Platform Assumptions'!$D34:$DT35,2,FALSE))</f>
        <v>6250</v>
      </c>
      <c r="AD11" s="21">
        <f>IF(AD$4&lt;'Platform Assumptions'!$D$34,0,HLOOKUP(AD$4,'Platform Assumptions'!$D34:$DT35,2,FALSE))</f>
        <v>6250</v>
      </c>
      <c r="AE11" s="21">
        <f>IF(AE$4&lt;'Platform Assumptions'!$D$34,0,HLOOKUP(AE$4,'Platform Assumptions'!$D34:$DT35,2,FALSE))</f>
        <v>6250</v>
      </c>
      <c r="AF11" s="21">
        <f>IF(AF$4&lt;'Platform Assumptions'!$D$34,0,HLOOKUP(AF$4,'Platform Assumptions'!$D34:$DT35,2,FALSE))</f>
        <v>6250</v>
      </c>
      <c r="AG11" s="21">
        <f>IF(AG$4&lt;'Platform Assumptions'!$D$34,0,HLOOKUP(AG$4,'Platform Assumptions'!$D34:$DT35,2,FALSE))</f>
        <v>6250</v>
      </c>
      <c r="AH11" s="21">
        <f>IF(AH$4&lt;'Platform Assumptions'!$D$34,0,HLOOKUP(AH$4,'Platform Assumptions'!$D34:$DT35,2,FALSE))</f>
        <v>6250</v>
      </c>
      <c r="AI11" s="21">
        <f>IF(AI$4&lt;'Platform Assumptions'!$D$34,0,HLOOKUP(AI$4,'Platform Assumptions'!$D34:$DT35,2,FALSE))</f>
        <v>37500</v>
      </c>
      <c r="AJ11" s="21">
        <f>IF(AJ$4&lt;'Platform Assumptions'!$D$34,0,HLOOKUP(AJ$4,'Platform Assumptions'!$D34:$DT35,2,FALSE))</f>
        <v>0</v>
      </c>
      <c r="AK11" s="21">
        <f>IF(AK$4&lt;'Platform Assumptions'!$D$34,0,HLOOKUP(AK$4,'Platform Assumptions'!$D34:$DT35,2,FALSE))</f>
        <v>0</v>
      </c>
      <c r="AL11" s="21">
        <f>IF(AL$4&lt;'Platform Assumptions'!$D$34,0,HLOOKUP(AL$4,'Platform Assumptions'!$D34:$DT35,2,FALSE))</f>
        <v>0</v>
      </c>
      <c r="AM11" s="21">
        <f>IF(AM$4&lt;'Platform Assumptions'!$D$34,0,HLOOKUP(AM$4,'Platform Assumptions'!$D34:$DT35,2,FALSE))</f>
        <v>0</v>
      </c>
      <c r="AN11" s="21">
        <f>IF(AN$4&lt;'Platform Assumptions'!$D$34,0,HLOOKUP(AN$4,'Platform Assumptions'!$D34:$DT35,2,FALSE))</f>
        <v>0</v>
      </c>
      <c r="AO11" s="21">
        <f>IF(AO$4&lt;'Platform Assumptions'!$D$34,0,HLOOKUP(AO$4,'Platform Assumptions'!$D34:$DT35,2,FALSE))</f>
        <v>1350000</v>
      </c>
      <c r="AP11" s="21">
        <f>IF(AP$4&lt;'Platform Assumptions'!$D$34,0,HLOOKUP(AP$4,'Platform Assumptions'!$D34:$DT35,2,FALSE))</f>
        <v>0</v>
      </c>
      <c r="AQ11" s="21">
        <f>IF(AQ$4&lt;'Platform Assumptions'!$D$34,0,HLOOKUP(AQ$4,'Platform Assumptions'!$D34:$DT35,2,FALSE))</f>
        <v>0</v>
      </c>
      <c r="AR11" s="21">
        <f>IF(AR$4&lt;'Platform Assumptions'!$D$34,0,HLOOKUP(AR$4,'Platform Assumptions'!$D34:$DT35,2,FALSE))</f>
        <v>9851.3671875</v>
      </c>
      <c r="AS11" s="21">
        <f>IF(AS$4&lt;'Platform Assumptions'!$D$34,0,HLOOKUP(AS$4,'Platform Assumptions'!$D34:$DT35,2,FALSE))</f>
        <v>9851.3671875</v>
      </c>
      <c r="AT11" s="21">
        <f>IF(AT$4&lt;'Platform Assumptions'!$D$34,0,HLOOKUP(AT$4,'Platform Assumptions'!$D34:$DT35,2,FALSE))</f>
        <v>9851.3671875</v>
      </c>
      <c r="AU11" s="21">
        <f>IF(AU$4&lt;'Platform Assumptions'!$D$34,0,HLOOKUP(AU$4,'Platform Assumptions'!$D34:$DT35,2,FALSE))</f>
        <v>9851.3671875</v>
      </c>
      <c r="AV11" s="21">
        <f>IF(AV$4&lt;'Platform Assumptions'!$D$34,0,HLOOKUP(AV$4,'Platform Assumptions'!$D34:$DT35,2,FALSE))</f>
        <v>9851.3671875</v>
      </c>
      <c r="AW11" s="21">
        <f>IF(AW$4&lt;'Platform Assumptions'!$D$34,0,HLOOKUP(AW$4,'Platform Assumptions'!$D34:$DT35,2,FALSE))</f>
        <v>9851.3671875</v>
      </c>
      <c r="AX11" s="21">
        <f>IF(AX$4&lt;'Platform Assumptions'!$D$34,0,HLOOKUP(AX$4,'Platform Assumptions'!$D34:$DT35,2,FALSE))</f>
        <v>9851.3671875</v>
      </c>
      <c r="AY11" s="21">
        <f>IF(AY$4&lt;'Platform Assumptions'!$D$34,0,HLOOKUP(AY$4,'Platform Assumptions'!$D34:$DT35,2,FALSE))</f>
        <v>9851.3671875</v>
      </c>
      <c r="AZ11" s="21">
        <f>IF(AZ$4&lt;'Platform Assumptions'!$D$34,0,HLOOKUP(AZ$4,'Platform Assumptions'!$D34:$DT35,2,FALSE))</f>
        <v>9851.3671875</v>
      </c>
      <c r="BA11" s="21">
        <f>IF(BA$4&lt;'Platform Assumptions'!$D$34,0,HLOOKUP(BA$4,'Platform Assumptions'!$D34:$DT35,2,FALSE))</f>
        <v>9851.3671875</v>
      </c>
      <c r="BB11" s="21">
        <f>IF(BB$4&lt;'Platform Assumptions'!$D$34,0,HLOOKUP(BB$4,'Platform Assumptions'!$D34:$DT35,2,FALSE))</f>
        <v>9851.3671875</v>
      </c>
      <c r="BC11" s="21">
        <f>IF(BC$4&lt;'Platform Assumptions'!$D$34,0,HLOOKUP(BC$4,'Platform Assumptions'!$D34:$DT35,2,FALSE))</f>
        <v>9851.3671875</v>
      </c>
      <c r="BD11" s="21">
        <f>IF(BD$4&lt;'Platform Assumptions'!$D$34,0,HLOOKUP(BD$4,'Platform Assumptions'!$D34:$DT35,2,FALSE))</f>
        <v>9851.3671875</v>
      </c>
      <c r="BE11" s="21">
        <f>IF(BE$4&lt;'Platform Assumptions'!$D$34,0,HLOOKUP(BE$4,'Platform Assumptions'!$D34:$DT35,2,FALSE))</f>
        <v>9851.3671875</v>
      </c>
      <c r="BF11" s="21">
        <f>IF(BF$4&lt;'Platform Assumptions'!$D$34,0,HLOOKUP(BF$4,'Platform Assumptions'!$D34:$DT35,2,FALSE))</f>
        <v>9851.3671875</v>
      </c>
      <c r="BG11" s="21">
        <f>IF(BG$4&lt;'Platform Assumptions'!$D$34,0,HLOOKUP(BG$4,'Platform Assumptions'!$D34:$DT35,2,FALSE))</f>
        <v>9851.3671875</v>
      </c>
      <c r="BH11" s="21">
        <f>IF(BH$4&lt;'Platform Assumptions'!$D$34,0,HLOOKUP(BH$4,'Platform Assumptions'!$D34:$DT35,2,FALSE))</f>
        <v>9851.3671875</v>
      </c>
      <c r="BI11" s="21">
        <f>IF(BI$4&lt;'Platform Assumptions'!$D$34,0,HLOOKUP(BI$4,'Platform Assumptions'!$D34:$DT35,2,FALSE))</f>
        <v>9851.3671875</v>
      </c>
      <c r="BJ11" s="21">
        <f>IF(BJ$4&lt;'Platform Assumptions'!$D$34,0,HLOOKUP(BJ$4,'Platform Assumptions'!$D34:$DT35,2,FALSE))</f>
        <v>21035.69370372003</v>
      </c>
      <c r="BK11" s="21">
        <f>IF(BK$4&lt;'Platform Assumptions'!$D$34,0,HLOOKUP(BK$4,'Platform Assumptions'!$D34:$DT35,2,FALSE))</f>
        <v>21035.69370372003</v>
      </c>
      <c r="BL11" s="21">
        <f>IF(BL$4&lt;'Platform Assumptions'!$D$34,0,HLOOKUP(BL$4,'Platform Assumptions'!$D34:$DT35,2,FALSE))</f>
        <v>21035.69370372003</v>
      </c>
      <c r="BM11" s="21">
        <f>IF(BM$4&lt;'Platform Assumptions'!$D$34,0,HLOOKUP(BM$4,'Platform Assumptions'!$D34:$DT35,2,FALSE))</f>
        <v>21035.69370372003</v>
      </c>
      <c r="BN11" s="21">
        <f>IF(BN$4&lt;'Platform Assumptions'!$D$34,0,HLOOKUP(BN$4,'Platform Assumptions'!$D34:$DT35,2,FALSE))</f>
        <v>21035.69370372003</v>
      </c>
      <c r="BO11" s="21">
        <f>IF(BO$4&lt;'Platform Assumptions'!$D$34,0,HLOOKUP(BO$4,'Platform Assumptions'!$D34:$DT35,2,FALSE))</f>
        <v>21035.69370372003</v>
      </c>
      <c r="BP11" s="21">
        <f>IF(BP$4&lt;'Platform Assumptions'!$D$34,0,HLOOKUP(BP$4,'Platform Assumptions'!$D34:$DT35,2,FALSE))</f>
        <v>447829.27832628123</v>
      </c>
      <c r="BQ11" s="21">
        <f>IF(BQ$4&lt;'Platform Assumptions'!$D$34,0,HLOOKUP(BQ$4,'Platform Assumptions'!$D34:$DT35,2,FALSE))</f>
        <v>68812.176774800188</v>
      </c>
      <c r="BR11" s="21">
        <f>IF(BR$4&lt;'Platform Assumptions'!$D$34,0,HLOOKUP(BR$4,'Platform Assumptions'!$D34:$DT35,2,FALSE))</f>
        <v>70062.176774800188</v>
      </c>
      <c r="BS11" s="21">
        <f>IF(BS$4&lt;'Platform Assumptions'!$D$34,0,HLOOKUP(BS$4,'Platform Assumptions'!$D34:$DT35,2,FALSE))</f>
        <v>71312.176774800188</v>
      </c>
      <c r="BT11" s="21">
        <f>IF(BT$4&lt;'Platform Assumptions'!$D$34,0,HLOOKUP(BT$4,'Platform Assumptions'!$D34:$DT35,2,FALSE))</f>
        <v>72562.176774800188</v>
      </c>
      <c r="BU11" s="21">
        <f>IF(BU$4&lt;'Platform Assumptions'!$D$34,0,HLOOKUP(BU$4,'Platform Assumptions'!$D34:$DT35,2,FALSE))</f>
        <v>73812.176774800188</v>
      </c>
      <c r="BV11" s="21">
        <f>IF(BV$4&lt;'Platform Assumptions'!$D$34,0,HLOOKUP(BV$4,'Platform Assumptions'!$D34:$DT35,2,FALSE))</f>
        <v>75062.176774800188</v>
      </c>
      <c r="BW11" s="21">
        <f>IF(BW$4&lt;'Platform Assumptions'!$D$34,0,HLOOKUP(BW$4,'Platform Assumptions'!$D34:$DT35,2,FALSE))</f>
        <v>76312.176774800188</v>
      </c>
      <c r="BX11" s="21">
        <f>IF(BX$4&lt;'Platform Assumptions'!$D$34,0,HLOOKUP(BX$4,'Platform Assumptions'!$D34:$DT35,2,FALSE))</f>
        <v>77562.176774800188</v>
      </c>
      <c r="BY11" s="21">
        <f>IF(BY$4&lt;'Platform Assumptions'!$D$34,0,HLOOKUP(BY$4,'Platform Assumptions'!$D34:$DT35,2,FALSE))</f>
        <v>78812.176774800188</v>
      </c>
      <c r="BZ11" s="21">
        <f>IF(BZ$4&lt;'Platform Assumptions'!$D$34,0,HLOOKUP(BZ$4,'Platform Assumptions'!$D34:$DT35,2,FALSE))</f>
        <v>80062.176774800188</v>
      </c>
      <c r="CA11" s="21">
        <f>IF(CA$4&lt;'Platform Assumptions'!$D$34,0,HLOOKUP(CA$4,'Platform Assumptions'!$D34:$DT35,2,FALSE))</f>
        <v>81312.176774800188</v>
      </c>
      <c r="CB11" s="21">
        <f>IF(CB$4&lt;'Platform Assumptions'!$D$34,0,HLOOKUP(CB$4,'Platform Assumptions'!$D34:$DT35,2,FALSE))</f>
        <v>6750</v>
      </c>
      <c r="CC11" s="21">
        <f>IF(CC$4&lt;'Platform Assumptions'!$D$34,0,HLOOKUP(CC$4,'Platform Assumptions'!$D34:$DT35,2,FALSE))</f>
        <v>6750</v>
      </c>
      <c r="CD11" s="21">
        <f>IF(CD$4&lt;'Platform Assumptions'!$D$34,0,HLOOKUP(CD$4,'Platform Assumptions'!$D34:$DT35,2,FALSE))</f>
        <v>6750</v>
      </c>
      <c r="CE11" s="21">
        <f>IF(CE$4&lt;'Platform Assumptions'!$D$34,0,HLOOKUP(CE$4,'Platform Assumptions'!$D34:$DT35,2,FALSE))</f>
        <v>6750</v>
      </c>
      <c r="CF11" s="21">
        <f>IF(CF$4&lt;'Platform Assumptions'!$D$34,0,HLOOKUP(CF$4,'Platform Assumptions'!$D34:$DT35,2,FALSE))</f>
        <v>6750</v>
      </c>
      <c r="CG11" s="21">
        <f>IF(CG$4&lt;'Platform Assumptions'!$D$34,0,HLOOKUP(CG$4,'Platform Assumptions'!$D34:$DT35,2,FALSE))</f>
        <v>6750</v>
      </c>
      <c r="CH11" s="21">
        <f>IF(CH$4&lt;'Platform Assumptions'!$D$34,0,HLOOKUP(CH$4,'Platform Assumptions'!$D34:$DT35,2,FALSE))</f>
        <v>6750</v>
      </c>
      <c r="CI11" s="21">
        <f>IF(CI$4&lt;'Platform Assumptions'!$D$34,0,HLOOKUP(CI$4,'Platform Assumptions'!$D34:$DT35,2,FALSE))</f>
        <v>6750</v>
      </c>
      <c r="CJ11" s="21">
        <f>IF(CJ$4&lt;'Platform Assumptions'!$D$34,0,HLOOKUP(CJ$4,'Platform Assumptions'!$D34:$DT35,2,FALSE))</f>
        <v>6750</v>
      </c>
      <c r="CK11" s="21">
        <f>IF(CK$4&lt;'Platform Assumptions'!$D$34,0,HLOOKUP(CK$4,'Platform Assumptions'!$D34:$DT35,2,FALSE))</f>
        <v>6750</v>
      </c>
      <c r="CL11" s="21">
        <f>IF(CL$4&lt;'Platform Assumptions'!$D$34,0,HLOOKUP(CL$4,'Platform Assumptions'!$D34:$DT35,2,FALSE))</f>
        <v>6750</v>
      </c>
      <c r="CM11" s="21">
        <f>IF(CM$4&lt;'Platform Assumptions'!$D$34,0,HLOOKUP(CM$4,'Platform Assumptions'!$D34:$DT35,2,FALSE))</f>
        <v>6750</v>
      </c>
      <c r="CN11" s="21">
        <f>IF(CN$4&lt;'Platform Assumptions'!$D$34,0,HLOOKUP(CN$4,'Platform Assumptions'!$D34:$DT35,2,FALSE))</f>
        <v>6750</v>
      </c>
      <c r="CO11" s="21">
        <f>IF(CO$4&lt;'Platform Assumptions'!$D$34,0,HLOOKUP(CO$4,'Platform Assumptions'!$D34:$DT35,2,FALSE))</f>
        <v>6750</v>
      </c>
      <c r="CP11" s="21">
        <f>IF(CP$4&lt;'Platform Assumptions'!$D$34,0,HLOOKUP(CP$4,'Platform Assumptions'!$D34:$DT35,2,FALSE))</f>
        <v>6750</v>
      </c>
      <c r="CQ11" s="21">
        <f>IF(CQ$4&lt;'Platform Assumptions'!$D$34,0,HLOOKUP(CQ$4,'Platform Assumptions'!$D34:$DT35,2,FALSE))</f>
        <v>6750</v>
      </c>
      <c r="CR11" s="21">
        <f>IF(CR$4&lt;'Platform Assumptions'!$D$34,0,HLOOKUP(CR$4,'Platform Assumptions'!$D34:$DT35,2,FALSE))</f>
        <v>6750</v>
      </c>
      <c r="CS11" s="21">
        <f>IF(CS$4&lt;'Platform Assumptions'!$D$34,0,HLOOKUP(CS$4,'Platform Assumptions'!$D34:$DT35,2,FALSE))</f>
        <v>6750</v>
      </c>
      <c r="CT11" s="21">
        <f>IF(CT$4&lt;'Platform Assumptions'!$D$34,0,HLOOKUP(CT$4,'Platform Assumptions'!$D34:$DT35,2,FALSE))</f>
        <v>6750</v>
      </c>
      <c r="CU11" s="21">
        <f>IF(CU$4&lt;'Platform Assumptions'!$D$34,0,HLOOKUP(CU$4,'Platform Assumptions'!$D34:$DT35,2,FALSE))</f>
        <v>6750</v>
      </c>
      <c r="CV11" s="21">
        <f>IF(CV$4&lt;'Platform Assumptions'!$D$34,0,HLOOKUP(CV$4,'Platform Assumptions'!$D34:$DT35,2,FALSE))</f>
        <v>6750</v>
      </c>
      <c r="CW11" s="21">
        <f>IF(CW$4&lt;'Platform Assumptions'!$D$34,0,HLOOKUP(CW$4,'Platform Assumptions'!$D34:$DT35,2,FALSE))</f>
        <v>6750</v>
      </c>
      <c r="CX11" s="21">
        <f>IF(CX$4&lt;'Platform Assumptions'!$D$34,0,HLOOKUP(CX$4,'Platform Assumptions'!$D34:$DT35,2,FALSE))</f>
        <v>6750</v>
      </c>
      <c r="CY11" s="21">
        <f>IF(CY$4&lt;'Platform Assumptions'!$D$34,0,HLOOKUP(CY$4,'Platform Assumptions'!$D34:$DT35,2,FALSE))</f>
        <v>6750</v>
      </c>
      <c r="CZ11" s="21">
        <f>IF(CZ$4&lt;'Platform Assumptions'!$D$34,0,HLOOKUP(CZ$4,'Platform Assumptions'!$D34:$DT35,2,FALSE))</f>
        <v>6750</v>
      </c>
      <c r="DA11" s="21">
        <f>IF(DA$4&lt;'Platform Assumptions'!$D$34,0,HLOOKUP(DA$4,'Platform Assumptions'!$D34:$DT35,2,FALSE))</f>
        <v>6750</v>
      </c>
      <c r="DB11" s="21">
        <f>IF(DB$4&lt;'Platform Assumptions'!$D$34,0,HLOOKUP(DB$4,'Platform Assumptions'!$D34:$DT35,2,FALSE))</f>
        <v>6750</v>
      </c>
      <c r="DC11" s="21">
        <f>IF(DC$4&lt;'Platform Assumptions'!$D$34,0,HLOOKUP(DC$4,'Platform Assumptions'!$D34:$DT35,2,FALSE))</f>
        <v>6750</v>
      </c>
      <c r="DD11" s="21">
        <f>IF(DD$4&lt;'Platform Assumptions'!$D$34,0,HLOOKUP(DD$4,'Platform Assumptions'!$D34:$DT35,2,FALSE))</f>
        <v>6750</v>
      </c>
      <c r="DE11" s="21">
        <f>IF(DE$4&lt;'Platform Assumptions'!$D$34,0,HLOOKUP(DE$4,'Platform Assumptions'!$D34:$DT35,2,FALSE))</f>
        <v>6750</v>
      </c>
      <c r="DF11" s="21">
        <f>IF(DF$4&lt;'Platform Assumptions'!$D$34,0,HLOOKUP(DF$4,'Platform Assumptions'!$D34:$DT35,2,FALSE))</f>
        <v>6750</v>
      </c>
      <c r="DG11" s="21">
        <f>IF(DG$4&lt;'Platform Assumptions'!$D$34,0,HLOOKUP(DG$4,'Platform Assumptions'!$D34:$DT35,2,FALSE))</f>
        <v>6750</v>
      </c>
      <c r="DH11" s="21">
        <f>IF(DH$4&lt;'Platform Assumptions'!$D$34,0,HLOOKUP(DH$4,'Platform Assumptions'!$D34:$DT35,2,FALSE))</f>
        <v>6750</v>
      </c>
      <c r="DI11" s="21">
        <f>IF(DI$4&lt;'Platform Assumptions'!$D$34,0,HLOOKUP(DI$4,'Platform Assumptions'!$D34:$DT35,2,FALSE))</f>
        <v>6750</v>
      </c>
      <c r="DJ11" s="21">
        <f>IF(DJ$4&lt;'Platform Assumptions'!$D$34,0,HLOOKUP(DJ$4,'Platform Assumptions'!$D34:$DT35,2,FALSE))</f>
        <v>6750</v>
      </c>
      <c r="DK11" s="21">
        <f>IF(DK$4&lt;'Platform Assumptions'!$D$34,0,HLOOKUP(DK$4,'Platform Assumptions'!$D34:$DT35,2,FALSE))</f>
        <v>6750</v>
      </c>
      <c r="DL11" s="21">
        <f>IF(DL$4&lt;'Platform Assumptions'!$D$34,0,HLOOKUP(DL$4,'Platform Assumptions'!$D34:$DT35,2,FALSE))</f>
        <v>6750</v>
      </c>
      <c r="DM11" s="21">
        <f>IF(DM$4&lt;'Platform Assumptions'!$D$34,0,HLOOKUP(DM$4,'Platform Assumptions'!$D34:$DT35,2,FALSE))</f>
        <v>6750</v>
      </c>
      <c r="DN11" s="21">
        <f>IF(DN$4&lt;'Platform Assumptions'!$D$34,0,HLOOKUP(DN$4,'Platform Assumptions'!$D34:$DT35,2,FALSE))</f>
        <v>6750</v>
      </c>
      <c r="DO11" s="21">
        <f>IF(DO$4&lt;'Platform Assumptions'!$D$34,0,HLOOKUP(DO$4,'Platform Assumptions'!$D34:$DT35,2,FALSE))</f>
        <v>6750</v>
      </c>
      <c r="DP11" s="21">
        <f>IF(DP$4&lt;'Platform Assumptions'!$D$34,0,HLOOKUP(DP$4,'Platform Assumptions'!$D34:$DT35,2,FALSE))</f>
        <v>6750</v>
      </c>
      <c r="DQ11" s="21">
        <f>IF(DQ$4&lt;'Platform Assumptions'!$D$34,0,HLOOKUP(DQ$4,'Platform Assumptions'!$D34:$DT35,2,FALSE))</f>
        <v>6750</v>
      </c>
      <c r="DR11" s="21">
        <f>IF(DR$4&lt;'Platform Assumptions'!$D$34,0,HLOOKUP(DR$4,'Platform Assumptions'!$D34:$DT35,2,FALSE))</f>
        <v>6750</v>
      </c>
      <c r="DS11" s="21">
        <f>IF(DS$4&lt;'Platform Assumptions'!$D$34,0,HLOOKUP(DS$4,'Platform Assumptions'!$D34:$DT35,2,FALSE))</f>
        <v>6750</v>
      </c>
      <c r="DT11" s="21">
        <f>IF(DT$4&lt;'Platform Assumptions'!$D$34,0,HLOOKUP(DT$4,'Platform Assumptions'!$D34:$DT35,2,FALSE))</f>
        <v>6750</v>
      </c>
      <c r="DU11" s="21">
        <f>IF(DU$4&lt;'Platform Assumptions'!$D$34,0,HLOOKUP(DU$4,'Platform Assumptions'!$D34:$DT35,2,FALSE))</f>
        <v>6750</v>
      </c>
      <c r="DV11" s="21"/>
    </row>
    <row r="12" spans="3:126" s="3" customFormat="1" ht="22.95" customHeight="1">
      <c r="C12" s="104">
        <f t="shared" si="9"/>
        <v>6</v>
      </c>
      <c r="D12" s="77">
        <f t="shared" si="8"/>
        <v>104999.99999999999</v>
      </c>
      <c r="E12" s="21">
        <f>IF(E$4&lt;'Platform Assumptions'!$D$37,0,HLOOKUP(E$4,'Platform Assumptions'!$D37:$DT38,2,FALSE))</f>
        <v>0</v>
      </c>
      <c r="F12" s="21">
        <f>IF(F$4&lt;'Platform Assumptions'!$D$37,0,HLOOKUP(F$4,'Platform Assumptions'!$D37:$DT38,2,FALSE))</f>
        <v>0</v>
      </c>
      <c r="G12" s="21">
        <f>IF(G$4&lt;'Platform Assumptions'!$D$37,0,HLOOKUP(G$4,'Platform Assumptions'!$D37:$DT38,2,FALSE))</f>
        <v>0</v>
      </c>
      <c r="H12" s="21">
        <f>IF(H$4&lt;'Platform Assumptions'!$D$37,0,HLOOKUP(H$4,'Platform Assumptions'!$D37:$DT38,2,FALSE))</f>
        <v>0</v>
      </c>
      <c r="I12" s="21">
        <f>IF(I$4&lt;'Platform Assumptions'!$D$37,0,HLOOKUP(I$4,'Platform Assumptions'!$D37:$DT38,2,FALSE))</f>
        <v>0</v>
      </c>
      <c r="J12" s="21">
        <f>IF(J$4&lt;'Platform Assumptions'!$D$37,0,HLOOKUP(J$4,'Platform Assumptions'!$D37:$DT38,2,FALSE))</f>
        <v>0</v>
      </c>
      <c r="K12" s="21">
        <f>IF(K$4&lt;'Platform Assumptions'!$D$37,0,HLOOKUP(K$4,'Platform Assumptions'!$D37:$DT38,2,FALSE))</f>
        <v>0</v>
      </c>
      <c r="L12" s="21">
        <f>IF(L$4&lt;'Platform Assumptions'!$D$37,0,HLOOKUP(L$4,'Platform Assumptions'!$D37:$DT38,2,FALSE))</f>
        <v>0</v>
      </c>
      <c r="M12" s="21">
        <f>IF(M$4&lt;'Platform Assumptions'!$D$37,0,HLOOKUP(M$4,'Platform Assumptions'!$D37:$DT38,2,FALSE))</f>
        <v>0</v>
      </c>
      <c r="N12" s="21">
        <f>IF(N$4&lt;'Platform Assumptions'!$D$37,0,HLOOKUP(N$4,'Platform Assumptions'!$D37:$DT38,2,FALSE))</f>
        <v>0</v>
      </c>
      <c r="O12" s="21">
        <f>IF(O$4&lt;'Platform Assumptions'!$D$37,0,HLOOKUP(O$4,'Platform Assumptions'!$D37:$DT38,2,FALSE))</f>
        <v>0</v>
      </c>
      <c r="P12" s="21">
        <f>IF(P$4&lt;'Platform Assumptions'!$D$37,0,HLOOKUP(P$4,'Platform Assumptions'!$D37:$DT38,2,FALSE))</f>
        <v>0</v>
      </c>
      <c r="Q12" s="21">
        <f>IF(Q$4&lt;'Platform Assumptions'!$D$37,0,HLOOKUP(Q$4,'Platform Assumptions'!$D37:$DT38,2,FALSE))</f>
        <v>0</v>
      </c>
      <c r="R12" s="21">
        <f>IF(R$4&lt;'Platform Assumptions'!$D$37,0,HLOOKUP(R$4,'Platform Assumptions'!$D37:$DT38,2,FALSE))</f>
        <v>0</v>
      </c>
      <c r="S12" s="21">
        <f>IF(S$4&lt;'Platform Assumptions'!$D$37,0,HLOOKUP(S$4,'Platform Assumptions'!$D37:$DT38,2,FALSE))</f>
        <v>0</v>
      </c>
      <c r="T12" s="21">
        <f>IF(T$4&lt;'Platform Assumptions'!$D$37,0,HLOOKUP(T$4,'Platform Assumptions'!$D37:$DT38,2,FALSE))</f>
        <v>46666.666666666664</v>
      </c>
      <c r="U12" s="21">
        <f>IF(U$4&lt;'Platform Assumptions'!$D$37,0,HLOOKUP(U$4,'Platform Assumptions'!$D37:$DT38,2,FALSE))</f>
        <v>-3333.3333333333335</v>
      </c>
      <c r="V12" s="21">
        <f>IF(V$4&lt;'Platform Assumptions'!$D$37,0,HLOOKUP(V$4,'Platform Assumptions'!$D37:$DT38,2,FALSE))</f>
        <v>-3333.3333333333335</v>
      </c>
      <c r="W12" s="21">
        <f>IF(W$4&lt;'Platform Assumptions'!$D$37,0,HLOOKUP(W$4,'Platform Assumptions'!$D37:$DT38,2,FALSE))</f>
        <v>-3333.3333333333335</v>
      </c>
      <c r="X12" s="21">
        <f>IF(X$4&lt;'Platform Assumptions'!$D$37,0,HLOOKUP(X$4,'Platform Assumptions'!$D37:$DT38,2,FALSE))</f>
        <v>-3333.3333333333335</v>
      </c>
      <c r="Y12" s="21">
        <f>IF(Y$4&lt;'Platform Assumptions'!$D$37,0,HLOOKUP(Y$4,'Platform Assumptions'!$D37:$DT38,2,FALSE))</f>
        <v>-3333.3333333333335</v>
      </c>
      <c r="Z12" s="21">
        <f>IF(Z$4&lt;'Platform Assumptions'!$D$37,0,HLOOKUP(Z$4,'Platform Assumptions'!$D37:$DT38,2,FALSE))</f>
        <v>6250</v>
      </c>
      <c r="AA12" s="21">
        <f>IF(AA$4&lt;'Platform Assumptions'!$D$37,0,HLOOKUP(AA$4,'Platform Assumptions'!$D37:$DT38,2,FALSE))</f>
        <v>6250</v>
      </c>
      <c r="AB12" s="21">
        <f>IF(AB$4&lt;'Platform Assumptions'!$D$37,0,HLOOKUP(AB$4,'Platform Assumptions'!$D37:$DT38,2,FALSE))</f>
        <v>6250</v>
      </c>
      <c r="AC12" s="21">
        <f>IF(AC$4&lt;'Platform Assumptions'!$D$37,0,HLOOKUP(AC$4,'Platform Assumptions'!$D37:$DT38,2,FALSE))</f>
        <v>6250</v>
      </c>
      <c r="AD12" s="21">
        <f>IF(AD$4&lt;'Platform Assumptions'!$D$37,0,HLOOKUP(AD$4,'Platform Assumptions'!$D37:$DT38,2,FALSE))</f>
        <v>6250</v>
      </c>
      <c r="AE12" s="21">
        <f>IF(AE$4&lt;'Platform Assumptions'!$D$37,0,HLOOKUP(AE$4,'Platform Assumptions'!$D37:$DT38,2,FALSE))</f>
        <v>6250</v>
      </c>
      <c r="AF12" s="21">
        <f>IF(AF$4&lt;'Platform Assumptions'!$D$37,0,HLOOKUP(AF$4,'Platform Assumptions'!$D37:$DT38,2,FALSE))</f>
        <v>6250</v>
      </c>
      <c r="AG12" s="21">
        <f>IF(AG$4&lt;'Platform Assumptions'!$D$37,0,HLOOKUP(AG$4,'Platform Assumptions'!$D37:$DT38,2,FALSE))</f>
        <v>6250</v>
      </c>
      <c r="AH12" s="21">
        <f>IF(AH$4&lt;'Platform Assumptions'!$D$37,0,HLOOKUP(AH$4,'Platform Assumptions'!$D37:$DT38,2,FALSE))</f>
        <v>6250</v>
      </c>
      <c r="AI12" s="21">
        <f>IF(AI$4&lt;'Platform Assumptions'!$D$37,0,HLOOKUP(AI$4,'Platform Assumptions'!$D37:$DT38,2,FALSE))</f>
        <v>6250</v>
      </c>
      <c r="AJ12" s="21">
        <f>IF(AJ$4&lt;'Platform Assumptions'!$D$37,0,HLOOKUP(AJ$4,'Platform Assumptions'!$D37:$DT38,2,FALSE))</f>
        <v>6250</v>
      </c>
      <c r="AK12" s="21">
        <f>IF(AK$4&lt;'Platform Assumptions'!$D$37,0,HLOOKUP(AK$4,'Platform Assumptions'!$D37:$DT38,2,FALSE))</f>
        <v>6250</v>
      </c>
      <c r="AL12" s="21">
        <f>IF(AL$4&lt;'Platform Assumptions'!$D$37,0,HLOOKUP(AL$4,'Platform Assumptions'!$D37:$DT38,2,FALSE))</f>
        <v>0</v>
      </c>
      <c r="AM12" s="21">
        <f>IF(AM$4&lt;'Platform Assumptions'!$D$37,0,HLOOKUP(AM$4,'Platform Assumptions'!$D37:$DT38,2,FALSE))</f>
        <v>0</v>
      </c>
      <c r="AN12" s="21">
        <f>IF(AN$4&lt;'Platform Assumptions'!$D$37,0,HLOOKUP(AN$4,'Platform Assumptions'!$D37:$DT38,2,FALSE))</f>
        <v>0</v>
      </c>
      <c r="AO12" s="21">
        <f>IF(AO$4&lt;'Platform Assumptions'!$D$37,0,HLOOKUP(AO$4,'Platform Assumptions'!$D37:$DT38,2,FALSE))</f>
        <v>0</v>
      </c>
      <c r="AP12" s="21">
        <f>IF(AP$4&lt;'Platform Assumptions'!$D$37,0,HLOOKUP(AP$4,'Platform Assumptions'!$D37:$DT38,2,FALSE))</f>
        <v>0</v>
      </c>
      <c r="AQ12" s="21">
        <f>IF(AQ$4&lt;'Platform Assumptions'!$D$37,0,HLOOKUP(AQ$4,'Platform Assumptions'!$D37:$DT38,2,FALSE))</f>
        <v>0</v>
      </c>
      <c r="AR12" s="21">
        <f>IF(AR$4&lt;'Platform Assumptions'!$D$37,0,HLOOKUP(AR$4,'Platform Assumptions'!$D37:$DT38,2,FALSE))</f>
        <v>0</v>
      </c>
      <c r="AS12" s="21">
        <f>IF(AS$4&lt;'Platform Assumptions'!$D$37,0,HLOOKUP(AS$4,'Platform Assumptions'!$D37:$DT38,2,FALSE))</f>
        <v>0</v>
      </c>
      <c r="AT12" s="21">
        <f>IF(AT$4&lt;'Platform Assumptions'!$D$37,0,HLOOKUP(AT$4,'Platform Assumptions'!$D37:$DT38,2,FALSE))</f>
        <v>0</v>
      </c>
      <c r="AU12" s="21">
        <f>IF(AU$4&lt;'Platform Assumptions'!$D$37,0,HLOOKUP(AU$4,'Platform Assumptions'!$D37:$DT38,2,FALSE))</f>
        <v>0</v>
      </c>
      <c r="AV12" s="21">
        <f>IF(AV$4&lt;'Platform Assumptions'!$D$37,0,HLOOKUP(AV$4,'Platform Assumptions'!$D37:$DT38,2,FALSE))</f>
        <v>0</v>
      </c>
      <c r="AW12" s="21">
        <f>IF(AW$4&lt;'Platform Assumptions'!$D$37,0,HLOOKUP(AW$4,'Platform Assumptions'!$D37:$DT38,2,FALSE))</f>
        <v>0</v>
      </c>
      <c r="AX12" s="21">
        <f>IF(AX$4&lt;'Platform Assumptions'!$D$37,0,HLOOKUP(AX$4,'Platform Assumptions'!$D37:$DT38,2,FALSE))</f>
        <v>0</v>
      </c>
      <c r="AY12" s="21">
        <f>IF(AY$4&lt;'Platform Assumptions'!$D$37,0,HLOOKUP(AY$4,'Platform Assumptions'!$D37:$DT38,2,FALSE))</f>
        <v>0</v>
      </c>
      <c r="AZ12" s="21">
        <f>IF(AZ$4&lt;'Platform Assumptions'!$D$37,0,HLOOKUP(AZ$4,'Platform Assumptions'!$D37:$DT38,2,FALSE))</f>
        <v>0</v>
      </c>
      <c r="BA12" s="21">
        <f>IF(BA$4&lt;'Platform Assumptions'!$D$37,0,HLOOKUP(BA$4,'Platform Assumptions'!$D37:$DT38,2,FALSE))</f>
        <v>0</v>
      </c>
      <c r="BB12" s="21">
        <f>IF(BB$4&lt;'Platform Assumptions'!$D$37,0,HLOOKUP(BB$4,'Platform Assumptions'!$D37:$DT38,2,FALSE))</f>
        <v>0</v>
      </c>
      <c r="BC12" s="21">
        <f>IF(BC$4&lt;'Platform Assumptions'!$D$37,0,HLOOKUP(BC$4,'Platform Assumptions'!$D37:$DT38,2,FALSE))</f>
        <v>0</v>
      </c>
      <c r="BD12" s="21">
        <f>IF(BD$4&lt;'Platform Assumptions'!$D$37,0,HLOOKUP(BD$4,'Platform Assumptions'!$D37:$DT38,2,FALSE))</f>
        <v>0</v>
      </c>
      <c r="BE12" s="21">
        <f>IF(BE$4&lt;'Platform Assumptions'!$D$37,0,HLOOKUP(BE$4,'Platform Assumptions'!$D37:$DT38,2,FALSE))</f>
        <v>0</v>
      </c>
      <c r="BF12" s="21">
        <f>IF(BF$4&lt;'Platform Assumptions'!$D$37,0,HLOOKUP(BF$4,'Platform Assumptions'!$D37:$DT38,2,FALSE))</f>
        <v>0</v>
      </c>
      <c r="BG12" s="21">
        <f>IF(BG$4&lt;'Platform Assumptions'!$D$37,0,HLOOKUP(BG$4,'Platform Assumptions'!$D37:$DT38,2,FALSE))</f>
        <v>0</v>
      </c>
      <c r="BH12" s="21">
        <f>IF(BH$4&lt;'Platform Assumptions'!$D$37,0,HLOOKUP(BH$4,'Platform Assumptions'!$D37:$DT38,2,FALSE))</f>
        <v>0</v>
      </c>
      <c r="BI12" s="21">
        <f>IF(BI$4&lt;'Platform Assumptions'!$D$37,0,HLOOKUP(BI$4,'Platform Assumptions'!$D37:$DT38,2,FALSE))</f>
        <v>0</v>
      </c>
      <c r="BJ12" s="21">
        <f>IF(BJ$4&lt;'Platform Assumptions'!$D$37,0,HLOOKUP(BJ$4,'Platform Assumptions'!$D37:$DT38,2,FALSE))</f>
        <v>0</v>
      </c>
      <c r="BK12" s="21">
        <f>IF(BK$4&lt;'Platform Assumptions'!$D$37,0,HLOOKUP(BK$4,'Platform Assumptions'!$D37:$DT38,2,FALSE))</f>
        <v>0</v>
      </c>
      <c r="BL12" s="21">
        <f>IF(BL$4&lt;'Platform Assumptions'!$D$37,0,HLOOKUP(BL$4,'Platform Assumptions'!$D37:$DT38,2,FALSE))</f>
        <v>0</v>
      </c>
      <c r="BM12" s="21">
        <f>IF(BM$4&lt;'Platform Assumptions'!$D$37,0,HLOOKUP(BM$4,'Platform Assumptions'!$D37:$DT38,2,FALSE))</f>
        <v>0</v>
      </c>
      <c r="BN12" s="21">
        <f>IF(BN$4&lt;'Platform Assumptions'!$D$37,0,HLOOKUP(BN$4,'Platform Assumptions'!$D37:$DT38,2,FALSE))</f>
        <v>0</v>
      </c>
      <c r="BO12" s="21">
        <f>IF(BO$4&lt;'Platform Assumptions'!$D$37,0,HLOOKUP(BO$4,'Platform Assumptions'!$D37:$DT38,2,FALSE))</f>
        <v>0</v>
      </c>
      <c r="BP12" s="21">
        <f>IF(BP$4&lt;'Platform Assumptions'!$D$37,0,HLOOKUP(BP$4,'Platform Assumptions'!$D37:$DT38,2,FALSE))</f>
        <v>0</v>
      </c>
      <c r="BQ12" s="21">
        <f>IF(BQ$4&lt;'Platform Assumptions'!$D$37,0,HLOOKUP(BQ$4,'Platform Assumptions'!$D37:$DT38,2,FALSE))</f>
        <v>0</v>
      </c>
      <c r="BR12" s="21">
        <f>IF(BR$4&lt;'Platform Assumptions'!$D$37,0,HLOOKUP(BR$4,'Platform Assumptions'!$D37:$DT38,2,FALSE))</f>
        <v>0</v>
      </c>
      <c r="BS12" s="21">
        <f>IF(BS$4&lt;'Platform Assumptions'!$D$37,0,HLOOKUP(BS$4,'Platform Assumptions'!$D37:$DT38,2,FALSE))</f>
        <v>0</v>
      </c>
      <c r="BT12" s="21">
        <f>IF(BT$4&lt;'Platform Assumptions'!$D$37,0,HLOOKUP(BT$4,'Platform Assumptions'!$D37:$DT38,2,FALSE))</f>
        <v>0</v>
      </c>
      <c r="BU12" s="21">
        <f>IF(BU$4&lt;'Platform Assumptions'!$D$37,0,HLOOKUP(BU$4,'Platform Assumptions'!$D37:$DT38,2,FALSE))</f>
        <v>0</v>
      </c>
      <c r="BV12" s="21">
        <f>IF(BV$4&lt;'Platform Assumptions'!$D$37,0,HLOOKUP(BV$4,'Platform Assumptions'!$D37:$DT38,2,FALSE))</f>
        <v>0</v>
      </c>
      <c r="BW12" s="21">
        <f>IF(BW$4&lt;'Platform Assumptions'!$D$37,0,HLOOKUP(BW$4,'Platform Assumptions'!$D37:$DT38,2,FALSE))</f>
        <v>0</v>
      </c>
      <c r="BX12" s="21">
        <f>IF(BX$4&lt;'Platform Assumptions'!$D$37,0,HLOOKUP(BX$4,'Platform Assumptions'!$D37:$DT38,2,FALSE))</f>
        <v>0</v>
      </c>
      <c r="BY12" s="21">
        <f>IF(BY$4&lt;'Platform Assumptions'!$D$37,0,HLOOKUP(BY$4,'Platform Assumptions'!$D37:$DT38,2,FALSE))</f>
        <v>0</v>
      </c>
      <c r="BZ12" s="21">
        <f>IF(BZ$4&lt;'Platform Assumptions'!$D$37,0,HLOOKUP(BZ$4,'Platform Assumptions'!$D37:$DT38,2,FALSE))</f>
        <v>0</v>
      </c>
      <c r="CA12" s="21">
        <f>IF(CA$4&lt;'Platform Assumptions'!$D$37,0,HLOOKUP(CA$4,'Platform Assumptions'!$D37:$DT38,2,FALSE))</f>
        <v>0</v>
      </c>
      <c r="CB12" s="21">
        <f>IF(CB$4&lt;'Platform Assumptions'!$D$37,0,HLOOKUP(CB$4,'Platform Assumptions'!$D37:$DT38,2,FALSE))</f>
        <v>0</v>
      </c>
      <c r="CC12" s="21">
        <f>IF(CC$4&lt;'Platform Assumptions'!$D$37,0,HLOOKUP(CC$4,'Platform Assumptions'!$D37:$DT38,2,FALSE))</f>
        <v>0</v>
      </c>
      <c r="CD12" s="21">
        <f>IF(CD$4&lt;'Platform Assumptions'!$D$37,0,HLOOKUP(CD$4,'Platform Assumptions'!$D37:$DT38,2,FALSE))</f>
        <v>0</v>
      </c>
      <c r="CE12" s="21">
        <f>IF(CE$4&lt;'Platform Assumptions'!$D$37,0,HLOOKUP(CE$4,'Platform Assumptions'!$D37:$DT38,2,FALSE))</f>
        <v>0</v>
      </c>
      <c r="CF12" s="21">
        <f>IF(CF$4&lt;'Platform Assumptions'!$D$37,0,HLOOKUP(CF$4,'Platform Assumptions'!$D37:$DT38,2,FALSE))</f>
        <v>0</v>
      </c>
      <c r="CG12" s="21">
        <f>IF(CG$4&lt;'Platform Assumptions'!$D$37,0,HLOOKUP(CG$4,'Platform Assumptions'!$D37:$DT38,2,FALSE))</f>
        <v>0</v>
      </c>
      <c r="CH12" s="21">
        <f>IF(CH$4&lt;'Platform Assumptions'!$D$37,0,HLOOKUP(CH$4,'Platform Assumptions'!$D37:$DT38,2,FALSE))</f>
        <v>0</v>
      </c>
      <c r="CI12" s="21">
        <f>IF(CI$4&lt;'Platform Assumptions'!$D$37,0,HLOOKUP(CI$4,'Platform Assumptions'!$D37:$DT38,2,FALSE))</f>
        <v>0</v>
      </c>
      <c r="CJ12" s="21">
        <f>IF(CJ$4&lt;'Platform Assumptions'!$D$37,0,HLOOKUP(CJ$4,'Platform Assumptions'!$D37:$DT38,2,FALSE))</f>
        <v>0</v>
      </c>
      <c r="CK12" s="21">
        <f>IF(CK$4&lt;'Platform Assumptions'!$D$37,0,HLOOKUP(CK$4,'Platform Assumptions'!$D37:$DT38,2,FALSE))</f>
        <v>0</v>
      </c>
      <c r="CL12" s="21">
        <f>IF(CL$4&lt;'Platform Assumptions'!$D$37,0,HLOOKUP(CL$4,'Platform Assumptions'!$D37:$DT38,2,FALSE))</f>
        <v>0</v>
      </c>
      <c r="CM12" s="21">
        <f>IF(CM$4&lt;'Platform Assumptions'!$D$37,0,HLOOKUP(CM$4,'Platform Assumptions'!$D37:$DT38,2,FALSE))</f>
        <v>0</v>
      </c>
      <c r="CN12" s="21">
        <f>IF(CN$4&lt;'Platform Assumptions'!$D$37,0,HLOOKUP(CN$4,'Platform Assumptions'!$D37:$DT38,2,FALSE))</f>
        <v>0</v>
      </c>
      <c r="CO12" s="21">
        <f>IF(CO$4&lt;'Platform Assumptions'!$D$37,0,HLOOKUP(CO$4,'Platform Assumptions'!$D37:$DT38,2,FALSE))</f>
        <v>0</v>
      </c>
      <c r="CP12" s="21">
        <f>IF(CP$4&lt;'Platform Assumptions'!$D$37,0,HLOOKUP(CP$4,'Platform Assumptions'!$D37:$DT38,2,FALSE))</f>
        <v>0</v>
      </c>
      <c r="CQ12" s="21">
        <f>IF(CQ$4&lt;'Platform Assumptions'!$D$37,0,HLOOKUP(CQ$4,'Platform Assumptions'!$D37:$DT38,2,FALSE))</f>
        <v>0</v>
      </c>
      <c r="CR12" s="21">
        <f>IF(CR$4&lt;'Platform Assumptions'!$D$37,0,HLOOKUP(CR$4,'Platform Assumptions'!$D37:$DT38,2,FALSE))</f>
        <v>0</v>
      </c>
      <c r="CS12" s="21">
        <f>IF(CS$4&lt;'Platform Assumptions'!$D$37,0,HLOOKUP(CS$4,'Platform Assumptions'!$D37:$DT38,2,FALSE))</f>
        <v>0</v>
      </c>
      <c r="CT12" s="21">
        <f>IF(CT$4&lt;'Platform Assumptions'!$D$37,0,HLOOKUP(CT$4,'Platform Assumptions'!$D37:$DT38,2,FALSE))</f>
        <v>0</v>
      </c>
      <c r="CU12" s="21">
        <f>IF(CU$4&lt;'Platform Assumptions'!$D$37,0,HLOOKUP(CU$4,'Platform Assumptions'!$D37:$DT38,2,FALSE))</f>
        <v>0</v>
      </c>
      <c r="CV12" s="21">
        <f>IF(CV$4&lt;'Platform Assumptions'!$D$37,0,HLOOKUP(CV$4,'Platform Assumptions'!$D37:$DT38,2,FALSE))</f>
        <v>0</v>
      </c>
      <c r="CW12" s="21">
        <f>IF(CW$4&lt;'Platform Assumptions'!$D$37,0,HLOOKUP(CW$4,'Platform Assumptions'!$D37:$DT38,2,FALSE))</f>
        <v>0</v>
      </c>
      <c r="CX12" s="21">
        <f>IF(CX$4&lt;'Platform Assumptions'!$D$37,0,HLOOKUP(CX$4,'Platform Assumptions'!$D37:$DT38,2,FALSE))</f>
        <v>0</v>
      </c>
      <c r="CY12" s="21">
        <f>IF(CY$4&lt;'Platform Assumptions'!$D$37,0,HLOOKUP(CY$4,'Platform Assumptions'!$D37:$DT38,2,FALSE))</f>
        <v>0</v>
      </c>
      <c r="CZ12" s="21">
        <f>IF(CZ$4&lt;'Platform Assumptions'!$D$37,0,HLOOKUP(CZ$4,'Platform Assumptions'!$D37:$DT38,2,FALSE))</f>
        <v>0</v>
      </c>
      <c r="DA12" s="21">
        <f>IF(DA$4&lt;'Platform Assumptions'!$D$37,0,HLOOKUP(DA$4,'Platform Assumptions'!$D37:$DT38,2,FALSE))</f>
        <v>0</v>
      </c>
      <c r="DB12" s="21">
        <f>IF(DB$4&lt;'Platform Assumptions'!$D$37,0,HLOOKUP(DB$4,'Platform Assumptions'!$D37:$DT38,2,FALSE))</f>
        <v>0</v>
      </c>
      <c r="DC12" s="21">
        <f>IF(DC$4&lt;'Platform Assumptions'!$D$37,0,HLOOKUP(DC$4,'Platform Assumptions'!$D37:$DT38,2,FALSE))</f>
        <v>0</v>
      </c>
      <c r="DD12" s="21">
        <f>IF(DD$4&lt;'Platform Assumptions'!$D$37,0,HLOOKUP(DD$4,'Platform Assumptions'!$D37:$DT38,2,FALSE))</f>
        <v>0</v>
      </c>
      <c r="DE12" s="21">
        <f>IF(DE$4&lt;'Platform Assumptions'!$D$37,0,HLOOKUP(DE$4,'Platform Assumptions'!$D37:$DT38,2,FALSE))</f>
        <v>0</v>
      </c>
      <c r="DF12" s="21">
        <f>IF(DF$4&lt;'Platform Assumptions'!$D$37,0,HLOOKUP(DF$4,'Platform Assumptions'!$D37:$DT38,2,FALSE))</f>
        <v>0</v>
      </c>
      <c r="DG12" s="21">
        <f>IF(DG$4&lt;'Platform Assumptions'!$D$37,0,HLOOKUP(DG$4,'Platform Assumptions'!$D37:$DT38,2,FALSE))</f>
        <v>0</v>
      </c>
      <c r="DH12" s="21">
        <f>IF(DH$4&lt;'Platform Assumptions'!$D$37,0,HLOOKUP(DH$4,'Platform Assumptions'!$D37:$DT38,2,FALSE))</f>
        <v>0</v>
      </c>
      <c r="DI12" s="21">
        <f>IF(DI$4&lt;'Platform Assumptions'!$D$37,0,HLOOKUP(DI$4,'Platform Assumptions'!$D37:$DT38,2,FALSE))</f>
        <v>0</v>
      </c>
      <c r="DJ12" s="21">
        <f>IF(DJ$4&lt;'Platform Assumptions'!$D$37,0,HLOOKUP(DJ$4,'Platform Assumptions'!$D37:$DT38,2,FALSE))</f>
        <v>0</v>
      </c>
      <c r="DK12" s="21">
        <f>IF(DK$4&lt;'Platform Assumptions'!$D$37,0,HLOOKUP(DK$4,'Platform Assumptions'!$D37:$DT38,2,FALSE))</f>
        <v>0</v>
      </c>
      <c r="DL12" s="21">
        <f>IF(DL$4&lt;'Platform Assumptions'!$D$37,0,HLOOKUP(DL$4,'Platform Assumptions'!$D37:$DT38,2,FALSE))</f>
        <v>0</v>
      </c>
      <c r="DM12" s="21">
        <f>IF(DM$4&lt;'Platform Assumptions'!$D$37,0,HLOOKUP(DM$4,'Platform Assumptions'!$D37:$DT38,2,FALSE))</f>
        <v>0</v>
      </c>
      <c r="DN12" s="21">
        <f>IF(DN$4&lt;'Platform Assumptions'!$D$37,0,HLOOKUP(DN$4,'Platform Assumptions'!$D37:$DT38,2,FALSE))</f>
        <v>0</v>
      </c>
      <c r="DO12" s="21">
        <f>IF(DO$4&lt;'Platform Assumptions'!$D$37,0,HLOOKUP(DO$4,'Platform Assumptions'!$D37:$DT38,2,FALSE))</f>
        <v>0</v>
      </c>
      <c r="DP12" s="21">
        <f>IF(DP$4&lt;'Platform Assumptions'!$D$37,0,HLOOKUP(DP$4,'Platform Assumptions'!$D37:$DT38,2,FALSE))</f>
        <v>0</v>
      </c>
      <c r="DQ12" s="21">
        <f>IF(DQ$4&lt;'Platform Assumptions'!$D$37,0,HLOOKUP(DQ$4,'Platform Assumptions'!$D37:$DT38,2,FALSE))</f>
        <v>0</v>
      </c>
      <c r="DR12" s="21">
        <f>IF(DR$4&lt;'Platform Assumptions'!$D$37,0,HLOOKUP(DR$4,'Platform Assumptions'!$D37:$DT38,2,FALSE))</f>
        <v>0</v>
      </c>
      <c r="DS12" s="21">
        <f>IF(DS$4&lt;'Platform Assumptions'!$D$37,0,HLOOKUP(DS$4,'Platform Assumptions'!$D37:$DT38,2,FALSE))</f>
        <v>0</v>
      </c>
      <c r="DT12" s="21">
        <f>IF(DT$4&lt;'Platform Assumptions'!$D$37,0,HLOOKUP(DT$4,'Platform Assumptions'!$D37:$DT38,2,FALSE))</f>
        <v>0</v>
      </c>
      <c r="DU12" s="21">
        <f>IF(DU$4&lt;'Platform Assumptions'!$D$37,0,HLOOKUP(DU$4,'Platform Assumptions'!$D37:$DT38,2,FALSE))</f>
        <v>0</v>
      </c>
      <c r="DV12" s="21"/>
    </row>
    <row r="13" spans="3:126" s="3" customFormat="1" ht="22.95" customHeight="1">
      <c r="C13" s="104">
        <f t="shared" si="9"/>
        <v>7</v>
      </c>
      <c r="D13" s="77">
        <f t="shared" si="8"/>
        <v>3339551.9944464052</v>
      </c>
      <c r="E13" s="21">
        <f>IF(E$4&lt;'Platform Assumptions'!$D$40,0,HLOOKUP(E$4,'Platform Assumptions'!$D40:$DT41,2,FALSE))</f>
        <v>0</v>
      </c>
      <c r="F13" s="21">
        <f>IF(F$4&lt;'Platform Assumptions'!$D$40,0,HLOOKUP(F$4,'Platform Assumptions'!$D40:$DT41,2,FALSE))</f>
        <v>0</v>
      </c>
      <c r="G13" s="21">
        <f>IF(G$4&lt;'Platform Assumptions'!$D$40,0,HLOOKUP(G$4,'Platform Assumptions'!$D40:$DT41,2,FALSE))</f>
        <v>0</v>
      </c>
      <c r="H13" s="21">
        <f>IF(H$4&lt;'Platform Assumptions'!$D$40,0,HLOOKUP(H$4,'Platform Assumptions'!$D40:$DT41,2,FALSE))</f>
        <v>0</v>
      </c>
      <c r="I13" s="21">
        <f>IF(I$4&lt;'Platform Assumptions'!$D$40,0,HLOOKUP(I$4,'Platform Assumptions'!$D40:$DT41,2,FALSE))</f>
        <v>0</v>
      </c>
      <c r="J13" s="21">
        <f>IF(J$4&lt;'Platform Assumptions'!$D$40,0,HLOOKUP(J$4,'Platform Assumptions'!$D40:$DT41,2,FALSE))</f>
        <v>0</v>
      </c>
      <c r="K13" s="21">
        <f>IF(K$4&lt;'Platform Assumptions'!$D$40,0,HLOOKUP(K$4,'Platform Assumptions'!$D40:$DT41,2,FALSE))</f>
        <v>0</v>
      </c>
      <c r="L13" s="21">
        <f>IF(L$4&lt;'Platform Assumptions'!$D$40,0,HLOOKUP(L$4,'Platform Assumptions'!$D40:$DT41,2,FALSE))</f>
        <v>0</v>
      </c>
      <c r="M13" s="21">
        <f>IF(M$4&lt;'Platform Assumptions'!$D$40,0,HLOOKUP(M$4,'Platform Assumptions'!$D40:$DT41,2,FALSE))</f>
        <v>0</v>
      </c>
      <c r="N13" s="21">
        <f>IF(N$4&lt;'Platform Assumptions'!$D$40,0,HLOOKUP(N$4,'Platform Assumptions'!$D40:$DT41,2,FALSE))</f>
        <v>0</v>
      </c>
      <c r="O13" s="21">
        <f>IF(O$4&lt;'Platform Assumptions'!$D$40,0,HLOOKUP(O$4,'Platform Assumptions'!$D40:$DT41,2,FALSE))</f>
        <v>0</v>
      </c>
      <c r="P13" s="21">
        <f>IF(P$4&lt;'Platform Assumptions'!$D$40,0,HLOOKUP(P$4,'Platform Assumptions'!$D40:$DT41,2,FALSE))</f>
        <v>0</v>
      </c>
      <c r="Q13" s="21">
        <f>IF(Q$4&lt;'Platform Assumptions'!$D$40,0,HLOOKUP(Q$4,'Platform Assumptions'!$D40:$DT41,2,FALSE))</f>
        <v>0</v>
      </c>
      <c r="R13" s="21">
        <f>IF(R$4&lt;'Platform Assumptions'!$D$40,0,HLOOKUP(R$4,'Platform Assumptions'!$D40:$DT41,2,FALSE))</f>
        <v>0</v>
      </c>
      <c r="S13" s="21">
        <f>IF(S$4&lt;'Platform Assumptions'!$D$40,0,HLOOKUP(S$4,'Platform Assumptions'!$D40:$DT41,2,FALSE))</f>
        <v>0</v>
      </c>
      <c r="T13" s="21">
        <f>IF(T$4&lt;'Platform Assumptions'!$D$40,0,HLOOKUP(T$4,'Platform Assumptions'!$D40:$DT41,2,FALSE))</f>
        <v>0</v>
      </c>
      <c r="U13" s="21">
        <f>IF(U$4&lt;'Platform Assumptions'!$D$40,0,HLOOKUP(U$4,'Platform Assumptions'!$D40:$DT41,2,FALSE))</f>
        <v>0</v>
      </c>
      <c r="V13" s="21">
        <f>IF(V$4&lt;'Platform Assumptions'!$D$40,0,HLOOKUP(V$4,'Platform Assumptions'!$D40:$DT41,2,FALSE))</f>
        <v>0</v>
      </c>
      <c r="W13" s="21">
        <f>IF(W$4&lt;'Platform Assumptions'!$D$40,0,HLOOKUP(W$4,'Platform Assumptions'!$D40:$DT41,2,FALSE))</f>
        <v>46666.666666666664</v>
      </c>
      <c r="X13" s="21">
        <f>IF(X$4&lt;'Platform Assumptions'!$D$40,0,HLOOKUP(X$4,'Platform Assumptions'!$D40:$DT41,2,FALSE))</f>
        <v>-3333.3333333333335</v>
      </c>
      <c r="Y13" s="21">
        <f>IF(Y$4&lt;'Platform Assumptions'!$D$40,0,HLOOKUP(Y$4,'Platform Assumptions'!$D40:$DT41,2,FALSE))</f>
        <v>-3333.3333333333335</v>
      </c>
      <c r="Z13" s="21">
        <f>IF(Z$4&lt;'Platform Assumptions'!$D$40,0,HLOOKUP(Z$4,'Platform Assumptions'!$D40:$DT41,2,FALSE))</f>
        <v>-3333.3333333333335</v>
      </c>
      <c r="AA13" s="21">
        <f>IF(AA$4&lt;'Platform Assumptions'!$D$40,0,HLOOKUP(AA$4,'Platform Assumptions'!$D40:$DT41,2,FALSE))</f>
        <v>-3333.3333333333335</v>
      </c>
      <c r="AB13" s="21">
        <f>IF(AB$4&lt;'Platform Assumptions'!$D$40,0,HLOOKUP(AB$4,'Platform Assumptions'!$D40:$DT41,2,FALSE))</f>
        <v>-3333.3333333333335</v>
      </c>
      <c r="AC13" s="21">
        <f>IF(AC$4&lt;'Platform Assumptions'!$D$40,0,HLOOKUP(AC$4,'Platform Assumptions'!$D40:$DT41,2,FALSE))</f>
        <v>6250</v>
      </c>
      <c r="AD13" s="21">
        <f>IF(AD$4&lt;'Platform Assumptions'!$D$40,0,HLOOKUP(AD$4,'Platform Assumptions'!$D40:$DT41,2,FALSE))</f>
        <v>6250</v>
      </c>
      <c r="AE13" s="21">
        <f>IF(AE$4&lt;'Platform Assumptions'!$D$40,0,HLOOKUP(AE$4,'Platform Assumptions'!$D40:$DT41,2,FALSE))</f>
        <v>6250</v>
      </c>
      <c r="AF13" s="21">
        <f>IF(AF$4&lt;'Platform Assumptions'!$D$40,0,HLOOKUP(AF$4,'Platform Assumptions'!$D40:$DT41,2,FALSE))</f>
        <v>6250</v>
      </c>
      <c r="AG13" s="21">
        <f>IF(AG$4&lt;'Platform Assumptions'!$D$40,0,HLOOKUP(AG$4,'Platform Assumptions'!$D40:$DT41,2,FALSE))</f>
        <v>6250</v>
      </c>
      <c r="AH13" s="21">
        <f>IF(AH$4&lt;'Platform Assumptions'!$D$40,0,HLOOKUP(AH$4,'Platform Assumptions'!$D40:$DT41,2,FALSE))</f>
        <v>6250</v>
      </c>
      <c r="AI13" s="21">
        <f>IF(AI$4&lt;'Platform Assumptions'!$D$40,0,HLOOKUP(AI$4,'Platform Assumptions'!$D40:$DT41,2,FALSE))</f>
        <v>6250</v>
      </c>
      <c r="AJ13" s="21">
        <f>IF(AJ$4&lt;'Platform Assumptions'!$D$40,0,HLOOKUP(AJ$4,'Platform Assumptions'!$D40:$DT41,2,FALSE))</f>
        <v>6250</v>
      </c>
      <c r="AK13" s="21">
        <f>IF(AK$4&lt;'Platform Assumptions'!$D$40,0,HLOOKUP(AK$4,'Platform Assumptions'!$D40:$DT41,2,FALSE))</f>
        <v>6250</v>
      </c>
      <c r="AL13" s="21">
        <f>IF(AL$4&lt;'Platform Assumptions'!$D$40,0,HLOOKUP(AL$4,'Platform Assumptions'!$D40:$DT41,2,FALSE))</f>
        <v>6250</v>
      </c>
      <c r="AM13" s="21">
        <f>IF(AM$4&lt;'Platform Assumptions'!$D$40,0,HLOOKUP(AM$4,'Platform Assumptions'!$D40:$DT41,2,FALSE))</f>
        <v>6250</v>
      </c>
      <c r="AN13" s="21">
        <f>IF(AN$4&lt;'Platform Assumptions'!$D$40,0,HLOOKUP(AN$4,'Platform Assumptions'!$D40:$DT41,2,FALSE))</f>
        <v>6250</v>
      </c>
      <c r="AO13" s="21">
        <f>IF(AO$4&lt;'Platform Assumptions'!$D$40,0,HLOOKUP(AO$4,'Platform Assumptions'!$D40:$DT41,2,FALSE))</f>
        <v>37500</v>
      </c>
      <c r="AP13" s="21">
        <f>IF(AP$4&lt;'Platform Assumptions'!$D$40,0,HLOOKUP(AP$4,'Platform Assumptions'!$D40:$DT41,2,FALSE))</f>
        <v>0</v>
      </c>
      <c r="AQ13" s="21">
        <f>IF(AQ$4&lt;'Platform Assumptions'!$D$40,0,HLOOKUP(AQ$4,'Platform Assumptions'!$D40:$DT41,2,FALSE))</f>
        <v>0</v>
      </c>
      <c r="AR13" s="21">
        <f>IF(AR$4&lt;'Platform Assumptions'!$D$40,0,HLOOKUP(AR$4,'Platform Assumptions'!$D40:$DT41,2,FALSE))</f>
        <v>0</v>
      </c>
      <c r="AS13" s="21">
        <f>IF(AS$4&lt;'Platform Assumptions'!$D$40,0,HLOOKUP(AS$4,'Platform Assumptions'!$D40:$DT41,2,FALSE))</f>
        <v>0</v>
      </c>
      <c r="AT13" s="21">
        <f>IF(AT$4&lt;'Platform Assumptions'!$D$40,0,HLOOKUP(AT$4,'Platform Assumptions'!$D40:$DT41,2,FALSE))</f>
        <v>0</v>
      </c>
      <c r="AU13" s="21">
        <f>IF(AU$4&lt;'Platform Assumptions'!$D$40,0,HLOOKUP(AU$4,'Platform Assumptions'!$D40:$DT41,2,FALSE))</f>
        <v>1350000</v>
      </c>
      <c r="AV13" s="21">
        <f>IF(AV$4&lt;'Platform Assumptions'!$D$40,0,HLOOKUP(AV$4,'Platform Assumptions'!$D40:$DT41,2,FALSE))</f>
        <v>0</v>
      </c>
      <c r="AW13" s="21">
        <f>IF(AW$4&lt;'Platform Assumptions'!$D$40,0,HLOOKUP(AW$4,'Platform Assumptions'!$D40:$DT41,2,FALSE))</f>
        <v>0</v>
      </c>
      <c r="AX13" s="21">
        <f>IF(AX$4&lt;'Platform Assumptions'!$D$40,0,HLOOKUP(AX$4,'Platform Assumptions'!$D40:$DT41,2,FALSE))</f>
        <v>9851.3671875</v>
      </c>
      <c r="AY13" s="21">
        <f>IF(AY$4&lt;'Platform Assumptions'!$D$40,0,HLOOKUP(AY$4,'Platform Assumptions'!$D40:$DT41,2,FALSE))</f>
        <v>9851.3671875</v>
      </c>
      <c r="AZ13" s="21">
        <f>IF(AZ$4&lt;'Platform Assumptions'!$D$40,0,HLOOKUP(AZ$4,'Platform Assumptions'!$D40:$DT41,2,FALSE))</f>
        <v>9851.3671875</v>
      </c>
      <c r="BA13" s="21">
        <f>IF(BA$4&lt;'Platform Assumptions'!$D$40,0,HLOOKUP(BA$4,'Platform Assumptions'!$D40:$DT41,2,FALSE))</f>
        <v>9851.3671875</v>
      </c>
      <c r="BB13" s="21">
        <f>IF(BB$4&lt;'Platform Assumptions'!$D$40,0,HLOOKUP(BB$4,'Platform Assumptions'!$D40:$DT41,2,FALSE))</f>
        <v>9851.3671875</v>
      </c>
      <c r="BC13" s="21">
        <f>IF(BC$4&lt;'Platform Assumptions'!$D$40,0,HLOOKUP(BC$4,'Platform Assumptions'!$D40:$DT41,2,FALSE))</f>
        <v>9851.3671875</v>
      </c>
      <c r="BD13" s="21">
        <f>IF(BD$4&lt;'Platform Assumptions'!$D$40,0,HLOOKUP(BD$4,'Platform Assumptions'!$D40:$DT41,2,FALSE))</f>
        <v>9851.3671875</v>
      </c>
      <c r="BE13" s="21">
        <f>IF(BE$4&lt;'Platform Assumptions'!$D$40,0,HLOOKUP(BE$4,'Platform Assumptions'!$D40:$DT41,2,FALSE))</f>
        <v>9851.3671875</v>
      </c>
      <c r="BF13" s="21">
        <f>IF(BF$4&lt;'Platform Assumptions'!$D$40,0,HLOOKUP(BF$4,'Platform Assumptions'!$D40:$DT41,2,FALSE))</f>
        <v>9851.3671875</v>
      </c>
      <c r="BG13" s="21">
        <f>IF(BG$4&lt;'Platform Assumptions'!$D$40,0,HLOOKUP(BG$4,'Platform Assumptions'!$D40:$DT41,2,FALSE))</f>
        <v>9851.3671875</v>
      </c>
      <c r="BH13" s="21">
        <f>IF(BH$4&lt;'Platform Assumptions'!$D$40,0,HLOOKUP(BH$4,'Platform Assumptions'!$D40:$DT41,2,FALSE))</f>
        <v>9851.3671875</v>
      </c>
      <c r="BI13" s="21">
        <f>IF(BI$4&lt;'Platform Assumptions'!$D$40,0,HLOOKUP(BI$4,'Platform Assumptions'!$D40:$DT41,2,FALSE))</f>
        <v>9851.3671875</v>
      </c>
      <c r="BJ13" s="21">
        <f>IF(BJ$4&lt;'Platform Assumptions'!$D$40,0,HLOOKUP(BJ$4,'Platform Assumptions'!$D40:$DT41,2,FALSE))</f>
        <v>9851.3671875</v>
      </c>
      <c r="BK13" s="21">
        <f>IF(BK$4&lt;'Platform Assumptions'!$D$40,0,HLOOKUP(BK$4,'Platform Assumptions'!$D40:$DT41,2,FALSE))</f>
        <v>9851.3671875</v>
      </c>
      <c r="BL13" s="21">
        <f>IF(BL$4&lt;'Platform Assumptions'!$D$40,0,HLOOKUP(BL$4,'Platform Assumptions'!$D40:$DT41,2,FALSE))</f>
        <v>9851.3671875</v>
      </c>
      <c r="BM13" s="21">
        <f>IF(BM$4&lt;'Platform Assumptions'!$D$40,0,HLOOKUP(BM$4,'Platform Assumptions'!$D40:$DT41,2,FALSE))</f>
        <v>9851.3671875</v>
      </c>
      <c r="BN13" s="21">
        <f>IF(BN$4&lt;'Platform Assumptions'!$D$40,0,HLOOKUP(BN$4,'Platform Assumptions'!$D40:$DT41,2,FALSE))</f>
        <v>9851.3671875</v>
      </c>
      <c r="BO13" s="21">
        <f>IF(BO$4&lt;'Platform Assumptions'!$D$40,0,HLOOKUP(BO$4,'Platform Assumptions'!$D40:$DT41,2,FALSE))</f>
        <v>9851.3671875</v>
      </c>
      <c r="BP13" s="21">
        <f>IF(BP$4&lt;'Platform Assumptions'!$D$40,0,HLOOKUP(BP$4,'Platform Assumptions'!$D40:$DT41,2,FALSE))</f>
        <v>21035.69370372003</v>
      </c>
      <c r="BQ13" s="21">
        <f>IF(BQ$4&lt;'Platform Assumptions'!$D$40,0,HLOOKUP(BQ$4,'Platform Assumptions'!$D40:$DT41,2,FALSE))</f>
        <v>21035.69370372003</v>
      </c>
      <c r="BR13" s="21">
        <f>IF(BR$4&lt;'Platform Assumptions'!$D$40,0,HLOOKUP(BR$4,'Platform Assumptions'!$D40:$DT41,2,FALSE))</f>
        <v>21035.69370372003</v>
      </c>
      <c r="BS13" s="21">
        <f>IF(BS$4&lt;'Platform Assumptions'!$D$40,0,HLOOKUP(BS$4,'Platform Assumptions'!$D40:$DT41,2,FALSE))</f>
        <v>21035.69370372003</v>
      </c>
      <c r="BT13" s="21">
        <f>IF(BT$4&lt;'Platform Assumptions'!$D$40,0,HLOOKUP(BT$4,'Platform Assumptions'!$D40:$DT41,2,FALSE))</f>
        <v>21035.69370372003</v>
      </c>
      <c r="BU13" s="21">
        <f>IF(BU$4&lt;'Platform Assumptions'!$D$40,0,HLOOKUP(BU$4,'Platform Assumptions'!$D40:$DT41,2,FALSE))</f>
        <v>21035.69370372003</v>
      </c>
      <c r="BV13" s="21">
        <f>IF(BV$4&lt;'Platform Assumptions'!$D$40,0,HLOOKUP(BV$4,'Platform Assumptions'!$D40:$DT41,2,FALSE))</f>
        <v>447829.27832628123</v>
      </c>
      <c r="BW13" s="21">
        <f>IF(BW$4&lt;'Platform Assumptions'!$D$40,0,HLOOKUP(BW$4,'Platform Assumptions'!$D40:$DT41,2,FALSE))</f>
        <v>68812.176774800188</v>
      </c>
      <c r="BX13" s="21">
        <f>IF(BX$4&lt;'Platform Assumptions'!$D$40,0,HLOOKUP(BX$4,'Platform Assumptions'!$D40:$DT41,2,FALSE))</f>
        <v>70062.176774800188</v>
      </c>
      <c r="BY13" s="21">
        <f>IF(BY$4&lt;'Platform Assumptions'!$D$40,0,HLOOKUP(BY$4,'Platform Assumptions'!$D40:$DT41,2,FALSE))</f>
        <v>71312.176774800188</v>
      </c>
      <c r="BZ13" s="21">
        <f>IF(BZ$4&lt;'Platform Assumptions'!$D$40,0,HLOOKUP(BZ$4,'Platform Assumptions'!$D40:$DT41,2,FALSE))</f>
        <v>72562.176774800188</v>
      </c>
      <c r="CA13" s="21">
        <f>IF(CA$4&lt;'Platform Assumptions'!$D$40,0,HLOOKUP(CA$4,'Platform Assumptions'!$D40:$DT41,2,FALSE))</f>
        <v>73812.176774800188</v>
      </c>
      <c r="CB13" s="21">
        <f>IF(CB$4&lt;'Platform Assumptions'!$D$40,0,HLOOKUP(CB$4,'Platform Assumptions'!$D40:$DT41,2,FALSE))</f>
        <v>75062.176774800188</v>
      </c>
      <c r="CC13" s="21">
        <f>IF(CC$4&lt;'Platform Assumptions'!$D$40,0,HLOOKUP(CC$4,'Platform Assumptions'!$D40:$DT41,2,FALSE))</f>
        <v>76312.176774800188</v>
      </c>
      <c r="CD13" s="21">
        <f>IF(CD$4&lt;'Platform Assumptions'!$D$40,0,HLOOKUP(CD$4,'Platform Assumptions'!$D40:$DT41,2,FALSE))</f>
        <v>77562.176774800188</v>
      </c>
      <c r="CE13" s="21">
        <f>IF(CE$4&lt;'Platform Assumptions'!$D$40,0,HLOOKUP(CE$4,'Platform Assumptions'!$D40:$DT41,2,FALSE))</f>
        <v>78812.176774800188</v>
      </c>
      <c r="CF13" s="21">
        <f>IF(CF$4&lt;'Platform Assumptions'!$D$40,0,HLOOKUP(CF$4,'Platform Assumptions'!$D40:$DT41,2,FALSE))</f>
        <v>80062.176774800188</v>
      </c>
      <c r="CG13" s="21">
        <f>IF(CG$4&lt;'Platform Assumptions'!$D$40,0,HLOOKUP(CG$4,'Platform Assumptions'!$D40:$DT41,2,FALSE))</f>
        <v>81312.176774800188</v>
      </c>
      <c r="CH13" s="21">
        <f>IF(CH$4&lt;'Platform Assumptions'!$D$40,0,HLOOKUP(CH$4,'Platform Assumptions'!$D40:$DT41,2,FALSE))</f>
        <v>6750</v>
      </c>
      <c r="CI13" s="21">
        <f>IF(CI$4&lt;'Platform Assumptions'!$D$40,0,HLOOKUP(CI$4,'Platform Assumptions'!$D40:$DT41,2,FALSE))</f>
        <v>6750</v>
      </c>
      <c r="CJ13" s="21">
        <f>IF(CJ$4&lt;'Platform Assumptions'!$D$40,0,HLOOKUP(CJ$4,'Platform Assumptions'!$D40:$DT41,2,FALSE))</f>
        <v>6750</v>
      </c>
      <c r="CK13" s="21">
        <f>IF(CK$4&lt;'Platform Assumptions'!$D$40,0,HLOOKUP(CK$4,'Platform Assumptions'!$D40:$DT41,2,FALSE))</f>
        <v>6750</v>
      </c>
      <c r="CL13" s="21">
        <f>IF(CL$4&lt;'Platform Assumptions'!$D$40,0,HLOOKUP(CL$4,'Platform Assumptions'!$D40:$DT41,2,FALSE))</f>
        <v>6750</v>
      </c>
      <c r="CM13" s="21">
        <f>IF(CM$4&lt;'Platform Assumptions'!$D$40,0,HLOOKUP(CM$4,'Platform Assumptions'!$D40:$DT41,2,FALSE))</f>
        <v>6750</v>
      </c>
      <c r="CN13" s="21">
        <f>IF(CN$4&lt;'Platform Assumptions'!$D$40,0,HLOOKUP(CN$4,'Platform Assumptions'!$D40:$DT41,2,FALSE))</f>
        <v>6750</v>
      </c>
      <c r="CO13" s="21">
        <f>IF(CO$4&lt;'Platform Assumptions'!$D$40,0,HLOOKUP(CO$4,'Platform Assumptions'!$D40:$DT41,2,FALSE))</f>
        <v>6750</v>
      </c>
      <c r="CP13" s="21">
        <f>IF(CP$4&lt;'Platform Assumptions'!$D$40,0,HLOOKUP(CP$4,'Platform Assumptions'!$D40:$DT41,2,FALSE))</f>
        <v>6750</v>
      </c>
      <c r="CQ13" s="21">
        <f>IF(CQ$4&lt;'Platform Assumptions'!$D$40,0,HLOOKUP(CQ$4,'Platform Assumptions'!$D40:$DT41,2,FALSE))</f>
        <v>6750</v>
      </c>
      <c r="CR13" s="21">
        <f>IF(CR$4&lt;'Platform Assumptions'!$D$40,0,HLOOKUP(CR$4,'Platform Assumptions'!$D40:$DT41,2,FALSE))</f>
        <v>6750</v>
      </c>
      <c r="CS13" s="21">
        <f>IF(CS$4&lt;'Platform Assumptions'!$D$40,0,HLOOKUP(CS$4,'Platform Assumptions'!$D40:$DT41,2,FALSE))</f>
        <v>6750</v>
      </c>
      <c r="CT13" s="21">
        <f>IF(CT$4&lt;'Platform Assumptions'!$D$40,0,HLOOKUP(CT$4,'Platform Assumptions'!$D40:$DT41,2,FALSE))</f>
        <v>6750</v>
      </c>
      <c r="CU13" s="21">
        <f>IF(CU$4&lt;'Platform Assumptions'!$D$40,0,HLOOKUP(CU$4,'Platform Assumptions'!$D40:$DT41,2,FALSE))</f>
        <v>6750</v>
      </c>
      <c r="CV13" s="21">
        <f>IF(CV$4&lt;'Platform Assumptions'!$D$40,0,HLOOKUP(CV$4,'Platform Assumptions'!$D40:$DT41,2,FALSE))</f>
        <v>6750</v>
      </c>
      <c r="CW13" s="21">
        <f>IF(CW$4&lt;'Platform Assumptions'!$D$40,0,HLOOKUP(CW$4,'Platform Assumptions'!$D40:$DT41,2,FALSE))</f>
        <v>6750</v>
      </c>
      <c r="CX13" s="21">
        <f>IF(CX$4&lt;'Platform Assumptions'!$D$40,0,HLOOKUP(CX$4,'Platform Assumptions'!$D40:$DT41,2,FALSE))</f>
        <v>6750</v>
      </c>
      <c r="CY13" s="21">
        <f>IF(CY$4&lt;'Platform Assumptions'!$D$40,0,HLOOKUP(CY$4,'Platform Assumptions'!$D40:$DT41,2,FALSE))</f>
        <v>6750</v>
      </c>
      <c r="CZ13" s="21">
        <f>IF(CZ$4&lt;'Platform Assumptions'!$D$40,0,HLOOKUP(CZ$4,'Platform Assumptions'!$D40:$DT41,2,FALSE))</f>
        <v>6750</v>
      </c>
      <c r="DA13" s="21">
        <f>IF(DA$4&lt;'Platform Assumptions'!$D$40,0,HLOOKUP(DA$4,'Platform Assumptions'!$D40:$DT41,2,FALSE))</f>
        <v>6750</v>
      </c>
      <c r="DB13" s="21">
        <f>IF(DB$4&lt;'Platform Assumptions'!$D$40,0,HLOOKUP(DB$4,'Platform Assumptions'!$D40:$DT41,2,FALSE))</f>
        <v>6750</v>
      </c>
      <c r="DC13" s="21">
        <f>IF(DC$4&lt;'Platform Assumptions'!$D$40,0,HLOOKUP(DC$4,'Platform Assumptions'!$D40:$DT41,2,FALSE))</f>
        <v>6750</v>
      </c>
      <c r="DD13" s="21">
        <f>IF(DD$4&lt;'Platform Assumptions'!$D$40,0,HLOOKUP(DD$4,'Platform Assumptions'!$D40:$DT41,2,FALSE))</f>
        <v>6750</v>
      </c>
      <c r="DE13" s="21">
        <f>IF(DE$4&lt;'Platform Assumptions'!$D$40,0,HLOOKUP(DE$4,'Platform Assumptions'!$D40:$DT41,2,FALSE))</f>
        <v>6750</v>
      </c>
      <c r="DF13" s="21">
        <f>IF(DF$4&lt;'Platform Assumptions'!$D$40,0,HLOOKUP(DF$4,'Platform Assumptions'!$D40:$DT41,2,FALSE))</f>
        <v>6750</v>
      </c>
      <c r="DG13" s="21">
        <f>IF(DG$4&lt;'Platform Assumptions'!$D$40,0,HLOOKUP(DG$4,'Platform Assumptions'!$D40:$DT41,2,FALSE))</f>
        <v>6750</v>
      </c>
      <c r="DH13" s="21">
        <f>IF(DH$4&lt;'Platform Assumptions'!$D$40,0,HLOOKUP(DH$4,'Platform Assumptions'!$D40:$DT41,2,FALSE))</f>
        <v>6750</v>
      </c>
      <c r="DI13" s="21">
        <f>IF(DI$4&lt;'Platform Assumptions'!$D$40,0,HLOOKUP(DI$4,'Platform Assumptions'!$D40:$DT41,2,FALSE))</f>
        <v>6750</v>
      </c>
      <c r="DJ13" s="21">
        <f>IF(DJ$4&lt;'Platform Assumptions'!$D$40,0,HLOOKUP(DJ$4,'Platform Assumptions'!$D40:$DT41,2,FALSE))</f>
        <v>6750</v>
      </c>
      <c r="DK13" s="21">
        <f>IF(DK$4&lt;'Platform Assumptions'!$D$40,0,HLOOKUP(DK$4,'Platform Assumptions'!$D40:$DT41,2,FALSE))</f>
        <v>6750</v>
      </c>
      <c r="DL13" s="21">
        <f>IF(DL$4&lt;'Platform Assumptions'!$D$40,0,HLOOKUP(DL$4,'Platform Assumptions'!$D40:$DT41,2,FALSE))</f>
        <v>6750</v>
      </c>
      <c r="DM13" s="21">
        <f>IF(DM$4&lt;'Platform Assumptions'!$D$40,0,HLOOKUP(DM$4,'Platform Assumptions'!$D40:$DT41,2,FALSE))</f>
        <v>6750</v>
      </c>
      <c r="DN13" s="21">
        <f>IF(DN$4&lt;'Platform Assumptions'!$D$40,0,HLOOKUP(DN$4,'Platform Assumptions'!$D40:$DT41,2,FALSE))</f>
        <v>6750</v>
      </c>
      <c r="DO13" s="21">
        <f>IF(DO$4&lt;'Platform Assumptions'!$D$40,0,HLOOKUP(DO$4,'Platform Assumptions'!$D40:$DT41,2,FALSE))</f>
        <v>6750</v>
      </c>
      <c r="DP13" s="21">
        <f>IF(DP$4&lt;'Platform Assumptions'!$D$40,0,HLOOKUP(DP$4,'Platform Assumptions'!$D40:$DT41,2,FALSE))</f>
        <v>6750</v>
      </c>
      <c r="DQ13" s="21">
        <f>IF(DQ$4&lt;'Platform Assumptions'!$D$40,0,HLOOKUP(DQ$4,'Platform Assumptions'!$D40:$DT41,2,FALSE))</f>
        <v>6750</v>
      </c>
      <c r="DR13" s="21">
        <f>IF(DR$4&lt;'Platform Assumptions'!$D$40,0,HLOOKUP(DR$4,'Platform Assumptions'!$D40:$DT41,2,FALSE))</f>
        <v>6750</v>
      </c>
      <c r="DS13" s="21">
        <f>IF(DS$4&lt;'Platform Assumptions'!$D$40,0,HLOOKUP(DS$4,'Platform Assumptions'!$D40:$DT41,2,FALSE))</f>
        <v>6750</v>
      </c>
      <c r="DT13" s="21">
        <f>IF(DT$4&lt;'Platform Assumptions'!$D$40,0,HLOOKUP(DT$4,'Platform Assumptions'!$D40:$DT41,2,FALSE))</f>
        <v>6750</v>
      </c>
      <c r="DU13" s="21">
        <f>IF(DU$4&lt;'Platform Assumptions'!$D$40,0,HLOOKUP(DU$4,'Platform Assumptions'!$D40:$DT41,2,FALSE))</f>
        <v>6750</v>
      </c>
      <c r="DV13" s="21"/>
    </row>
    <row r="14" spans="3:126" s="3" customFormat="1" ht="22.95" customHeight="1">
      <c r="C14" s="104">
        <f t="shared" si="9"/>
        <v>8</v>
      </c>
      <c r="D14" s="77">
        <f t="shared" si="8"/>
        <v>104999.99999999999</v>
      </c>
      <c r="E14" s="21">
        <f>IF(E$4&lt;'Platform Assumptions'!$D$43,0,HLOOKUP(E$4,'Platform Assumptions'!$D43:$DT44,2,FALSE))</f>
        <v>0</v>
      </c>
      <c r="F14" s="21">
        <f>IF(F$4&lt;'Platform Assumptions'!$D$43,0,HLOOKUP(F$4,'Platform Assumptions'!$D43:$DT44,2,FALSE))</f>
        <v>0</v>
      </c>
      <c r="G14" s="21">
        <f>IF(G$4&lt;'Platform Assumptions'!$D$43,0,HLOOKUP(G$4,'Platform Assumptions'!$D43:$DT44,2,FALSE))</f>
        <v>0</v>
      </c>
      <c r="H14" s="21">
        <f>IF(H$4&lt;'Platform Assumptions'!$D$43,0,HLOOKUP(H$4,'Platform Assumptions'!$D43:$DT44,2,FALSE))</f>
        <v>0</v>
      </c>
      <c r="I14" s="21">
        <f>IF(I$4&lt;'Platform Assumptions'!$D$43,0,HLOOKUP(I$4,'Platform Assumptions'!$D43:$DT44,2,FALSE))</f>
        <v>0</v>
      </c>
      <c r="J14" s="21">
        <f>IF(J$4&lt;'Platform Assumptions'!$D$43,0,HLOOKUP(J$4,'Platform Assumptions'!$D43:$DT44,2,FALSE))</f>
        <v>0</v>
      </c>
      <c r="K14" s="21">
        <f>IF(K$4&lt;'Platform Assumptions'!$D$43,0,HLOOKUP(K$4,'Platform Assumptions'!$D43:$DT44,2,FALSE))</f>
        <v>0</v>
      </c>
      <c r="L14" s="21">
        <f>IF(L$4&lt;'Platform Assumptions'!$D$43,0,HLOOKUP(L$4,'Platform Assumptions'!$D43:$DT44,2,FALSE))</f>
        <v>0</v>
      </c>
      <c r="M14" s="21">
        <f>IF(M$4&lt;'Platform Assumptions'!$D$43,0,HLOOKUP(M$4,'Platform Assumptions'!$D43:$DT44,2,FALSE))</f>
        <v>0</v>
      </c>
      <c r="N14" s="21">
        <f>IF(N$4&lt;'Platform Assumptions'!$D$43,0,HLOOKUP(N$4,'Platform Assumptions'!$D43:$DT44,2,FALSE))</f>
        <v>0</v>
      </c>
      <c r="O14" s="21">
        <f>IF(O$4&lt;'Platform Assumptions'!$D$43,0,HLOOKUP(O$4,'Platform Assumptions'!$D43:$DT44,2,FALSE))</f>
        <v>0</v>
      </c>
      <c r="P14" s="21">
        <f>IF(P$4&lt;'Platform Assumptions'!$D$43,0,HLOOKUP(P$4,'Platform Assumptions'!$D43:$DT44,2,FALSE))</f>
        <v>0</v>
      </c>
      <c r="Q14" s="21">
        <f>IF(Q$4&lt;'Platform Assumptions'!$D$43,0,HLOOKUP(Q$4,'Platform Assumptions'!$D43:$DT44,2,FALSE))</f>
        <v>0</v>
      </c>
      <c r="R14" s="21">
        <f>IF(R$4&lt;'Platform Assumptions'!$D$43,0,HLOOKUP(R$4,'Platform Assumptions'!$D43:$DT44,2,FALSE))</f>
        <v>0</v>
      </c>
      <c r="S14" s="21">
        <f>IF(S$4&lt;'Platform Assumptions'!$D$43,0,HLOOKUP(S$4,'Platform Assumptions'!$D43:$DT44,2,FALSE))</f>
        <v>0</v>
      </c>
      <c r="T14" s="21">
        <f>IF(T$4&lt;'Platform Assumptions'!$D$43,0,HLOOKUP(T$4,'Platform Assumptions'!$D43:$DT44,2,FALSE))</f>
        <v>0</v>
      </c>
      <c r="U14" s="21">
        <f>IF(U$4&lt;'Platform Assumptions'!$D$43,0,HLOOKUP(U$4,'Platform Assumptions'!$D43:$DT44,2,FALSE))</f>
        <v>0</v>
      </c>
      <c r="V14" s="21">
        <f>IF(V$4&lt;'Platform Assumptions'!$D$43,0,HLOOKUP(V$4,'Platform Assumptions'!$D43:$DT44,2,FALSE))</f>
        <v>0</v>
      </c>
      <c r="W14" s="21">
        <f>IF(W$4&lt;'Platform Assumptions'!$D$43,0,HLOOKUP(W$4,'Platform Assumptions'!$D43:$DT44,2,FALSE))</f>
        <v>0</v>
      </c>
      <c r="X14" s="21">
        <f>IF(X$4&lt;'Platform Assumptions'!$D$43,0,HLOOKUP(X$4,'Platform Assumptions'!$D43:$DT44,2,FALSE))</f>
        <v>0</v>
      </c>
      <c r="Y14" s="21">
        <f>IF(Y$4&lt;'Platform Assumptions'!$D$43,0,HLOOKUP(Y$4,'Platform Assumptions'!$D43:$DT44,2,FALSE))</f>
        <v>0</v>
      </c>
      <c r="Z14" s="21">
        <f>IF(Z$4&lt;'Platform Assumptions'!$D$43,0,HLOOKUP(Z$4,'Platform Assumptions'!$D43:$DT44,2,FALSE))</f>
        <v>46666.666666666664</v>
      </c>
      <c r="AA14" s="21">
        <f>IF(AA$4&lt;'Platform Assumptions'!$D$43,0,HLOOKUP(AA$4,'Platform Assumptions'!$D43:$DT44,2,FALSE))</f>
        <v>-3333.3333333333335</v>
      </c>
      <c r="AB14" s="21">
        <f>IF(AB$4&lt;'Platform Assumptions'!$D$43,0,HLOOKUP(AB$4,'Platform Assumptions'!$D43:$DT44,2,FALSE))</f>
        <v>-3333.3333333333335</v>
      </c>
      <c r="AC14" s="21">
        <f>IF(AC$4&lt;'Platform Assumptions'!$D$43,0,HLOOKUP(AC$4,'Platform Assumptions'!$D43:$DT44,2,FALSE))</f>
        <v>-3333.3333333333335</v>
      </c>
      <c r="AD14" s="21">
        <f>IF(AD$4&lt;'Platform Assumptions'!$D$43,0,HLOOKUP(AD$4,'Platform Assumptions'!$D43:$DT44,2,FALSE))</f>
        <v>-3333.3333333333335</v>
      </c>
      <c r="AE14" s="21">
        <f>IF(AE$4&lt;'Platform Assumptions'!$D$43,0,HLOOKUP(AE$4,'Platform Assumptions'!$D43:$DT44,2,FALSE))</f>
        <v>-3333.3333333333335</v>
      </c>
      <c r="AF14" s="21">
        <f>IF(AF$4&lt;'Platform Assumptions'!$D$43,0,HLOOKUP(AF$4,'Platform Assumptions'!$D43:$DT44,2,FALSE))</f>
        <v>6250</v>
      </c>
      <c r="AG14" s="21">
        <f>IF(AG$4&lt;'Platform Assumptions'!$D$43,0,HLOOKUP(AG$4,'Platform Assumptions'!$D43:$DT44,2,FALSE))</f>
        <v>6250</v>
      </c>
      <c r="AH14" s="21">
        <f>IF(AH$4&lt;'Platform Assumptions'!$D$43,0,HLOOKUP(AH$4,'Platform Assumptions'!$D43:$DT44,2,FALSE))</f>
        <v>6250</v>
      </c>
      <c r="AI14" s="21">
        <f>IF(AI$4&lt;'Platform Assumptions'!$D$43,0,HLOOKUP(AI$4,'Platform Assumptions'!$D43:$DT44,2,FALSE))</f>
        <v>6250</v>
      </c>
      <c r="AJ14" s="21">
        <f>IF(AJ$4&lt;'Platform Assumptions'!$D$43,0,HLOOKUP(AJ$4,'Platform Assumptions'!$D43:$DT44,2,FALSE))</f>
        <v>6250</v>
      </c>
      <c r="AK14" s="21">
        <f>IF(AK$4&lt;'Platform Assumptions'!$D$43,0,HLOOKUP(AK$4,'Platform Assumptions'!$D43:$DT44,2,FALSE))</f>
        <v>6250</v>
      </c>
      <c r="AL14" s="21">
        <f>IF(AL$4&lt;'Platform Assumptions'!$D$43,0,HLOOKUP(AL$4,'Platform Assumptions'!$D43:$DT44,2,FALSE))</f>
        <v>6250</v>
      </c>
      <c r="AM14" s="21">
        <f>IF(AM$4&lt;'Platform Assumptions'!$D$43,0,HLOOKUP(AM$4,'Platform Assumptions'!$D43:$DT44,2,FALSE))</f>
        <v>6250</v>
      </c>
      <c r="AN14" s="21">
        <f>IF(AN$4&lt;'Platform Assumptions'!$D$43,0,HLOOKUP(AN$4,'Platform Assumptions'!$D43:$DT44,2,FALSE))</f>
        <v>6250</v>
      </c>
      <c r="AO14" s="21">
        <f>IF(AO$4&lt;'Platform Assumptions'!$D$43,0,HLOOKUP(AO$4,'Platform Assumptions'!$D43:$DT44,2,FALSE))</f>
        <v>6250</v>
      </c>
      <c r="AP14" s="21">
        <f>IF(AP$4&lt;'Platform Assumptions'!$D$43,0,HLOOKUP(AP$4,'Platform Assumptions'!$D43:$DT44,2,FALSE))</f>
        <v>6250</v>
      </c>
      <c r="AQ14" s="21">
        <f>IF(AQ$4&lt;'Platform Assumptions'!$D$43,0,HLOOKUP(AQ$4,'Platform Assumptions'!$D43:$DT44,2,FALSE))</f>
        <v>6250</v>
      </c>
      <c r="AR14" s="21">
        <f>IF(AR$4&lt;'Platform Assumptions'!$D$43,0,HLOOKUP(AR$4,'Platform Assumptions'!$D43:$DT44,2,FALSE))</f>
        <v>0</v>
      </c>
      <c r="AS14" s="21">
        <f>IF(AS$4&lt;'Platform Assumptions'!$D$43,0,HLOOKUP(AS$4,'Platform Assumptions'!$D43:$DT44,2,FALSE))</f>
        <v>0</v>
      </c>
      <c r="AT14" s="21">
        <f>IF(AT$4&lt;'Platform Assumptions'!$D$43,0,HLOOKUP(AT$4,'Platform Assumptions'!$D43:$DT44,2,FALSE))</f>
        <v>0</v>
      </c>
      <c r="AU14" s="21">
        <f>IF(AU$4&lt;'Platform Assumptions'!$D$43,0,HLOOKUP(AU$4,'Platform Assumptions'!$D43:$DT44,2,FALSE))</f>
        <v>0</v>
      </c>
      <c r="AV14" s="21">
        <f>IF(AV$4&lt;'Platform Assumptions'!$D$43,0,HLOOKUP(AV$4,'Platform Assumptions'!$D43:$DT44,2,FALSE))</f>
        <v>0</v>
      </c>
      <c r="AW14" s="21">
        <f>IF(AW$4&lt;'Platform Assumptions'!$D$43,0,HLOOKUP(AW$4,'Platform Assumptions'!$D43:$DT44,2,FALSE))</f>
        <v>0</v>
      </c>
      <c r="AX14" s="21">
        <f>IF(AX$4&lt;'Platform Assumptions'!$D$43,0,HLOOKUP(AX$4,'Platform Assumptions'!$D43:$DT44,2,FALSE))</f>
        <v>0</v>
      </c>
      <c r="AY14" s="21">
        <f>IF(AY$4&lt;'Platform Assumptions'!$D$43,0,HLOOKUP(AY$4,'Platform Assumptions'!$D43:$DT44,2,FALSE))</f>
        <v>0</v>
      </c>
      <c r="AZ14" s="21">
        <f>IF(AZ$4&lt;'Platform Assumptions'!$D$43,0,HLOOKUP(AZ$4,'Platform Assumptions'!$D43:$DT44,2,FALSE))</f>
        <v>0</v>
      </c>
      <c r="BA14" s="21">
        <f>IF(BA$4&lt;'Platform Assumptions'!$D$43,0,HLOOKUP(BA$4,'Platform Assumptions'!$D43:$DT44,2,FALSE))</f>
        <v>0</v>
      </c>
      <c r="BB14" s="21">
        <f>IF(BB$4&lt;'Platform Assumptions'!$D$43,0,HLOOKUP(BB$4,'Platform Assumptions'!$D43:$DT44,2,FALSE))</f>
        <v>0</v>
      </c>
      <c r="BC14" s="21">
        <f>IF(BC$4&lt;'Platform Assumptions'!$D$43,0,HLOOKUP(BC$4,'Platform Assumptions'!$D43:$DT44,2,FALSE))</f>
        <v>0</v>
      </c>
      <c r="BD14" s="21">
        <f>IF(BD$4&lt;'Platform Assumptions'!$D$43,0,HLOOKUP(BD$4,'Platform Assumptions'!$D43:$DT44,2,FALSE))</f>
        <v>0</v>
      </c>
      <c r="BE14" s="21">
        <f>IF(BE$4&lt;'Platform Assumptions'!$D$43,0,HLOOKUP(BE$4,'Platform Assumptions'!$D43:$DT44,2,FALSE))</f>
        <v>0</v>
      </c>
      <c r="BF14" s="21">
        <f>IF(BF$4&lt;'Platform Assumptions'!$D$43,0,HLOOKUP(BF$4,'Platform Assumptions'!$D43:$DT44,2,FALSE))</f>
        <v>0</v>
      </c>
      <c r="BG14" s="21">
        <f>IF(BG$4&lt;'Platform Assumptions'!$D$43,0,HLOOKUP(BG$4,'Platform Assumptions'!$D43:$DT44,2,FALSE))</f>
        <v>0</v>
      </c>
      <c r="BH14" s="21">
        <f>IF(BH$4&lt;'Platform Assumptions'!$D$43,0,HLOOKUP(BH$4,'Platform Assumptions'!$D43:$DT44,2,FALSE))</f>
        <v>0</v>
      </c>
      <c r="BI14" s="21">
        <f>IF(BI$4&lt;'Platform Assumptions'!$D$43,0,HLOOKUP(BI$4,'Platform Assumptions'!$D43:$DT44,2,FALSE))</f>
        <v>0</v>
      </c>
      <c r="BJ14" s="21">
        <f>IF(BJ$4&lt;'Platform Assumptions'!$D$43,0,HLOOKUP(BJ$4,'Platform Assumptions'!$D43:$DT44,2,FALSE))</f>
        <v>0</v>
      </c>
      <c r="BK14" s="21">
        <f>IF(BK$4&lt;'Platform Assumptions'!$D$43,0,HLOOKUP(BK$4,'Platform Assumptions'!$D43:$DT44,2,FALSE))</f>
        <v>0</v>
      </c>
      <c r="BL14" s="21">
        <f>IF(BL$4&lt;'Platform Assumptions'!$D$43,0,HLOOKUP(BL$4,'Platform Assumptions'!$D43:$DT44,2,FALSE))</f>
        <v>0</v>
      </c>
      <c r="BM14" s="21">
        <f>IF(BM$4&lt;'Platform Assumptions'!$D$43,0,HLOOKUP(BM$4,'Platform Assumptions'!$D43:$DT44,2,FALSE))</f>
        <v>0</v>
      </c>
      <c r="BN14" s="21">
        <f>IF(BN$4&lt;'Platform Assumptions'!$D$43,0,HLOOKUP(BN$4,'Platform Assumptions'!$D43:$DT44,2,FALSE))</f>
        <v>0</v>
      </c>
      <c r="BO14" s="21">
        <f>IF(BO$4&lt;'Platform Assumptions'!$D$43,0,HLOOKUP(BO$4,'Platform Assumptions'!$D43:$DT44,2,FALSE))</f>
        <v>0</v>
      </c>
      <c r="BP14" s="21">
        <f>IF(BP$4&lt;'Platform Assumptions'!$D$43,0,HLOOKUP(BP$4,'Platform Assumptions'!$D43:$DT44,2,FALSE))</f>
        <v>0</v>
      </c>
      <c r="BQ14" s="21">
        <f>IF(BQ$4&lt;'Platform Assumptions'!$D$43,0,HLOOKUP(BQ$4,'Platform Assumptions'!$D43:$DT44,2,FALSE))</f>
        <v>0</v>
      </c>
      <c r="BR14" s="21">
        <f>IF(BR$4&lt;'Platform Assumptions'!$D$43,0,HLOOKUP(BR$4,'Platform Assumptions'!$D43:$DT44,2,FALSE))</f>
        <v>0</v>
      </c>
      <c r="BS14" s="21">
        <f>IF(BS$4&lt;'Platform Assumptions'!$D$43,0,HLOOKUP(BS$4,'Platform Assumptions'!$D43:$DT44,2,FALSE))</f>
        <v>0</v>
      </c>
      <c r="BT14" s="21">
        <f>IF(BT$4&lt;'Platform Assumptions'!$D$43,0,HLOOKUP(BT$4,'Platform Assumptions'!$D43:$DT44,2,FALSE))</f>
        <v>0</v>
      </c>
      <c r="BU14" s="21">
        <f>IF(BU$4&lt;'Platform Assumptions'!$D$43,0,HLOOKUP(BU$4,'Platform Assumptions'!$D43:$DT44,2,FALSE))</f>
        <v>0</v>
      </c>
      <c r="BV14" s="21">
        <f>IF(BV$4&lt;'Platform Assumptions'!$D$43,0,HLOOKUP(BV$4,'Platform Assumptions'!$D43:$DT44,2,FALSE))</f>
        <v>0</v>
      </c>
      <c r="BW14" s="21">
        <f>IF(BW$4&lt;'Platform Assumptions'!$D$43,0,HLOOKUP(BW$4,'Platform Assumptions'!$D43:$DT44,2,FALSE))</f>
        <v>0</v>
      </c>
      <c r="BX14" s="21">
        <f>IF(BX$4&lt;'Platform Assumptions'!$D$43,0,HLOOKUP(BX$4,'Platform Assumptions'!$D43:$DT44,2,FALSE))</f>
        <v>0</v>
      </c>
      <c r="BY14" s="21">
        <f>IF(BY$4&lt;'Platform Assumptions'!$D$43,0,HLOOKUP(BY$4,'Platform Assumptions'!$D43:$DT44,2,FALSE))</f>
        <v>0</v>
      </c>
      <c r="BZ14" s="21">
        <f>IF(BZ$4&lt;'Platform Assumptions'!$D$43,0,HLOOKUP(BZ$4,'Platform Assumptions'!$D43:$DT44,2,FALSE))</f>
        <v>0</v>
      </c>
      <c r="CA14" s="21">
        <f>IF(CA$4&lt;'Platform Assumptions'!$D$43,0,HLOOKUP(CA$4,'Platform Assumptions'!$D43:$DT44,2,FALSE))</f>
        <v>0</v>
      </c>
      <c r="CB14" s="21">
        <f>IF(CB$4&lt;'Platform Assumptions'!$D$43,0,HLOOKUP(CB$4,'Platform Assumptions'!$D43:$DT44,2,FALSE))</f>
        <v>0</v>
      </c>
      <c r="CC14" s="21">
        <f>IF(CC$4&lt;'Platform Assumptions'!$D$43,0,HLOOKUP(CC$4,'Platform Assumptions'!$D43:$DT44,2,FALSE))</f>
        <v>0</v>
      </c>
      <c r="CD14" s="21">
        <f>IF(CD$4&lt;'Platform Assumptions'!$D$43,0,HLOOKUP(CD$4,'Platform Assumptions'!$D43:$DT44,2,FALSE))</f>
        <v>0</v>
      </c>
      <c r="CE14" s="21">
        <f>IF(CE$4&lt;'Platform Assumptions'!$D$43,0,HLOOKUP(CE$4,'Platform Assumptions'!$D43:$DT44,2,FALSE))</f>
        <v>0</v>
      </c>
      <c r="CF14" s="21">
        <f>IF(CF$4&lt;'Platform Assumptions'!$D$43,0,HLOOKUP(CF$4,'Platform Assumptions'!$D43:$DT44,2,FALSE))</f>
        <v>0</v>
      </c>
      <c r="CG14" s="21">
        <f>IF(CG$4&lt;'Platform Assumptions'!$D$43,0,HLOOKUP(CG$4,'Platform Assumptions'!$D43:$DT44,2,FALSE))</f>
        <v>0</v>
      </c>
      <c r="CH14" s="21">
        <f>IF(CH$4&lt;'Platform Assumptions'!$D$43,0,HLOOKUP(CH$4,'Platform Assumptions'!$D43:$DT44,2,FALSE))</f>
        <v>0</v>
      </c>
      <c r="CI14" s="21">
        <f>IF(CI$4&lt;'Platform Assumptions'!$D$43,0,HLOOKUP(CI$4,'Platform Assumptions'!$D43:$DT44,2,FALSE))</f>
        <v>0</v>
      </c>
      <c r="CJ14" s="21">
        <f>IF(CJ$4&lt;'Platform Assumptions'!$D$43,0,HLOOKUP(CJ$4,'Platform Assumptions'!$D43:$DT44,2,FALSE))</f>
        <v>0</v>
      </c>
      <c r="CK14" s="21">
        <f>IF(CK$4&lt;'Platform Assumptions'!$D$43,0,HLOOKUP(CK$4,'Platform Assumptions'!$D43:$DT44,2,FALSE))</f>
        <v>0</v>
      </c>
      <c r="CL14" s="21">
        <f>IF(CL$4&lt;'Platform Assumptions'!$D$43,0,HLOOKUP(CL$4,'Platform Assumptions'!$D43:$DT44,2,FALSE))</f>
        <v>0</v>
      </c>
      <c r="CM14" s="21">
        <f>IF(CM$4&lt;'Platform Assumptions'!$D$43,0,HLOOKUP(CM$4,'Platform Assumptions'!$D43:$DT44,2,FALSE))</f>
        <v>0</v>
      </c>
      <c r="CN14" s="21">
        <f>IF(CN$4&lt;'Platform Assumptions'!$D$43,0,HLOOKUP(CN$4,'Platform Assumptions'!$D43:$DT44,2,FALSE))</f>
        <v>0</v>
      </c>
      <c r="CO14" s="21">
        <f>IF(CO$4&lt;'Platform Assumptions'!$D$43,0,HLOOKUP(CO$4,'Platform Assumptions'!$D43:$DT44,2,FALSE))</f>
        <v>0</v>
      </c>
      <c r="CP14" s="21">
        <f>IF(CP$4&lt;'Platform Assumptions'!$D$43,0,HLOOKUP(CP$4,'Platform Assumptions'!$D43:$DT44,2,FALSE))</f>
        <v>0</v>
      </c>
      <c r="CQ14" s="21">
        <f>IF(CQ$4&lt;'Platform Assumptions'!$D$43,0,HLOOKUP(CQ$4,'Platform Assumptions'!$D43:$DT44,2,FALSE))</f>
        <v>0</v>
      </c>
      <c r="CR14" s="21">
        <f>IF(CR$4&lt;'Platform Assumptions'!$D$43,0,HLOOKUP(CR$4,'Platform Assumptions'!$D43:$DT44,2,FALSE))</f>
        <v>0</v>
      </c>
      <c r="CS14" s="21">
        <f>IF(CS$4&lt;'Platform Assumptions'!$D$43,0,HLOOKUP(CS$4,'Platform Assumptions'!$D43:$DT44,2,FALSE))</f>
        <v>0</v>
      </c>
      <c r="CT14" s="21">
        <f>IF(CT$4&lt;'Platform Assumptions'!$D$43,0,HLOOKUP(CT$4,'Platform Assumptions'!$D43:$DT44,2,FALSE))</f>
        <v>0</v>
      </c>
      <c r="CU14" s="21">
        <f>IF(CU$4&lt;'Platform Assumptions'!$D$43,0,HLOOKUP(CU$4,'Platform Assumptions'!$D43:$DT44,2,FALSE))</f>
        <v>0</v>
      </c>
      <c r="CV14" s="21">
        <f>IF(CV$4&lt;'Platform Assumptions'!$D$43,0,HLOOKUP(CV$4,'Platform Assumptions'!$D43:$DT44,2,FALSE))</f>
        <v>0</v>
      </c>
      <c r="CW14" s="21">
        <f>IF(CW$4&lt;'Platform Assumptions'!$D$43,0,HLOOKUP(CW$4,'Platform Assumptions'!$D43:$DT44,2,FALSE))</f>
        <v>0</v>
      </c>
      <c r="CX14" s="21">
        <f>IF(CX$4&lt;'Platform Assumptions'!$D$43,0,HLOOKUP(CX$4,'Platform Assumptions'!$D43:$DT44,2,FALSE))</f>
        <v>0</v>
      </c>
      <c r="CY14" s="21">
        <f>IF(CY$4&lt;'Platform Assumptions'!$D$43,0,HLOOKUP(CY$4,'Platform Assumptions'!$D43:$DT44,2,FALSE))</f>
        <v>0</v>
      </c>
      <c r="CZ14" s="21">
        <f>IF(CZ$4&lt;'Platform Assumptions'!$D$43,0,HLOOKUP(CZ$4,'Platform Assumptions'!$D43:$DT44,2,FALSE))</f>
        <v>0</v>
      </c>
      <c r="DA14" s="21">
        <f>IF(DA$4&lt;'Platform Assumptions'!$D$43,0,HLOOKUP(DA$4,'Platform Assumptions'!$D43:$DT44,2,FALSE))</f>
        <v>0</v>
      </c>
      <c r="DB14" s="21">
        <f>IF(DB$4&lt;'Platform Assumptions'!$D$43,0,HLOOKUP(DB$4,'Platform Assumptions'!$D43:$DT44,2,FALSE))</f>
        <v>0</v>
      </c>
      <c r="DC14" s="21">
        <f>IF(DC$4&lt;'Platform Assumptions'!$D$43,0,HLOOKUP(DC$4,'Platform Assumptions'!$D43:$DT44,2,FALSE))</f>
        <v>0</v>
      </c>
      <c r="DD14" s="21">
        <f>IF(DD$4&lt;'Platform Assumptions'!$D$43,0,HLOOKUP(DD$4,'Platform Assumptions'!$D43:$DT44,2,FALSE))</f>
        <v>0</v>
      </c>
      <c r="DE14" s="21">
        <f>IF(DE$4&lt;'Platform Assumptions'!$D$43,0,HLOOKUP(DE$4,'Platform Assumptions'!$D43:$DT44,2,FALSE))</f>
        <v>0</v>
      </c>
      <c r="DF14" s="21">
        <f>IF(DF$4&lt;'Platform Assumptions'!$D$43,0,HLOOKUP(DF$4,'Platform Assumptions'!$D43:$DT44,2,FALSE))</f>
        <v>0</v>
      </c>
      <c r="DG14" s="21">
        <f>IF(DG$4&lt;'Platform Assumptions'!$D$43,0,HLOOKUP(DG$4,'Platform Assumptions'!$D43:$DT44,2,FALSE))</f>
        <v>0</v>
      </c>
      <c r="DH14" s="21">
        <f>IF(DH$4&lt;'Platform Assumptions'!$D$43,0,HLOOKUP(DH$4,'Platform Assumptions'!$D43:$DT44,2,FALSE))</f>
        <v>0</v>
      </c>
      <c r="DI14" s="21">
        <f>IF(DI$4&lt;'Platform Assumptions'!$D$43,0,HLOOKUP(DI$4,'Platform Assumptions'!$D43:$DT44,2,FALSE))</f>
        <v>0</v>
      </c>
      <c r="DJ14" s="21">
        <f>IF(DJ$4&lt;'Platform Assumptions'!$D$43,0,HLOOKUP(DJ$4,'Platform Assumptions'!$D43:$DT44,2,FALSE))</f>
        <v>0</v>
      </c>
      <c r="DK14" s="21">
        <f>IF(DK$4&lt;'Platform Assumptions'!$D$43,0,HLOOKUP(DK$4,'Platform Assumptions'!$D43:$DT44,2,FALSE))</f>
        <v>0</v>
      </c>
      <c r="DL14" s="21">
        <f>IF(DL$4&lt;'Platform Assumptions'!$D$43,0,HLOOKUP(DL$4,'Platform Assumptions'!$D43:$DT44,2,FALSE))</f>
        <v>0</v>
      </c>
      <c r="DM14" s="21">
        <f>IF(DM$4&lt;'Platform Assumptions'!$D$43,0,HLOOKUP(DM$4,'Platform Assumptions'!$D43:$DT44,2,FALSE))</f>
        <v>0</v>
      </c>
      <c r="DN14" s="21">
        <f>IF(DN$4&lt;'Platform Assumptions'!$D$43,0,HLOOKUP(DN$4,'Platform Assumptions'!$D43:$DT44,2,FALSE))</f>
        <v>0</v>
      </c>
      <c r="DO14" s="21">
        <f>IF(DO$4&lt;'Platform Assumptions'!$D$43,0,HLOOKUP(DO$4,'Platform Assumptions'!$D43:$DT44,2,FALSE))</f>
        <v>0</v>
      </c>
      <c r="DP14" s="21">
        <f>IF(DP$4&lt;'Platform Assumptions'!$D$43,0,HLOOKUP(DP$4,'Platform Assumptions'!$D43:$DT44,2,FALSE))</f>
        <v>0</v>
      </c>
      <c r="DQ14" s="21">
        <f>IF(DQ$4&lt;'Platform Assumptions'!$D$43,0,HLOOKUP(DQ$4,'Platform Assumptions'!$D43:$DT44,2,FALSE))</f>
        <v>0</v>
      </c>
      <c r="DR14" s="21">
        <f>IF(DR$4&lt;'Platform Assumptions'!$D$43,0,HLOOKUP(DR$4,'Platform Assumptions'!$D43:$DT44,2,FALSE))</f>
        <v>0</v>
      </c>
      <c r="DS14" s="21">
        <f>IF(DS$4&lt;'Platform Assumptions'!$D$43,0,HLOOKUP(DS$4,'Platform Assumptions'!$D43:$DT44,2,FALSE))</f>
        <v>0</v>
      </c>
      <c r="DT14" s="21">
        <f>IF(DT$4&lt;'Platform Assumptions'!$D$43,0,HLOOKUP(DT$4,'Platform Assumptions'!$D43:$DT44,2,FALSE))</f>
        <v>0</v>
      </c>
      <c r="DU14" s="21">
        <f>IF(DU$4&lt;'Platform Assumptions'!$D$43,0,HLOOKUP(DU$4,'Platform Assumptions'!$D43:$DT44,2,FALSE))</f>
        <v>0</v>
      </c>
      <c r="DV14" s="21"/>
    </row>
    <row r="15" spans="3:126" s="3" customFormat="1" ht="22.95" customHeight="1">
      <c r="C15" s="104">
        <f t="shared" si="9"/>
        <v>9</v>
      </c>
      <c r="D15" s="77">
        <f t="shared" si="8"/>
        <v>3299051.9944464052</v>
      </c>
      <c r="E15" s="21">
        <f>IF(E$4&lt;'Platform Assumptions'!$D$46,0,HLOOKUP(E$4,'Platform Assumptions'!$D46:$DT47,2,FALSE))</f>
        <v>0</v>
      </c>
      <c r="F15" s="21">
        <f>IF(F$4&lt;'Platform Assumptions'!$D$46,0,HLOOKUP(F$4,'Platform Assumptions'!$D46:$DT47,2,FALSE))</f>
        <v>0</v>
      </c>
      <c r="G15" s="21">
        <f>IF(G$4&lt;'Platform Assumptions'!$D$46,0,HLOOKUP(G$4,'Platform Assumptions'!$D46:$DT47,2,FALSE))</f>
        <v>0</v>
      </c>
      <c r="H15" s="21">
        <f>IF(H$4&lt;'Platform Assumptions'!$D$46,0,HLOOKUP(H$4,'Platform Assumptions'!$D46:$DT47,2,FALSE))</f>
        <v>0</v>
      </c>
      <c r="I15" s="21">
        <f>IF(I$4&lt;'Platform Assumptions'!$D$46,0,HLOOKUP(I$4,'Platform Assumptions'!$D46:$DT47,2,FALSE))</f>
        <v>0</v>
      </c>
      <c r="J15" s="21">
        <f>IF(J$4&lt;'Platform Assumptions'!$D$46,0,HLOOKUP(J$4,'Platform Assumptions'!$D46:$DT47,2,FALSE))</f>
        <v>0</v>
      </c>
      <c r="K15" s="21">
        <f>IF(K$4&lt;'Platform Assumptions'!$D$46,0,HLOOKUP(K$4,'Platform Assumptions'!$D46:$DT47,2,FALSE))</f>
        <v>0</v>
      </c>
      <c r="L15" s="21">
        <f>IF(L$4&lt;'Platform Assumptions'!$D$46,0,HLOOKUP(L$4,'Platform Assumptions'!$D46:$DT47,2,FALSE))</f>
        <v>0</v>
      </c>
      <c r="M15" s="21">
        <f>IF(M$4&lt;'Platform Assumptions'!$D$46,0,HLOOKUP(M$4,'Platform Assumptions'!$D46:$DT47,2,FALSE))</f>
        <v>0</v>
      </c>
      <c r="N15" s="21">
        <f>IF(N$4&lt;'Platform Assumptions'!$D$46,0,HLOOKUP(N$4,'Platform Assumptions'!$D46:$DT47,2,FALSE))</f>
        <v>0</v>
      </c>
      <c r="O15" s="21">
        <f>IF(O$4&lt;'Platform Assumptions'!$D$46,0,HLOOKUP(O$4,'Platform Assumptions'!$D46:$DT47,2,FALSE))</f>
        <v>0</v>
      </c>
      <c r="P15" s="21">
        <f>IF(P$4&lt;'Platform Assumptions'!$D$46,0,HLOOKUP(P$4,'Platform Assumptions'!$D46:$DT47,2,FALSE))</f>
        <v>0</v>
      </c>
      <c r="Q15" s="21">
        <f>IF(Q$4&lt;'Platform Assumptions'!$D$46,0,HLOOKUP(Q$4,'Platform Assumptions'!$D46:$DT47,2,FALSE))</f>
        <v>0</v>
      </c>
      <c r="R15" s="21">
        <f>IF(R$4&lt;'Platform Assumptions'!$D$46,0,HLOOKUP(R$4,'Platform Assumptions'!$D46:$DT47,2,FALSE))</f>
        <v>0</v>
      </c>
      <c r="S15" s="21">
        <f>IF(S$4&lt;'Platform Assumptions'!$D$46,0,HLOOKUP(S$4,'Platform Assumptions'!$D46:$DT47,2,FALSE))</f>
        <v>0</v>
      </c>
      <c r="T15" s="21">
        <f>IF(T$4&lt;'Platform Assumptions'!$D$46,0,HLOOKUP(T$4,'Platform Assumptions'!$D46:$DT47,2,FALSE))</f>
        <v>0</v>
      </c>
      <c r="U15" s="21">
        <f>IF(U$4&lt;'Platform Assumptions'!$D$46,0,HLOOKUP(U$4,'Platform Assumptions'!$D46:$DT47,2,FALSE))</f>
        <v>0</v>
      </c>
      <c r="V15" s="21">
        <f>IF(V$4&lt;'Platform Assumptions'!$D$46,0,HLOOKUP(V$4,'Platform Assumptions'!$D46:$DT47,2,FALSE))</f>
        <v>0</v>
      </c>
      <c r="W15" s="21">
        <f>IF(W$4&lt;'Platform Assumptions'!$D$46,0,HLOOKUP(W$4,'Platform Assumptions'!$D46:$DT47,2,FALSE))</f>
        <v>0</v>
      </c>
      <c r="X15" s="21">
        <f>IF(X$4&lt;'Platform Assumptions'!$D$46,0,HLOOKUP(X$4,'Platform Assumptions'!$D46:$DT47,2,FALSE))</f>
        <v>0</v>
      </c>
      <c r="Y15" s="21">
        <f>IF(Y$4&lt;'Platform Assumptions'!$D$46,0,HLOOKUP(Y$4,'Platform Assumptions'!$D46:$DT47,2,FALSE))</f>
        <v>0</v>
      </c>
      <c r="Z15" s="21">
        <f>IF(Z$4&lt;'Platform Assumptions'!$D$46,0,HLOOKUP(Z$4,'Platform Assumptions'!$D46:$DT47,2,FALSE))</f>
        <v>0</v>
      </c>
      <c r="AA15" s="21">
        <f>IF(AA$4&lt;'Platform Assumptions'!$D$46,0,HLOOKUP(AA$4,'Platform Assumptions'!$D46:$DT47,2,FALSE))</f>
        <v>0</v>
      </c>
      <c r="AB15" s="21">
        <f>IF(AB$4&lt;'Platform Assumptions'!$D$46,0,HLOOKUP(AB$4,'Platform Assumptions'!$D46:$DT47,2,FALSE))</f>
        <v>0</v>
      </c>
      <c r="AC15" s="21">
        <f>IF(AC$4&lt;'Platform Assumptions'!$D$46,0,HLOOKUP(AC$4,'Platform Assumptions'!$D46:$DT47,2,FALSE))</f>
        <v>46666.666666666664</v>
      </c>
      <c r="AD15" s="21">
        <f>IF(AD$4&lt;'Platform Assumptions'!$D$46,0,HLOOKUP(AD$4,'Platform Assumptions'!$D46:$DT47,2,FALSE))</f>
        <v>-3333.3333333333335</v>
      </c>
      <c r="AE15" s="21">
        <f>IF(AE$4&lt;'Platform Assumptions'!$D$46,0,HLOOKUP(AE$4,'Platform Assumptions'!$D46:$DT47,2,FALSE))</f>
        <v>-3333.3333333333335</v>
      </c>
      <c r="AF15" s="21">
        <f>IF(AF$4&lt;'Platform Assumptions'!$D$46,0,HLOOKUP(AF$4,'Platform Assumptions'!$D46:$DT47,2,FALSE))</f>
        <v>-3333.3333333333335</v>
      </c>
      <c r="AG15" s="21">
        <f>IF(AG$4&lt;'Platform Assumptions'!$D$46,0,HLOOKUP(AG$4,'Platform Assumptions'!$D46:$DT47,2,FALSE))</f>
        <v>-3333.3333333333335</v>
      </c>
      <c r="AH15" s="21">
        <f>IF(AH$4&lt;'Platform Assumptions'!$D$46,0,HLOOKUP(AH$4,'Platform Assumptions'!$D46:$DT47,2,FALSE))</f>
        <v>-3333.3333333333335</v>
      </c>
      <c r="AI15" s="21">
        <f>IF(AI$4&lt;'Platform Assumptions'!$D$46,0,HLOOKUP(AI$4,'Platform Assumptions'!$D46:$DT47,2,FALSE))</f>
        <v>6250</v>
      </c>
      <c r="AJ15" s="21">
        <f>IF(AJ$4&lt;'Platform Assumptions'!$D$46,0,HLOOKUP(AJ$4,'Platform Assumptions'!$D46:$DT47,2,FALSE))</f>
        <v>6250</v>
      </c>
      <c r="AK15" s="21">
        <f>IF(AK$4&lt;'Platform Assumptions'!$D$46,0,HLOOKUP(AK$4,'Platform Assumptions'!$D46:$DT47,2,FALSE))</f>
        <v>6250</v>
      </c>
      <c r="AL15" s="21">
        <f>IF(AL$4&lt;'Platform Assumptions'!$D$46,0,HLOOKUP(AL$4,'Platform Assumptions'!$D46:$DT47,2,FALSE))</f>
        <v>6250</v>
      </c>
      <c r="AM15" s="21">
        <f>IF(AM$4&lt;'Platform Assumptions'!$D$46,0,HLOOKUP(AM$4,'Platform Assumptions'!$D46:$DT47,2,FALSE))</f>
        <v>6250</v>
      </c>
      <c r="AN15" s="21">
        <f>IF(AN$4&lt;'Platform Assumptions'!$D$46,0,HLOOKUP(AN$4,'Platform Assumptions'!$D46:$DT47,2,FALSE))</f>
        <v>6250</v>
      </c>
      <c r="AO15" s="21">
        <f>IF(AO$4&lt;'Platform Assumptions'!$D$46,0,HLOOKUP(AO$4,'Platform Assumptions'!$D46:$DT47,2,FALSE))</f>
        <v>6250</v>
      </c>
      <c r="AP15" s="21">
        <f>IF(AP$4&lt;'Platform Assumptions'!$D$46,0,HLOOKUP(AP$4,'Platform Assumptions'!$D46:$DT47,2,FALSE))</f>
        <v>6250</v>
      </c>
      <c r="AQ15" s="21">
        <f>IF(AQ$4&lt;'Platform Assumptions'!$D$46,0,HLOOKUP(AQ$4,'Platform Assumptions'!$D46:$DT47,2,FALSE))</f>
        <v>6250</v>
      </c>
      <c r="AR15" s="21">
        <f>IF(AR$4&lt;'Platform Assumptions'!$D$46,0,HLOOKUP(AR$4,'Platform Assumptions'!$D46:$DT47,2,FALSE))</f>
        <v>6250</v>
      </c>
      <c r="AS15" s="21">
        <f>IF(AS$4&lt;'Platform Assumptions'!$D$46,0,HLOOKUP(AS$4,'Platform Assumptions'!$D46:$DT47,2,FALSE))</f>
        <v>6250</v>
      </c>
      <c r="AT15" s="21">
        <f>IF(AT$4&lt;'Platform Assumptions'!$D$46,0,HLOOKUP(AT$4,'Platform Assumptions'!$D46:$DT47,2,FALSE))</f>
        <v>6250</v>
      </c>
      <c r="AU15" s="21">
        <f>IF(AU$4&lt;'Platform Assumptions'!$D$46,0,HLOOKUP(AU$4,'Platform Assumptions'!$D46:$DT47,2,FALSE))</f>
        <v>37500</v>
      </c>
      <c r="AV15" s="21">
        <f>IF(AV$4&lt;'Platform Assumptions'!$D$46,0,HLOOKUP(AV$4,'Platform Assumptions'!$D46:$DT47,2,FALSE))</f>
        <v>0</v>
      </c>
      <c r="AW15" s="21">
        <f>IF(AW$4&lt;'Platform Assumptions'!$D$46,0,HLOOKUP(AW$4,'Platform Assumptions'!$D46:$DT47,2,FALSE))</f>
        <v>0</v>
      </c>
      <c r="AX15" s="21">
        <f>IF(AX$4&lt;'Platform Assumptions'!$D$46,0,HLOOKUP(AX$4,'Platform Assumptions'!$D46:$DT47,2,FALSE))</f>
        <v>0</v>
      </c>
      <c r="AY15" s="21">
        <f>IF(AY$4&lt;'Platform Assumptions'!$D$46,0,HLOOKUP(AY$4,'Platform Assumptions'!$D46:$DT47,2,FALSE))</f>
        <v>0</v>
      </c>
      <c r="AZ15" s="21">
        <f>IF(AZ$4&lt;'Platform Assumptions'!$D$46,0,HLOOKUP(AZ$4,'Platform Assumptions'!$D46:$DT47,2,FALSE))</f>
        <v>0</v>
      </c>
      <c r="BA15" s="21">
        <f>IF(BA$4&lt;'Platform Assumptions'!$D$46,0,HLOOKUP(BA$4,'Platform Assumptions'!$D46:$DT47,2,FALSE))</f>
        <v>1350000</v>
      </c>
      <c r="BB15" s="21">
        <f>IF(BB$4&lt;'Platform Assumptions'!$D$46,0,HLOOKUP(BB$4,'Platform Assumptions'!$D46:$DT47,2,FALSE))</f>
        <v>0</v>
      </c>
      <c r="BC15" s="21">
        <f>IF(BC$4&lt;'Platform Assumptions'!$D$46,0,HLOOKUP(BC$4,'Platform Assumptions'!$D46:$DT47,2,FALSE))</f>
        <v>0</v>
      </c>
      <c r="BD15" s="21">
        <f>IF(BD$4&lt;'Platform Assumptions'!$D$46,0,HLOOKUP(BD$4,'Platform Assumptions'!$D46:$DT47,2,FALSE))</f>
        <v>9851.3671875</v>
      </c>
      <c r="BE15" s="21">
        <f>IF(BE$4&lt;'Platform Assumptions'!$D$46,0,HLOOKUP(BE$4,'Platform Assumptions'!$D46:$DT47,2,FALSE))</f>
        <v>9851.3671875</v>
      </c>
      <c r="BF15" s="21">
        <f>IF(BF$4&lt;'Platform Assumptions'!$D$46,0,HLOOKUP(BF$4,'Platform Assumptions'!$D46:$DT47,2,FALSE))</f>
        <v>9851.3671875</v>
      </c>
      <c r="BG15" s="21">
        <f>IF(BG$4&lt;'Platform Assumptions'!$D$46,0,HLOOKUP(BG$4,'Platform Assumptions'!$D46:$DT47,2,FALSE))</f>
        <v>9851.3671875</v>
      </c>
      <c r="BH15" s="21">
        <f>IF(BH$4&lt;'Platform Assumptions'!$D$46,0,HLOOKUP(BH$4,'Platform Assumptions'!$D46:$DT47,2,FALSE))</f>
        <v>9851.3671875</v>
      </c>
      <c r="BI15" s="21">
        <f>IF(BI$4&lt;'Platform Assumptions'!$D$46,0,HLOOKUP(BI$4,'Platform Assumptions'!$D46:$DT47,2,FALSE))</f>
        <v>9851.3671875</v>
      </c>
      <c r="BJ15" s="21">
        <f>IF(BJ$4&lt;'Platform Assumptions'!$D$46,0,HLOOKUP(BJ$4,'Platform Assumptions'!$D46:$DT47,2,FALSE))</f>
        <v>9851.3671875</v>
      </c>
      <c r="BK15" s="21">
        <f>IF(BK$4&lt;'Platform Assumptions'!$D$46,0,HLOOKUP(BK$4,'Platform Assumptions'!$D46:$DT47,2,FALSE))</f>
        <v>9851.3671875</v>
      </c>
      <c r="BL15" s="21">
        <f>IF(BL$4&lt;'Platform Assumptions'!$D$46,0,HLOOKUP(BL$4,'Platform Assumptions'!$D46:$DT47,2,FALSE))</f>
        <v>9851.3671875</v>
      </c>
      <c r="BM15" s="21">
        <f>IF(BM$4&lt;'Platform Assumptions'!$D$46,0,HLOOKUP(BM$4,'Platform Assumptions'!$D46:$DT47,2,FALSE))</f>
        <v>9851.3671875</v>
      </c>
      <c r="BN15" s="21">
        <f>IF(BN$4&lt;'Platform Assumptions'!$D$46,0,HLOOKUP(BN$4,'Platform Assumptions'!$D46:$DT47,2,FALSE))</f>
        <v>9851.3671875</v>
      </c>
      <c r="BO15" s="21">
        <f>IF(BO$4&lt;'Platform Assumptions'!$D$46,0,HLOOKUP(BO$4,'Platform Assumptions'!$D46:$DT47,2,FALSE))</f>
        <v>9851.3671875</v>
      </c>
      <c r="BP15" s="21">
        <f>IF(BP$4&lt;'Platform Assumptions'!$D$46,0,HLOOKUP(BP$4,'Platform Assumptions'!$D46:$DT47,2,FALSE))</f>
        <v>9851.3671875</v>
      </c>
      <c r="BQ15" s="21">
        <f>IF(BQ$4&lt;'Platform Assumptions'!$D$46,0,HLOOKUP(BQ$4,'Platform Assumptions'!$D46:$DT47,2,FALSE))</f>
        <v>9851.3671875</v>
      </c>
      <c r="BR15" s="21">
        <f>IF(BR$4&lt;'Platform Assumptions'!$D$46,0,HLOOKUP(BR$4,'Platform Assumptions'!$D46:$DT47,2,FALSE))</f>
        <v>9851.3671875</v>
      </c>
      <c r="BS15" s="21">
        <f>IF(BS$4&lt;'Platform Assumptions'!$D$46,0,HLOOKUP(BS$4,'Platform Assumptions'!$D46:$DT47,2,FALSE))</f>
        <v>9851.3671875</v>
      </c>
      <c r="BT15" s="21">
        <f>IF(BT$4&lt;'Platform Assumptions'!$D$46,0,HLOOKUP(BT$4,'Platform Assumptions'!$D46:$DT47,2,FALSE))</f>
        <v>9851.3671875</v>
      </c>
      <c r="BU15" s="21">
        <f>IF(BU$4&lt;'Platform Assumptions'!$D$46,0,HLOOKUP(BU$4,'Platform Assumptions'!$D46:$DT47,2,FALSE))</f>
        <v>9851.3671875</v>
      </c>
      <c r="BV15" s="21">
        <f>IF(BV$4&lt;'Platform Assumptions'!$D$46,0,HLOOKUP(BV$4,'Platform Assumptions'!$D46:$DT47,2,FALSE))</f>
        <v>21035.69370372003</v>
      </c>
      <c r="BW15" s="21">
        <f>IF(BW$4&lt;'Platform Assumptions'!$D$46,0,HLOOKUP(BW$4,'Platform Assumptions'!$D46:$DT47,2,FALSE))</f>
        <v>21035.69370372003</v>
      </c>
      <c r="BX15" s="21">
        <f>IF(BX$4&lt;'Platform Assumptions'!$D$46,0,HLOOKUP(BX$4,'Platform Assumptions'!$D46:$DT47,2,FALSE))</f>
        <v>21035.69370372003</v>
      </c>
      <c r="BY15" s="21">
        <f>IF(BY$4&lt;'Platform Assumptions'!$D$46,0,HLOOKUP(BY$4,'Platform Assumptions'!$D46:$DT47,2,FALSE))</f>
        <v>21035.69370372003</v>
      </c>
      <c r="BZ15" s="21">
        <f>IF(BZ$4&lt;'Platform Assumptions'!$D$46,0,HLOOKUP(BZ$4,'Platform Assumptions'!$D46:$DT47,2,FALSE))</f>
        <v>21035.69370372003</v>
      </c>
      <c r="CA15" s="21">
        <f>IF(CA$4&lt;'Platform Assumptions'!$D$46,0,HLOOKUP(CA$4,'Platform Assumptions'!$D46:$DT47,2,FALSE))</f>
        <v>21035.69370372003</v>
      </c>
      <c r="CB15" s="21">
        <f>IF(CB$4&lt;'Platform Assumptions'!$D$46,0,HLOOKUP(CB$4,'Platform Assumptions'!$D46:$DT47,2,FALSE))</f>
        <v>447829.27832628123</v>
      </c>
      <c r="CC15" s="21">
        <f>IF(CC$4&lt;'Platform Assumptions'!$D$46,0,HLOOKUP(CC$4,'Platform Assumptions'!$D46:$DT47,2,FALSE))</f>
        <v>68812.176774800188</v>
      </c>
      <c r="CD15" s="21">
        <f>IF(CD$4&lt;'Platform Assumptions'!$D$46,0,HLOOKUP(CD$4,'Platform Assumptions'!$D46:$DT47,2,FALSE))</f>
        <v>70062.176774800188</v>
      </c>
      <c r="CE15" s="21">
        <f>IF(CE$4&lt;'Platform Assumptions'!$D$46,0,HLOOKUP(CE$4,'Platform Assumptions'!$D46:$DT47,2,FALSE))</f>
        <v>71312.176774800188</v>
      </c>
      <c r="CF15" s="21">
        <f>IF(CF$4&lt;'Platform Assumptions'!$D$46,0,HLOOKUP(CF$4,'Platform Assumptions'!$D46:$DT47,2,FALSE))</f>
        <v>72562.176774800188</v>
      </c>
      <c r="CG15" s="21">
        <f>IF(CG$4&lt;'Platform Assumptions'!$D$46,0,HLOOKUP(CG$4,'Platform Assumptions'!$D46:$DT47,2,FALSE))</f>
        <v>73812.176774800188</v>
      </c>
      <c r="CH15" s="21">
        <f>IF(CH$4&lt;'Platform Assumptions'!$D$46,0,HLOOKUP(CH$4,'Platform Assumptions'!$D46:$DT47,2,FALSE))</f>
        <v>75062.176774800188</v>
      </c>
      <c r="CI15" s="21">
        <f>IF(CI$4&lt;'Platform Assumptions'!$D$46,0,HLOOKUP(CI$4,'Platform Assumptions'!$D46:$DT47,2,FALSE))</f>
        <v>76312.176774800188</v>
      </c>
      <c r="CJ15" s="21">
        <f>IF(CJ$4&lt;'Platform Assumptions'!$D$46,0,HLOOKUP(CJ$4,'Platform Assumptions'!$D46:$DT47,2,FALSE))</f>
        <v>77562.176774800188</v>
      </c>
      <c r="CK15" s="21">
        <f>IF(CK$4&lt;'Platform Assumptions'!$D$46,0,HLOOKUP(CK$4,'Platform Assumptions'!$D46:$DT47,2,FALSE))</f>
        <v>78812.176774800188</v>
      </c>
      <c r="CL15" s="21">
        <f>IF(CL$4&lt;'Platform Assumptions'!$D$46,0,HLOOKUP(CL$4,'Platform Assumptions'!$D46:$DT47,2,FALSE))</f>
        <v>80062.176774800188</v>
      </c>
      <c r="CM15" s="21">
        <f>IF(CM$4&lt;'Platform Assumptions'!$D$46,0,HLOOKUP(CM$4,'Platform Assumptions'!$D46:$DT47,2,FALSE))</f>
        <v>81312.176774800188</v>
      </c>
      <c r="CN15" s="21">
        <f>IF(CN$4&lt;'Platform Assumptions'!$D$46,0,HLOOKUP(CN$4,'Platform Assumptions'!$D46:$DT47,2,FALSE))</f>
        <v>6750</v>
      </c>
      <c r="CO15" s="21">
        <f>IF(CO$4&lt;'Platform Assumptions'!$D$46,0,HLOOKUP(CO$4,'Platform Assumptions'!$D46:$DT47,2,FALSE))</f>
        <v>6750</v>
      </c>
      <c r="CP15" s="21">
        <f>IF(CP$4&lt;'Platform Assumptions'!$D$46,0,HLOOKUP(CP$4,'Platform Assumptions'!$D46:$DT47,2,FALSE))</f>
        <v>6750</v>
      </c>
      <c r="CQ15" s="21">
        <f>IF(CQ$4&lt;'Platform Assumptions'!$D$46,0,HLOOKUP(CQ$4,'Platform Assumptions'!$D46:$DT47,2,FALSE))</f>
        <v>6750</v>
      </c>
      <c r="CR15" s="21">
        <f>IF(CR$4&lt;'Platform Assumptions'!$D$46,0,HLOOKUP(CR$4,'Platform Assumptions'!$D46:$DT47,2,FALSE))</f>
        <v>6750</v>
      </c>
      <c r="CS15" s="21">
        <f>IF(CS$4&lt;'Platform Assumptions'!$D$46,0,HLOOKUP(CS$4,'Platform Assumptions'!$D46:$DT47,2,FALSE))</f>
        <v>6750</v>
      </c>
      <c r="CT15" s="21">
        <f>IF(CT$4&lt;'Platform Assumptions'!$D$46,0,HLOOKUP(CT$4,'Platform Assumptions'!$D46:$DT47,2,FALSE))</f>
        <v>6750</v>
      </c>
      <c r="CU15" s="21">
        <f>IF(CU$4&lt;'Platform Assumptions'!$D$46,0,HLOOKUP(CU$4,'Platform Assumptions'!$D46:$DT47,2,FALSE))</f>
        <v>6750</v>
      </c>
      <c r="CV15" s="21">
        <f>IF(CV$4&lt;'Platform Assumptions'!$D$46,0,HLOOKUP(CV$4,'Platform Assumptions'!$D46:$DT47,2,FALSE))</f>
        <v>6750</v>
      </c>
      <c r="CW15" s="21">
        <f>IF(CW$4&lt;'Platform Assumptions'!$D$46,0,HLOOKUP(CW$4,'Platform Assumptions'!$D46:$DT47,2,FALSE))</f>
        <v>6750</v>
      </c>
      <c r="CX15" s="21">
        <f>IF(CX$4&lt;'Platform Assumptions'!$D$46,0,HLOOKUP(CX$4,'Platform Assumptions'!$D46:$DT47,2,FALSE))</f>
        <v>6750</v>
      </c>
      <c r="CY15" s="21">
        <f>IF(CY$4&lt;'Platform Assumptions'!$D$46,0,HLOOKUP(CY$4,'Platform Assumptions'!$D46:$DT47,2,FALSE))</f>
        <v>6750</v>
      </c>
      <c r="CZ15" s="21">
        <f>IF(CZ$4&lt;'Platform Assumptions'!$D$46,0,HLOOKUP(CZ$4,'Platform Assumptions'!$D46:$DT47,2,FALSE))</f>
        <v>6750</v>
      </c>
      <c r="DA15" s="21">
        <f>IF(DA$4&lt;'Platform Assumptions'!$D$46,0,HLOOKUP(DA$4,'Platform Assumptions'!$D46:$DT47,2,FALSE))</f>
        <v>6750</v>
      </c>
      <c r="DB15" s="21">
        <f>IF(DB$4&lt;'Platform Assumptions'!$D$46,0,HLOOKUP(DB$4,'Platform Assumptions'!$D46:$DT47,2,FALSE))</f>
        <v>6750</v>
      </c>
      <c r="DC15" s="21">
        <f>IF(DC$4&lt;'Platform Assumptions'!$D$46,0,HLOOKUP(DC$4,'Platform Assumptions'!$D46:$DT47,2,FALSE))</f>
        <v>6750</v>
      </c>
      <c r="DD15" s="21">
        <f>IF(DD$4&lt;'Platform Assumptions'!$D$46,0,HLOOKUP(DD$4,'Platform Assumptions'!$D46:$DT47,2,FALSE))</f>
        <v>6750</v>
      </c>
      <c r="DE15" s="21">
        <f>IF(DE$4&lt;'Platform Assumptions'!$D$46,0,HLOOKUP(DE$4,'Platform Assumptions'!$D46:$DT47,2,FALSE))</f>
        <v>6750</v>
      </c>
      <c r="DF15" s="21">
        <f>IF(DF$4&lt;'Platform Assumptions'!$D$46,0,HLOOKUP(DF$4,'Platform Assumptions'!$D46:$DT47,2,FALSE))</f>
        <v>6750</v>
      </c>
      <c r="DG15" s="21">
        <f>IF(DG$4&lt;'Platform Assumptions'!$D$46,0,HLOOKUP(DG$4,'Platform Assumptions'!$D46:$DT47,2,FALSE))</f>
        <v>6750</v>
      </c>
      <c r="DH15" s="21">
        <f>IF(DH$4&lt;'Platform Assumptions'!$D$46,0,HLOOKUP(DH$4,'Platform Assumptions'!$D46:$DT47,2,FALSE))</f>
        <v>6750</v>
      </c>
      <c r="DI15" s="21">
        <f>IF(DI$4&lt;'Platform Assumptions'!$D$46,0,HLOOKUP(DI$4,'Platform Assumptions'!$D46:$DT47,2,FALSE))</f>
        <v>6750</v>
      </c>
      <c r="DJ15" s="21">
        <f>IF(DJ$4&lt;'Platform Assumptions'!$D$46,0,HLOOKUP(DJ$4,'Platform Assumptions'!$D46:$DT47,2,FALSE))</f>
        <v>6750</v>
      </c>
      <c r="DK15" s="21">
        <f>IF(DK$4&lt;'Platform Assumptions'!$D$46,0,HLOOKUP(DK$4,'Platform Assumptions'!$D46:$DT47,2,FALSE))</f>
        <v>6750</v>
      </c>
      <c r="DL15" s="21">
        <f>IF(DL$4&lt;'Platform Assumptions'!$D$46,0,HLOOKUP(DL$4,'Platform Assumptions'!$D46:$DT47,2,FALSE))</f>
        <v>6750</v>
      </c>
      <c r="DM15" s="21">
        <f>IF(DM$4&lt;'Platform Assumptions'!$D$46,0,HLOOKUP(DM$4,'Platform Assumptions'!$D46:$DT47,2,FALSE))</f>
        <v>6750</v>
      </c>
      <c r="DN15" s="21">
        <f>IF(DN$4&lt;'Platform Assumptions'!$D$46,0,HLOOKUP(DN$4,'Platform Assumptions'!$D46:$DT47,2,FALSE))</f>
        <v>6750</v>
      </c>
      <c r="DO15" s="21">
        <f>IF(DO$4&lt;'Platform Assumptions'!$D$46,0,HLOOKUP(DO$4,'Platform Assumptions'!$D46:$DT47,2,FALSE))</f>
        <v>6750</v>
      </c>
      <c r="DP15" s="21">
        <f>IF(DP$4&lt;'Platform Assumptions'!$D$46,0,HLOOKUP(DP$4,'Platform Assumptions'!$D46:$DT47,2,FALSE))</f>
        <v>6750</v>
      </c>
      <c r="DQ15" s="21">
        <f>IF(DQ$4&lt;'Platform Assumptions'!$D$46,0,HLOOKUP(DQ$4,'Platform Assumptions'!$D46:$DT47,2,FALSE))</f>
        <v>6750</v>
      </c>
      <c r="DR15" s="21">
        <f>IF(DR$4&lt;'Platform Assumptions'!$D$46,0,HLOOKUP(DR$4,'Platform Assumptions'!$D46:$DT47,2,FALSE))</f>
        <v>6750</v>
      </c>
      <c r="DS15" s="21">
        <f>IF(DS$4&lt;'Platform Assumptions'!$D$46,0,HLOOKUP(DS$4,'Platform Assumptions'!$D46:$DT47,2,FALSE))</f>
        <v>6750</v>
      </c>
      <c r="DT15" s="21">
        <f>IF(DT$4&lt;'Platform Assumptions'!$D$46,0,HLOOKUP(DT$4,'Platform Assumptions'!$D46:$DT47,2,FALSE))</f>
        <v>6750</v>
      </c>
      <c r="DU15" s="21">
        <f>IF(DU$4&lt;'Platform Assumptions'!$D$46,0,HLOOKUP(DU$4,'Platform Assumptions'!$D46:$DT47,2,FALSE))</f>
        <v>6750</v>
      </c>
      <c r="DV15" s="21"/>
    </row>
    <row r="16" spans="3:126" s="3" customFormat="1" ht="22.95" customHeight="1">
      <c r="C16" s="104">
        <f t="shared" si="9"/>
        <v>10</v>
      </c>
      <c r="D16" s="77">
        <f t="shared" si="8"/>
        <v>104999.99999999999</v>
      </c>
      <c r="E16" s="21">
        <f>IF(E$4&lt;'Platform Assumptions'!$D$49,0,HLOOKUP(E$4,'Platform Assumptions'!$D49:$DT50,2,FALSE))</f>
        <v>0</v>
      </c>
      <c r="F16" s="21">
        <f>IF(F$4&lt;'Platform Assumptions'!$D$49,0,HLOOKUP(F$4,'Platform Assumptions'!$D49:$DT50,2,FALSE))</f>
        <v>0</v>
      </c>
      <c r="G16" s="21">
        <f>IF(G$4&lt;'Platform Assumptions'!$D$49,0,HLOOKUP(G$4,'Platform Assumptions'!$D49:$DT50,2,FALSE))</f>
        <v>0</v>
      </c>
      <c r="H16" s="21">
        <f>IF(H$4&lt;'Platform Assumptions'!$D$49,0,HLOOKUP(H$4,'Platform Assumptions'!$D49:$DT50,2,FALSE))</f>
        <v>0</v>
      </c>
      <c r="I16" s="21">
        <f>IF(I$4&lt;'Platform Assumptions'!$D$49,0,HLOOKUP(I$4,'Platform Assumptions'!$D49:$DT50,2,FALSE))</f>
        <v>0</v>
      </c>
      <c r="J16" s="21">
        <f>IF(J$4&lt;'Platform Assumptions'!$D$49,0,HLOOKUP(J$4,'Platform Assumptions'!$D49:$DT50,2,FALSE))</f>
        <v>0</v>
      </c>
      <c r="K16" s="21">
        <f>IF(K$4&lt;'Platform Assumptions'!$D$49,0,HLOOKUP(K$4,'Platform Assumptions'!$D49:$DT50,2,FALSE))</f>
        <v>0</v>
      </c>
      <c r="L16" s="21">
        <f>IF(L$4&lt;'Platform Assumptions'!$D$49,0,HLOOKUP(L$4,'Platform Assumptions'!$D49:$DT50,2,FALSE))</f>
        <v>0</v>
      </c>
      <c r="M16" s="21">
        <f>IF(M$4&lt;'Platform Assumptions'!$D$49,0,HLOOKUP(M$4,'Platform Assumptions'!$D49:$DT50,2,FALSE))</f>
        <v>0</v>
      </c>
      <c r="N16" s="21">
        <f>IF(N$4&lt;'Platform Assumptions'!$D$49,0,HLOOKUP(N$4,'Platform Assumptions'!$D49:$DT50,2,FALSE))</f>
        <v>0</v>
      </c>
      <c r="O16" s="21">
        <f>IF(O$4&lt;'Platform Assumptions'!$D$49,0,HLOOKUP(O$4,'Platform Assumptions'!$D49:$DT50,2,FALSE))</f>
        <v>0</v>
      </c>
      <c r="P16" s="21">
        <f>IF(P$4&lt;'Platform Assumptions'!$D$49,0,HLOOKUP(P$4,'Platform Assumptions'!$D49:$DT50,2,FALSE))</f>
        <v>0</v>
      </c>
      <c r="Q16" s="21">
        <f>IF(Q$4&lt;'Platform Assumptions'!$D$49,0,HLOOKUP(Q$4,'Platform Assumptions'!$D49:$DT50,2,FALSE))</f>
        <v>0</v>
      </c>
      <c r="R16" s="21">
        <f>IF(R$4&lt;'Platform Assumptions'!$D$49,0,HLOOKUP(R$4,'Platform Assumptions'!$D49:$DT50,2,FALSE))</f>
        <v>0</v>
      </c>
      <c r="S16" s="21">
        <f>IF(S$4&lt;'Platform Assumptions'!$D$49,0,HLOOKUP(S$4,'Platform Assumptions'!$D49:$DT50,2,FALSE))</f>
        <v>0</v>
      </c>
      <c r="T16" s="21">
        <f>IF(T$4&lt;'Platform Assumptions'!$D$49,0,HLOOKUP(T$4,'Platform Assumptions'!$D49:$DT50,2,FALSE))</f>
        <v>0</v>
      </c>
      <c r="U16" s="21">
        <f>IF(U$4&lt;'Platform Assumptions'!$D$49,0,HLOOKUP(U$4,'Platform Assumptions'!$D49:$DT50,2,FALSE))</f>
        <v>0</v>
      </c>
      <c r="V16" s="21">
        <f>IF(V$4&lt;'Platform Assumptions'!$D$49,0,HLOOKUP(V$4,'Platform Assumptions'!$D49:$DT50,2,FALSE))</f>
        <v>0</v>
      </c>
      <c r="W16" s="21">
        <f>IF(W$4&lt;'Platform Assumptions'!$D$49,0,HLOOKUP(W$4,'Platform Assumptions'!$D49:$DT50,2,FALSE))</f>
        <v>0</v>
      </c>
      <c r="X16" s="21">
        <f>IF(X$4&lt;'Platform Assumptions'!$D$49,0,HLOOKUP(X$4,'Platform Assumptions'!$D49:$DT50,2,FALSE))</f>
        <v>0</v>
      </c>
      <c r="Y16" s="21">
        <f>IF(Y$4&lt;'Platform Assumptions'!$D$49,0,HLOOKUP(Y$4,'Platform Assumptions'!$D49:$DT50,2,FALSE))</f>
        <v>0</v>
      </c>
      <c r="Z16" s="21">
        <f>IF(Z$4&lt;'Platform Assumptions'!$D$49,0,HLOOKUP(Z$4,'Platform Assumptions'!$D49:$DT50,2,FALSE))</f>
        <v>0</v>
      </c>
      <c r="AA16" s="21">
        <f>IF(AA$4&lt;'Platform Assumptions'!$D$49,0,HLOOKUP(AA$4,'Platform Assumptions'!$D49:$DT50,2,FALSE))</f>
        <v>0</v>
      </c>
      <c r="AB16" s="21">
        <f>IF(AB$4&lt;'Platform Assumptions'!$D$49,0,HLOOKUP(AB$4,'Platform Assumptions'!$D49:$DT50,2,FALSE))</f>
        <v>0</v>
      </c>
      <c r="AC16" s="21">
        <f>IF(AC$4&lt;'Platform Assumptions'!$D$49,0,HLOOKUP(AC$4,'Platform Assumptions'!$D49:$DT50,2,FALSE))</f>
        <v>0</v>
      </c>
      <c r="AD16" s="21">
        <f>IF(AD$4&lt;'Platform Assumptions'!$D$49,0,HLOOKUP(AD$4,'Platform Assumptions'!$D49:$DT50,2,FALSE))</f>
        <v>0</v>
      </c>
      <c r="AE16" s="21">
        <f>IF(AE$4&lt;'Platform Assumptions'!$D$49,0,HLOOKUP(AE$4,'Platform Assumptions'!$D49:$DT50,2,FALSE))</f>
        <v>0</v>
      </c>
      <c r="AF16" s="21">
        <f>IF(AF$4&lt;'Platform Assumptions'!$D$49,0,HLOOKUP(AF$4,'Platform Assumptions'!$D49:$DT50,2,FALSE))</f>
        <v>46666.666666666664</v>
      </c>
      <c r="AG16" s="21">
        <f>IF(AG$4&lt;'Platform Assumptions'!$D$49,0,HLOOKUP(AG$4,'Platform Assumptions'!$D49:$DT50,2,FALSE))</f>
        <v>-3333.3333333333335</v>
      </c>
      <c r="AH16" s="21">
        <f>IF(AH$4&lt;'Platform Assumptions'!$D$49,0,HLOOKUP(AH$4,'Platform Assumptions'!$D49:$DT50,2,FALSE))</f>
        <v>-3333.3333333333335</v>
      </c>
      <c r="AI16" s="21">
        <f>IF(AI$4&lt;'Platform Assumptions'!$D$49,0,HLOOKUP(AI$4,'Platform Assumptions'!$D49:$DT50,2,FALSE))</f>
        <v>-3333.3333333333335</v>
      </c>
      <c r="AJ16" s="21">
        <f>IF(AJ$4&lt;'Platform Assumptions'!$D$49,0,HLOOKUP(AJ$4,'Platform Assumptions'!$D49:$DT50,2,FALSE))</f>
        <v>-3333.3333333333335</v>
      </c>
      <c r="AK16" s="21">
        <f>IF(AK$4&lt;'Platform Assumptions'!$D$49,0,HLOOKUP(AK$4,'Platform Assumptions'!$D49:$DT50,2,FALSE))</f>
        <v>-3333.3333333333335</v>
      </c>
      <c r="AL16" s="21">
        <f>IF(AL$4&lt;'Platform Assumptions'!$D$49,0,HLOOKUP(AL$4,'Platform Assumptions'!$D49:$DT50,2,FALSE))</f>
        <v>6250</v>
      </c>
      <c r="AM16" s="21">
        <f>IF(AM$4&lt;'Platform Assumptions'!$D$49,0,HLOOKUP(AM$4,'Platform Assumptions'!$D49:$DT50,2,FALSE))</f>
        <v>6250</v>
      </c>
      <c r="AN16" s="21">
        <f>IF(AN$4&lt;'Platform Assumptions'!$D$49,0,HLOOKUP(AN$4,'Platform Assumptions'!$D49:$DT50,2,FALSE))</f>
        <v>6250</v>
      </c>
      <c r="AO16" s="21">
        <f>IF(AO$4&lt;'Platform Assumptions'!$D$49,0,HLOOKUP(AO$4,'Platform Assumptions'!$D49:$DT50,2,FALSE))</f>
        <v>6250</v>
      </c>
      <c r="AP16" s="21">
        <f>IF(AP$4&lt;'Platform Assumptions'!$D$49,0,HLOOKUP(AP$4,'Platform Assumptions'!$D49:$DT50,2,FALSE))</f>
        <v>6250</v>
      </c>
      <c r="AQ16" s="21">
        <f>IF(AQ$4&lt;'Platform Assumptions'!$D$49,0,HLOOKUP(AQ$4,'Platform Assumptions'!$D49:$DT50,2,FALSE))</f>
        <v>6250</v>
      </c>
      <c r="AR16" s="21">
        <f>IF(AR$4&lt;'Platform Assumptions'!$D$49,0,HLOOKUP(AR$4,'Platform Assumptions'!$D49:$DT50,2,FALSE))</f>
        <v>6250</v>
      </c>
      <c r="AS16" s="21">
        <f>IF(AS$4&lt;'Platform Assumptions'!$D$49,0,HLOOKUP(AS$4,'Platform Assumptions'!$D49:$DT50,2,FALSE))</f>
        <v>6250</v>
      </c>
      <c r="AT16" s="21">
        <f>IF(AT$4&lt;'Platform Assumptions'!$D$49,0,HLOOKUP(AT$4,'Platform Assumptions'!$D49:$DT50,2,FALSE))</f>
        <v>6250</v>
      </c>
      <c r="AU16" s="21">
        <f>IF(AU$4&lt;'Platform Assumptions'!$D$49,0,HLOOKUP(AU$4,'Platform Assumptions'!$D49:$DT50,2,FALSE))</f>
        <v>6250</v>
      </c>
      <c r="AV16" s="21">
        <f>IF(AV$4&lt;'Platform Assumptions'!$D$49,0,HLOOKUP(AV$4,'Platform Assumptions'!$D49:$DT50,2,FALSE))</f>
        <v>6250</v>
      </c>
      <c r="AW16" s="21">
        <f>IF(AW$4&lt;'Platform Assumptions'!$D$49,0,HLOOKUP(AW$4,'Platform Assumptions'!$D49:$DT50,2,FALSE))</f>
        <v>6250</v>
      </c>
      <c r="AX16" s="21">
        <f>IF(AX$4&lt;'Platform Assumptions'!$D$49,0,HLOOKUP(AX$4,'Platform Assumptions'!$D49:$DT50,2,FALSE))</f>
        <v>0</v>
      </c>
      <c r="AY16" s="21">
        <f>IF(AY$4&lt;'Platform Assumptions'!$D$49,0,HLOOKUP(AY$4,'Platform Assumptions'!$D49:$DT50,2,FALSE))</f>
        <v>0</v>
      </c>
      <c r="AZ16" s="21">
        <f>IF(AZ$4&lt;'Platform Assumptions'!$D$49,0,HLOOKUP(AZ$4,'Platform Assumptions'!$D49:$DT50,2,FALSE))</f>
        <v>0</v>
      </c>
      <c r="BA16" s="21">
        <f>IF(BA$4&lt;'Platform Assumptions'!$D$49,0,HLOOKUP(BA$4,'Platform Assumptions'!$D49:$DT50,2,FALSE))</f>
        <v>0</v>
      </c>
      <c r="BB16" s="21">
        <f>IF(BB$4&lt;'Platform Assumptions'!$D$49,0,HLOOKUP(BB$4,'Platform Assumptions'!$D49:$DT50,2,FALSE))</f>
        <v>0</v>
      </c>
      <c r="BC16" s="21">
        <f>IF(BC$4&lt;'Platform Assumptions'!$D$49,0,HLOOKUP(BC$4,'Platform Assumptions'!$D49:$DT50,2,FALSE))</f>
        <v>0</v>
      </c>
      <c r="BD16" s="21">
        <f>IF(BD$4&lt;'Platform Assumptions'!$D$49,0,HLOOKUP(BD$4,'Platform Assumptions'!$D49:$DT50,2,FALSE))</f>
        <v>0</v>
      </c>
      <c r="BE16" s="21">
        <f>IF(BE$4&lt;'Platform Assumptions'!$D$49,0,HLOOKUP(BE$4,'Platform Assumptions'!$D49:$DT50,2,FALSE))</f>
        <v>0</v>
      </c>
      <c r="BF16" s="21">
        <f>IF(BF$4&lt;'Platform Assumptions'!$D$49,0,HLOOKUP(BF$4,'Platform Assumptions'!$D49:$DT50,2,FALSE))</f>
        <v>0</v>
      </c>
      <c r="BG16" s="21">
        <f>IF(BG$4&lt;'Platform Assumptions'!$D$49,0,HLOOKUP(BG$4,'Platform Assumptions'!$D49:$DT50,2,FALSE))</f>
        <v>0</v>
      </c>
      <c r="BH16" s="21">
        <f>IF(BH$4&lt;'Platform Assumptions'!$D$49,0,HLOOKUP(BH$4,'Platform Assumptions'!$D49:$DT50,2,FALSE))</f>
        <v>0</v>
      </c>
      <c r="BI16" s="21">
        <f>IF(BI$4&lt;'Platform Assumptions'!$D$49,0,HLOOKUP(BI$4,'Platform Assumptions'!$D49:$DT50,2,FALSE))</f>
        <v>0</v>
      </c>
      <c r="BJ16" s="21">
        <f>IF(BJ$4&lt;'Platform Assumptions'!$D$49,0,HLOOKUP(BJ$4,'Platform Assumptions'!$D49:$DT50,2,FALSE))</f>
        <v>0</v>
      </c>
      <c r="BK16" s="21">
        <f>IF(BK$4&lt;'Platform Assumptions'!$D$49,0,HLOOKUP(BK$4,'Platform Assumptions'!$D49:$DT50,2,FALSE))</f>
        <v>0</v>
      </c>
      <c r="BL16" s="21">
        <f>IF(BL$4&lt;'Platform Assumptions'!$D$49,0,HLOOKUP(BL$4,'Platform Assumptions'!$D49:$DT50,2,FALSE))</f>
        <v>0</v>
      </c>
      <c r="BM16" s="21">
        <f>IF(BM$4&lt;'Platform Assumptions'!$D$49,0,HLOOKUP(BM$4,'Platform Assumptions'!$D49:$DT50,2,FALSE))</f>
        <v>0</v>
      </c>
      <c r="BN16" s="21">
        <f>IF(BN$4&lt;'Platform Assumptions'!$D$49,0,HLOOKUP(BN$4,'Platform Assumptions'!$D49:$DT50,2,FALSE))</f>
        <v>0</v>
      </c>
      <c r="BO16" s="21">
        <f>IF(BO$4&lt;'Platform Assumptions'!$D$49,0,HLOOKUP(BO$4,'Platform Assumptions'!$D49:$DT50,2,FALSE))</f>
        <v>0</v>
      </c>
      <c r="BP16" s="21">
        <f>IF(BP$4&lt;'Platform Assumptions'!$D$49,0,HLOOKUP(BP$4,'Platform Assumptions'!$D49:$DT50,2,FALSE))</f>
        <v>0</v>
      </c>
      <c r="BQ16" s="21">
        <f>IF(BQ$4&lt;'Platform Assumptions'!$D$49,0,HLOOKUP(BQ$4,'Platform Assumptions'!$D49:$DT50,2,FALSE))</f>
        <v>0</v>
      </c>
      <c r="BR16" s="21">
        <f>IF(BR$4&lt;'Platform Assumptions'!$D$49,0,HLOOKUP(BR$4,'Platform Assumptions'!$D49:$DT50,2,FALSE))</f>
        <v>0</v>
      </c>
      <c r="BS16" s="21">
        <f>IF(BS$4&lt;'Platform Assumptions'!$D$49,0,HLOOKUP(BS$4,'Platform Assumptions'!$D49:$DT50,2,FALSE))</f>
        <v>0</v>
      </c>
      <c r="BT16" s="21">
        <f>IF(BT$4&lt;'Platform Assumptions'!$D$49,0,HLOOKUP(BT$4,'Platform Assumptions'!$D49:$DT50,2,FALSE))</f>
        <v>0</v>
      </c>
      <c r="BU16" s="21">
        <f>IF(BU$4&lt;'Platform Assumptions'!$D$49,0,HLOOKUP(BU$4,'Platform Assumptions'!$D49:$DT50,2,FALSE))</f>
        <v>0</v>
      </c>
      <c r="BV16" s="21">
        <f>IF(BV$4&lt;'Platform Assumptions'!$D$49,0,HLOOKUP(BV$4,'Platform Assumptions'!$D49:$DT50,2,FALSE))</f>
        <v>0</v>
      </c>
      <c r="BW16" s="21">
        <f>IF(BW$4&lt;'Platform Assumptions'!$D$49,0,HLOOKUP(BW$4,'Platform Assumptions'!$D49:$DT50,2,FALSE))</f>
        <v>0</v>
      </c>
      <c r="BX16" s="21">
        <f>IF(BX$4&lt;'Platform Assumptions'!$D$49,0,HLOOKUP(BX$4,'Platform Assumptions'!$D49:$DT50,2,FALSE))</f>
        <v>0</v>
      </c>
      <c r="BY16" s="21">
        <f>IF(BY$4&lt;'Platform Assumptions'!$D$49,0,HLOOKUP(BY$4,'Platform Assumptions'!$D49:$DT50,2,FALSE))</f>
        <v>0</v>
      </c>
      <c r="BZ16" s="21">
        <f>IF(BZ$4&lt;'Platform Assumptions'!$D$49,0,HLOOKUP(BZ$4,'Platform Assumptions'!$D49:$DT50,2,FALSE))</f>
        <v>0</v>
      </c>
      <c r="CA16" s="21">
        <f>IF(CA$4&lt;'Platform Assumptions'!$D$49,0,HLOOKUP(CA$4,'Platform Assumptions'!$D49:$DT50,2,FALSE))</f>
        <v>0</v>
      </c>
      <c r="CB16" s="21">
        <f>IF(CB$4&lt;'Platform Assumptions'!$D$49,0,HLOOKUP(CB$4,'Platform Assumptions'!$D49:$DT50,2,FALSE))</f>
        <v>0</v>
      </c>
      <c r="CC16" s="21">
        <f>IF(CC$4&lt;'Platform Assumptions'!$D$49,0,HLOOKUP(CC$4,'Platform Assumptions'!$D49:$DT50,2,FALSE))</f>
        <v>0</v>
      </c>
      <c r="CD16" s="21">
        <f>IF(CD$4&lt;'Platform Assumptions'!$D$49,0,HLOOKUP(CD$4,'Platform Assumptions'!$D49:$DT50,2,FALSE))</f>
        <v>0</v>
      </c>
      <c r="CE16" s="21">
        <f>IF(CE$4&lt;'Platform Assumptions'!$D$49,0,HLOOKUP(CE$4,'Platform Assumptions'!$D49:$DT50,2,FALSE))</f>
        <v>0</v>
      </c>
      <c r="CF16" s="21">
        <f>IF(CF$4&lt;'Platform Assumptions'!$D$49,0,HLOOKUP(CF$4,'Platform Assumptions'!$D49:$DT50,2,FALSE))</f>
        <v>0</v>
      </c>
      <c r="CG16" s="21">
        <f>IF(CG$4&lt;'Platform Assumptions'!$D$49,0,HLOOKUP(CG$4,'Platform Assumptions'!$D49:$DT50,2,FALSE))</f>
        <v>0</v>
      </c>
      <c r="CH16" s="21">
        <f>IF(CH$4&lt;'Platform Assumptions'!$D$49,0,HLOOKUP(CH$4,'Platform Assumptions'!$D49:$DT50,2,FALSE))</f>
        <v>0</v>
      </c>
      <c r="CI16" s="21">
        <f>IF(CI$4&lt;'Platform Assumptions'!$D$49,0,HLOOKUP(CI$4,'Platform Assumptions'!$D49:$DT50,2,FALSE))</f>
        <v>0</v>
      </c>
      <c r="CJ16" s="21">
        <f>IF(CJ$4&lt;'Platform Assumptions'!$D$49,0,HLOOKUP(CJ$4,'Platform Assumptions'!$D49:$DT50,2,FALSE))</f>
        <v>0</v>
      </c>
      <c r="CK16" s="21">
        <f>IF(CK$4&lt;'Platform Assumptions'!$D$49,0,HLOOKUP(CK$4,'Platform Assumptions'!$D49:$DT50,2,FALSE))</f>
        <v>0</v>
      </c>
      <c r="CL16" s="21">
        <f>IF(CL$4&lt;'Platform Assumptions'!$D$49,0,HLOOKUP(CL$4,'Platform Assumptions'!$D49:$DT50,2,FALSE))</f>
        <v>0</v>
      </c>
      <c r="CM16" s="21">
        <f>IF(CM$4&lt;'Platform Assumptions'!$D$49,0,HLOOKUP(CM$4,'Platform Assumptions'!$D49:$DT50,2,FALSE))</f>
        <v>0</v>
      </c>
      <c r="CN16" s="21">
        <f>IF(CN$4&lt;'Platform Assumptions'!$D$49,0,HLOOKUP(CN$4,'Platform Assumptions'!$D49:$DT50,2,FALSE))</f>
        <v>0</v>
      </c>
      <c r="CO16" s="21">
        <f>IF(CO$4&lt;'Platform Assumptions'!$D$49,0,HLOOKUP(CO$4,'Platform Assumptions'!$D49:$DT50,2,FALSE))</f>
        <v>0</v>
      </c>
      <c r="CP16" s="21">
        <f>IF(CP$4&lt;'Platform Assumptions'!$D$49,0,HLOOKUP(CP$4,'Platform Assumptions'!$D49:$DT50,2,FALSE))</f>
        <v>0</v>
      </c>
      <c r="CQ16" s="21">
        <f>IF(CQ$4&lt;'Platform Assumptions'!$D$49,0,HLOOKUP(CQ$4,'Platform Assumptions'!$D49:$DT50,2,FALSE))</f>
        <v>0</v>
      </c>
      <c r="CR16" s="21">
        <f>IF(CR$4&lt;'Platform Assumptions'!$D$49,0,HLOOKUP(CR$4,'Platform Assumptions'!$D49:$DT50,2,FALSE))</f>
        <v>0</v>
      </c>
      <c r="CS16" s="21">
        <f>IF(CS$4&lt;'Platform Assumptions'!$D$49,0,HLOOKUP(CS$4,'Platform Assumptions'!$D49:$DT50,2,FALSE))</f>
        <v>0</v>
      </c>
      <c r="CT16" s="21">
        <f>IF(CT$4&lt;'Platform Assumptions'!$D$49,0,HLOOKUP(CT$4,'Platform Assumptions'!$D49:$DT50,2,FALSE))</f>
        <v>0</v>
      </c>
      <c r="CU16" s="21">
        <f>IF(CU$4&lt;'Platform Assumptions'!$D$49,0,HLOOKUP(CU$4,'Platform Assumptions'!$D49:$DT50,2,FALSE))</f>
        <v>0</v>
      </c>
      <c r="CV16" s="21">
        <f>IF(CV$4&lt;'Platform Assumptions'!$D$49,0,HLOOKUP(CV$4,'Platform Assumptions'!$D49:$DT50,2,FALSE))</f>
        <v>0</v>
      </c>
      <c r="CW16" s="21">
        <f>IF(CW$4&lt;'Platform Assumptions'!$D$49,0,HLOOKUP(CW$4,'Platform Assumptions'!$D49:$DT50,2,FALSE))</f>
        <v>0</v>
      </c>
      <c r="CX16" s="21">
        <f>IF(CX$4&lt;'Platform Assumptions'!$D$49,0,HLOOKUP(CX$4,'Platform Assumptions'!$D49:$DT50,2,FALSE))</f>
        <v>0</v>
      </c>
      <c r="CY16" s="21">
        <f>IF(CY$4&lt;'Platform Assumptions'!$D$49,0,HLOOKUP(CY$4,'Platform Assumptions'!$D49:$DT50,2,FALSE))</f>
        <v>0</v>
      </c>
      <c r="CZ16" s="21">
        <f>IF(CZ$4&lt;'Platform Assumptions'!$D$49,0,HLOOKUP(CZ$4,'Platform Assumptions'!$D49:$DT50,2,FALSE))</f>
        <v>0</v>
      </c>
      <c r="DA16" s="21">
        <f>IF(DA$4&lt;'Platform Assumptions'!$D$49,0,HLOOKUP(DA$4,'Platform Assumptions'!$D49:$DT50,2,FALSE))</f>
        <v>0</v>
      </c>
      <c r="DB16" s="21">
        <f>IF(DB$4&lt;'Platform Assumptions'!$D$49,0,HLOOKUP(DB$4,'Platform Assumptions'!$D49:$DT50,2,FALSE))</f>
        <v>0</v>
      </c>
      <c r="DC16" s="21">
        <f>IF(DC$4&lt;'Platform Assumptions'!$D$49,0,HLOOKUP(DC$4,'Platform Assumptions'!$D49:$DT50,2,FALSE))</f>
        <v>0</v>
      </c>
      <c r="DD16" s="21">
        <f>IF(DD$4&lt;'Platform Assumptions'!$D$49,0,HLOOKUP(DD$4,'Platform Assumptions'!$D49:$DT50,2,FALSE))</f>
        <v>0</v>
      </c>
      <c r="DE16" s="21">
        <f>IF(DE$4&lt;'Platform Assumptions'!$D$49,0,HLOOKUP(DE$4,'Platform Assumptions'!$D49:$DT50,2,FALSE))</f>
        <v>0</v>
      </c>
      <c r="DF16" s="21">
        <f>IF(DF$4&lt;'Platform Assumptions'!$D$49,0,HLOOKUP(DF$4,'Platform Assumptions'!$D49:$DT50,2,FALSE))</f>
        <v>0</v>
      </c>
      <c r="DG16" s="21">
        <f>IF(DG$4&lt;'Platform Assumptions'!$D$49,0,HLOOKUP(DG$4,'Platform Assumptions'!$D49:$DT50,2,FALSE))</f>
        <v>0</v>
      </c>
      <c r="DH16" s="21">
        <f>IF(DH$4&lt;'Platform Assumptions'!$D$49,0,HLOOKUP(DH$4,'Platform Assumptions'!$D49:$DT50,2,FALSE))</f>
        <v>0</v>
      </c>
      <c r="DI16" s="21">
        <f>IF(DI$4&lt;'Platform Assumptions'!$D$49,0,HLOOKUP(DI$4,'Platform Assumptions'!$D49:$DT50,2,FALSE))</f>
        <v>0</v>
      </c>
      <c r="DJ16" s="21">
        <f>IF(DJ$4&lt;'Platform Assumptions'!$D$49,0,HLOOKUP(DJ$4,'Platform Assumptions'!$D49:$DT50,2,FALSE))</f>
        <v>0</v>
      </c>
      <c r="DK16" s="21">
        <f>IF(DK$4&lt;'Platform Assumptions'!$D$49,0,HLOOKUP(DK$4,'Platform Assumptions'!$D49:$DT50,2,FALSE))</f>
        <v>0</v>
      </c>
      <c r="DL16" s="21">
        <f>IF(DL$4&lt;'Platform Assumptions'!$D$49,0,HLOOKUP(DL$4,'Platform Assumptions'!$D49:$DT50,2,FALSE))</f>
        <v>0</v>
      </c>
      <c r="DM16" s="21">
        <f>IF(DM$4&lt;'Platform Assumptions'!$D$49,0,HLOOKUP(DM$4,'Platform Assumptions'!$D49:$DT50,2,FALSE))</f>
        <v>0</v>
      </c>
      <c r="DN16" s="21">
        <f>IF(DN$4&lt;'Platform Assumptions'!$D$49,0,HLOOKUP(DN$4,'Platform Assumptions'!$D49:$DT50,2,FALSE))</f>
        <v>0</v>
      </c>
      <c r="DO16" s="21">
        <f>IF(DO$4&lt;'Platform Assumptions'!$D$49,0,HLOOKUP(DO$4,'Platform Assumptions'!$D49:$DT50,2,FALSE))</f>
        <v>0</v>
      </c>
      <c r="DP16" s="21">
        <f>IF(DP$4&lt;'Platform Assumptions'!$D$49,0,HLOOKUP(DP$4,'Platform Assumptions'!$D49:$DT50,2,FALSE))</f>
        <v>0</v>
      </c>
      <c r="DQ16" s="21">
        <f>IF(DQ$4&lt;'Platform Assumptions'!$D$49,0,HLOOKUP(DQ$4,'Platform Assumptions'!$D49:$DT50,2,FALSE))</f>
        <v>0</v>
      </c>
      <c r="DR16" s="21">
        <f>IF(DR$4&lt;'Platform Assumptions'!$D$49,0,HLOOKUP(DR$4,'Platform Assumptions'!$D49:$DT50,2,FALSE))</f>
        <v>0</v>
      </c>
      <c r="DS16" s="21">
        <f>IF(DS$4&lt;'Platform Assumptions'!$D$49,0,HLOOKUP(DS$4,'Platform Assumptions'!$D49:$DT50,2,FALSE))</f>
        <v>0</v>
      </c>
      <c r="DT16" s="21">
        <f>IF(DT$4&lt;'Platform Assumptions'!$D$49,0,HLOOKUP(DT$4,'Platform Assumptions'!$D49:$DT50,2,FALSE))</f>
        <v>0</v>
      </c>
      <c r="DU16" s="21">
        <f>IF(DU$4&lt;'Platform Assumptions'!$D$49,0,HLOOKUP(DU$4,'Platform Assumptions'!$D49:$DT50,2,FALSE))</f>
        <v>0</v>
      </c>
      <c r="DV16" s="21"/>
    </row>
    <row r="17" spans="3:125" s="3" customFormat="1" ht="22.95" customHeight="1">
      <c r="C17" s="26" t="s">
        <v>86</v>
      </c>
      <c r="D17" s="105">
        <f t="shared" si="8"/>
        <v>17330759.972232006</v>
      </c>
      <c r="E17" s="46">
        <f t="shared" ref="E17:AJ17" si="10">SUM(E7:E16)</f>
        <v>46666.666666666664</v>
      </c>
      <c r="F17" s="46">
        <f t="shared" si="10"/>
        <v>-3333.3333333333335</v>
      </c>
      <c r="G17" s="46">
        <f t="shared" si="10"/>
        <v>-3333.3333333333335</v>
      </c>
      <c r="H17" s="46">
        <f t="shared" si="10"/>
        <v>43333.333333333328</v>
      </c>
      <c r="I17" s="46">
        <f t="shared" si="10"/>
        <v>-6666.666666666667</v>
      </c>
      <c r="J17" s="46">
        <f t="shared" si="10"/>
        <v>-6666.666666666667</v>
      </c>
      <c r="K17" s="46">
        <f t="shared" si="10"/>
        <v>49583.333333333328</v>
      </c>
      <c r="L17" s="46">
        <f t="shared" si="10"/>
        <v>-416.66666666666697</v>
      </c>
      <c r="M17" s="46">
        <f t="shared" si="10"/>
        <v>-416.66666666666697</v>
      </c>
      <c r="N17" s="46">
        <f t="shared" si="10"/>
        <v>55833.333333333328</v>
      </c>
      <c r="O17" s="46">
        <f t="shared" si="10"/>
        <v>5833.3333333333321</v>
      </c>
      <c r="P17" s="46">
        <f t="shared" si="10"/>
        <v>5833.3333333333321</v>
      </c>
      <c r="Q17" s="46">
        <f t="shared" si="10"/>
        <v>62083.333333333328</v>
      </c>
      <c r="R17" s="46">
        <f t="shared" si="10"/>
        <v>12083.333333333332</v>
      </c>
      <c r="S17" s="46">
        <f t="shared" si="10"/>
        <v>12083.333333333332</v>
      </c>
      <c r="T17" s="46">
        <f t="shared" si="10"/>
        <v>68333.333333333328</v>
      </c>
      <c r="U17" s="46">
        <f t="shared" si="10"/>
        <v>18333.333333333336</v>
      </c>
      <c r="V17" s="46">
        <f t="shared" si="10"/>
        <v>18333.333333333336</v>
      </c>
      <c r="W17" s="46">
        <f t="shared" si="10"/>
        <v>105833.33333333333</v>
      </c>
      <c r="X17" s="46">
        <f t="shared" si="10"/>
        <v>18333.333333333336</v>
      </c>
      <c r="Y17" s="46">
        <f t="shared" si="10"/>
        <v>18333.333333333336</v>
      </c>
      <c r="Z17" s="46">
        <f t="shared" si="10"/>
        <v>68333.333333333328</v>
      </c>
      <c r="AA17" s="46">
        <f t="shared" si="10"/>
        <v>18333.333333333336</v>
      </c>
      <c r="AB17" s="46">
        <f t="shared" si="10"/>
        <v>18333.333333333336</v>
      </c>
      <c r="AC17" s="46">
        <f t="shared" si="10"/>
        <v>1455833.3333333335</v>
      </c>
      <c r="AD17" s="46">
        <f t="shared" si="10"/>
        <v>18333.333333333336</v>
      </c>
      <c r="AE17" s="46">
        <f t="shared" si="10"/>
        <v>18333.333333333336</v>
      </c>
      <c r="AF17" s="46">
        <f t="shared" si="10"/>
        <v>78184.700520833328</v>
      </c>
      <c r="AG17" s="46">
        <f t="shared" si="10"/>
        <v>28184.700520833336</v>
      </c>
      <c r="AH17" s="46">
        <f t="shared" si="10"/>
        <v>28184.700520833336</v>
      </c>
      <c r="AI17" s="46">
        <f t="shared" si="10"/>
        <v>1419018.0338541667</v>
      </c>
      <c r="AJ17" s="46">
        <f t="shared" si="10"/>
        <v>31518.033854166668</v>
      </c>
      <c r="AK17" s="46">
        <f t="shared" ref="AK17:BP17" si="11">SUM(AK7:AK16)</f>
        <v>31518.033854166668</v>
      </c>
      <c r="AL17" s="46">
        <f t="shared" si="11"/>
        <v>44702.734375</v>
      </c>
      <c r="AM17" s="46">
        <f t="shared" si="11"/>
        <v>44702.734375</v>
      </c>
      <c r="AN17" s="46">
        <f t="shared" si="11"/>
        <v>44702.734375</v>
      </c>
      <c r="AO17" s="46">
        <f t="shared" si="11"/>
        <v>1425952.734375</v>
      </c>
      <c r="AP17" s="46">
        <f t="shared" si="11"/>
        <v>38452.734375</v>
      </c>
      <c r="AQ17" s="46">
        <f t="shared" si="11"/>
        <v>38452.734375</v>
      </c>
      <c r="AR17" s="46">
        <f t="shared" si="11"/>
        <v>42054.1015625</v>
      </c>
      <c r="AS17" s="46">
        <f t="shared" si="11"/>
        <v>42054.1015625</v>
      </c>
      <c r="AT17" s="46">
        <f t="shared" si="11"/>
        <v>42054.1015625</v>
      </c>
      <c r="AU17" s="46">
        <f t="shared" si="11"/>
        <v>1423304.1015625</v>
      </c>
      <c r="AV17" s="46">
        <f t="shared" si="11"/>
        <v>35804.1015625</v>
      </c>
      <c r="AW17" s="46">
        <f t="shared" si="11"/>
        <v>35804.1015625</v>
      </c>
      <c r="AX17" s="46">
        <f t="shared" si="11"/>
        <v>50589.795266220026</v>
      </c>
      <c r="AY17" s="46">
        <f t="shared" si="11"/>
        <v>50589.795266220026</v>
      </c>
      <c r="AZ17" s="46">
        <f t="shared" si="11"/>
        <v>50589.795266220026</v>
      </c>
      <c r="BA17" s="46">
        <f t="shared" si="11"/>
        <v>1400589.7952662201</v>
      </c>
      <c r="BB17" s="46">
        <f t="shared" si="11"/>
        <v>50589.795266220026</v>
      </c>
      <c r="BC17" s="46">
        <f t="shared" si="11"/>
        <v>50589.795266220026</v>
      </c>
      <c r="BD17" s="46">
        <f t="shared" si="11"/>
        <v>498419.07359250129</v>
      </c>
      <c r="BE17" s="46">
        <f t="shared" si="11"/>
        <v>119401.97204102021</v>
      </c>
      <c r="BF17" s="46">
        <f t="shared" si="11"/>
        <v>120651.97204102021</v>
      </c>
      <c r="BG17" s="46">
        <f t="shared" si="11"/>
        <v>121901.97204102021</v>
      </c>
      <c r="BH17" s="46">
        <f t="shared" si="11"/>
        <v>123151.97204102021</v>
      </c>
      <c r="BI17" s="46">
        <f t="shared" si="11"/>
        <v>124401.97204102021</v>
      </c>
      <c r="BJ17" s="46">
        <f t="shared" si="11"/>
        <v>563629.8831798014</v>
      </c>
      <c r="BK17" s="46">
        <f t="shared" si="11"/>
        <v>185862.7816283204</v>
      </c>
      <c r="BL17" s="46">
        <f t="shared" si="11"/>
        <v>188362.7816283204</v>
      </c>
      <c r="BM17" s="46">
        <f t="shared" si="11"/>
        <v>190862.7816283204</v>
      </c>
      <c r="BN17" s="46">
        <f t="shared" si="11"/>
        <v>193362.7816283204</v>
      </c>
      <c r="BO17" s="46">
        <f t="shared" si="11"/>
        <v>195862.7816283204</v>
      </c>
      <c r="BP17" s="46">
        <f t="shared" si="11"/>
        <v>560528.5159923014</v>
      </c>
      <c r="BQ17" s="46">
        <f t="shared" ref="BQ17:CV17" si="12">SUM(BQ7:BQ16)</f>
        <v>182761.4144408204</v>
      </c>
      <c r="BR17" s="46">
        <f t="shared" si="12"/>
        <v>185261.4144408204</v>
      </c>
      <c r="BS17" s="46">
        <f t="shared" si="12"/>
        <v>187761.4144408204</v>
      </c>
      <c r="BT17" s="46">
        <f t="shared" si="12"/>
        <v>190261.4144408204</v>
      </c>
      <c r="BU17" s="46">
        <f t="shared" si="12"/>
        <v>192761.4144408204</v>
      </c>
      <c r="BV17" s="46">
        <f t="shared" si="12"/>
        <v>557427.1488048014</v>
      </c>
      <c r="BW17" s="46">
        <f t="shared" si="12"/>
        <v>179660.0472533204</v>
      </c>
      <c r="BX17" s="46">
        <f t="shared" si="12"/>
        <v>182160.0472533204</v>
      </c>
      <c r="BY17" s="46">
        <f t="shared" si="12"/>
        <v>184660.0472533204</v>
      </c>
      <c r="BZ17" s="46">
        <f t="shared" si="12"/>
        <v>187160.0472533204</v>
      </c>
      <c r="CA17" s="46">
        <f t="shared" si="12"/>
        <v>189660.0472533204</v>
      </c>
      <c r="CB17" s="46">
        <f t="shared" si="12"/>
        <v>543141.4551010814</v>
      </c>
      <c r="CC17" s="46">
        <f t="shared" si="12"/>
        <v>165374.35354960038</v>
      </c>
      <c r="CD17" s="46">
        <f t="shared" si="12"/>
        <v>167874.35354960038</v>
      </c>
      <c r="CE17" s="46">
        <f t="shared" si="12"/>
        <v>170374.35354960038</v>
      </c>
      <c r="CF17" s="46">
        <f t="shared" si="12"/>
        <v>172874.35354960038</v>
      </c>
      <c r="CG17" s="46">
        <f t="shared" si="12"/>
        <v>175374.35354960038</v>
      </c>
      <c r="CH17" s="46">
        <f t="shared" si="12"/>
        <v>102062.17677480019</v>
      </c>
      <c r="CI17" s="46">
        <f t="shared" si="12"/>
        <v>103312.17677480019</v>
      </c>
      <c r="CJ17" s="46">
        <f t="shared" si="12"/>
        <v>104562.17677480019</v>
      </c>
      <c r="CK17" s="46">
        <f t="shared" si="12"/>
        <v>105812.17677480019</v>
      </c>
      <c r="CL17" s="46">
        <f t="shared" si="12"/>
        <v>107062.17677480019</v>
      </c>
      <c r="CM17" s="46">
        <f t="shared" si="12"/>
        <v>108312.17677480019</v>
      </c>
      <c r="CN17" s="46">
        <f t="shared" si="12"/>
        <v>33750</v>
      </c>
      <c r="CO17" s="46">
        <f t="shared" si="12"/>
        <v>33750</v>
      </c>
      <c r="CP17" s="46">
        <f t="shared" si="12"/>
        <v>33750</v>
      </c>
      <c r="CQ17" s="46">
        <f t="shared" si="12"/>
        <v>33750</v>
      </c>
      <c r="CR17" s="46">
        <f t="shared" si="12"/>
        <v>33750</v>
      </c>
      <c r="CS17" s="46">
        <f t="shared" si="12"/>
        <v>33750</v>
      </c>
      <c r="CT17" s="46">
        <f t="shared" si="12"/>
        <v>33750</v>
      </c>
      <c r="CU17" s="46">
        <f t="shared" si="12"/>
        <v>33750</v>
      </c>
      <c r="CV17" s="46">
        <f t="shared" si="12"/>
        <v>33750</v>
      </c>
      <c r="CW17" s="46">
        <f t="shared" ref="CW17:DU17" si="13">SUM(CW7:CW16)</f>
        <v>33750</v>
      </c>
      <c r="CX17" s="46">
        <f t="shared" si="13"/>
        <v>33750</v>
      </c>
      <c r="CY17" s="46">
        <f t="shared" si="13"/>
        <v>33750</v>
      </c>
      <c r="CZ17" s="46">
        <f t="shared" si="13"/>
        <v>33750</v>
      </c>
      <c r="DA17" s="46">
        <f t="shared" si="13"/>
        <v>33750</v>
      </c>
      <c r="DB17" s="46">
        <f t="shared" si="13"/>
        <v>33750</v>
      </c>
      <c r="DC17" s="46">
        <f t="shared" si="13"/>
        <v>33750</v>
      </c>
      <c r="DD17" s="46">
        <f t="shared" si="13"/>
        <v>33750</v>
      </c>
      <c r="DE17" s="46">
        <f t="shared" si="13"/>
        <v>33750</v>
      </c>
      <c r="DF17" s="46">
        <f t="shared" si="13"/>
        <v>33750</v>
      </c>
      <c r="DG17" s="46">
        <f t="shared" si="13"/>
        <v>33750</v>
      </c>
      <c r="DH17" s="46">
        <f t="shared" si="13"/>
        <v>33750</v>
      </c>
      <c r="DI17" s="46">
        <f t="shared" si="13"/>
        <v>33750</v>
      </c>
      <c r="DJ17" s="46">
        <f t="shared" si="13"/>
        <v>33750</v>
      </c>
      <c r="DK17" s="46">
        <f t="shared" si="13"/>
        <v>33750</v>
      </c>
      <c r="DL17" s="46">
        <f t="shared" si="13"/>
        <v>27000</v>
      </c>
      <c r="DM17" s="46">
        <f t="shared" si="13"/>
        <v>27000</v>
      </c>
      <c r="DN17" s="46">
        <f t="shared" si="13"/>
        <v>27000</v>
      </c>
      <c r="DO17" s="46">
        <f t="shared" si="13"/>
        <v>27000</v>
      </c>
      <c r="DP17" s="46">
        <f t="shared" si="13"/>
        <v>27000</v>
      </c>
      <c r="DQ17" s="46">
        <f t="shared" si="13"/>
        <v>27000</v>
      </c>
      <c r="DR17" s="46">
        <f t="shared" si="13"/>
        <v>20250</v>
      </c>
      <c r="DS17" s="46">
        <f t="shared" si="13"/>
        <v>20250</v>
      </c>
      <c r="DT17" s="46">
        <f t="shared" si="13"/>
        <v>20250</v>
      </c>
      <c r="DU17" s="46">
        <f t="shared" si="13"/>
        <v>20250</v>
      </c>
    </row>
    <row r="18" spans="3:125" s="3" customFormat="1" ht="22.95" customHeight="1">
      <c r="D18" s="24"/>
    </row>
    <row r="19" spans="3:125" s="3" customFormat="1" ht="22.95" customHeight="1">
      <c r="C19" s="3" t="s">
        <v>64</v>
      </c>
      <c r="D19" s="77">
        <f>SUM(E19:DU19)</f>
        <v>-5041666.666666667</v>
      </c>
      <c r="E19" s="21">
        <f>-'Platform Assumptions'!$I$7</f>
        <v>-41666.666666666664</v>
      </c>
      <c r="F19" s="21">
        <f>-'Platform Assumptions'!$I$7</f>
        <v>-41666.666666666664</v>
      </c>
      <c r="G19" s="21">
        <f>-'Platform Assumptions'!$I$7</f>
        <v>-41666.666666666664</v>
      </c>
      <c r="H19" s="21">
        <f>-'Platform Assumptions'!$I$7</f>
        <v>-41666.666666666664</v>
      </c>
      <c r="I19" s="21">
        <f>-'Platform Assumptions'!$I$7</f>
        <v>-41666.666666666664</v>
      </c>
      <c r="J19" s="21">
        <f>-'Platform Assumptions'!$I$7</f>
        <v>-41666.666666666664</v>
      </c>
      <c r="K19" s="21">
        <f>-'Platform Assumptions'!$I$7</f>
        <v>-41666.666666666664</v>
      </c>
      <c r="L19" s="21">
        <f>-'Platform Assumptions'!$I$7</f>
        <v>-41666.666666666664</v>
      </c>
      <c r="M19" s="21">
        <f>-'Platform Assumptions'!$I$7</f>
        <v>-41666.666666666664</v>
      </c>
      <c r="N19" s="21">
        <f>-'Platform Assumptions'!$I$7</f>
        <v>-41666.666666666664</v>
      </c>
      <c r="O19" s="21">
        <f>-'Platform Assumptions'!$I$7</f>
        <v>-41666.666666666664</v>
      </c>
      <c r="P19" s="21">
        <f>-'Platform Assumptions'!$I$7</f>
        <v>-41666.666666666664</v>
      </c>
      <c r="Q19" s="21">
        <f>-'Platform Assumptions'!$I$7</f>
        <v>-41666.666666666664</v>
      </c>
      <c r="R19" s="21">
        <f>-'Platform Assumptions'!$I$7</f>
        <v>-41666.666666666664</v>
      </c>
      <c r="S19" s="21">
        <f>-'Platform Assumptions'!$I$7</f>
        <v>-41666.666666666664</v>
      </c>
      <c r="T19" s="21">
        <f>-'Platform Assumptions'!$I$7</f>
        <v>-41666.666666666664</v>
      </c>
      <c r="U19" s="21">
        <f>-'Platform Assumptions'!$I$7</f>
        <v>-41666.666666666664</v>
      </c>
      <c r="V19" s="21">
        <f>-'Platform Assumptions'!$I$7</f>
        <v>-41666.666666666664</v>
      </c>
      <c r="W19" s="21">
        <f>-'Platform Assumptions'!$I$7</f>
        <v>-41666.666666666664</v>
      </c>
      <c r="X19" s="21">
        <f>-'Platform Assumptions'!$I$7</f>
        <v>-41666.666666666664</v>
      </c>
      <c r="Y19" s="21">
        <f>-'Platform Assumptions'!$I$7</f>
        <v>-41666.666666666664</v>
      </c>
      <c r="Z19" s="21">
        <f>-'Platform Assumptions'!$I$7</f>
        <v>-41666.666666666664</v>
      </c>
      <c r="AA19" s="21">
        <f>-'Platform Assumptions'!$I$7</f>
        <v>-41666.666666666664</v>
      </c>
      <c r="AB19" s="21">
        <f>-'Platform Assumptions'!$I$7</f>
        <v>-41666.666666666664</v>
      </c>
      <c r="AC19" s="21">
        <f>-'Platform Assumptions'!$I$7</f>
        <v>-41666.666666666664</v>
      </c>
      <c r="AD19" s="21">
        <f>-'Platform Assumptions'!$I$7</f>
        <v>-41666.666666666664</v>
      </c>
      <c r="AE19" s="21">
        <f>-'Platform Assumptions'!$I$7</f>
        <v>-41666.666666666664</v>
      </c>
      <c r="AF19" s="21">
        <f>-'Platform Assumptions'!$I$7</f>
        <v>-41666.666666666664</v>
      </c>
      <c r="AG19" s="21">
        <f>-'Platform Assumptions'!$I$7</f>
        <v>-41666.666666666664</v>
      </c>
      <c r="AH19" s="21">
        <f>-'Platform Assumptions'!$I$7</f>
        <v>-41666.666666666664</v>
      </c>
      <c r="AI19" s="21">
        <f>-'Platform Assumptions'!$I$7</f>
        <v>-41666.666666666664</v>
      </c>
      <c r="AJ19" s="21">
        <f>-'Platform Assumptions'!$I$7</f>
        <v>-41666.666666666664</v>
      </c>
      <c r="AK19" s="21">
        <f>-'Platform Assumptions'!$I$7</f>
        <v>-41666.666666666664</v>
      </c>
      <c r="AL19" s="21">
        <f>-'Platform Assumptions'!$I$7</f>
        <v>-41666.666666666664</v>
      </c>
      <c r="AM19" s="21">
        <f>-'Platform Assumptions'!$I$7</f>
        <v>-41666.666666666664</v>
      </c>
      <c r="AN19" s="21">
        <f>-'Platform Assumptions'!$I$7</f>
        <v>-41666.666666666664</v>
      </c>
      <c r="AO19" s="21">
        <f>-'Platform Assumptions'!$I$7</f>
        <v>-41666.666666666664</v>
      </c>
      <c r="AP19" s="21">
        <f>-'Platform Assumptions'!$I$7</f>
        <v>-41666.666666666664</v>
      </c>
      <c r="AQ19" s="21">
        <f>-'Platform Assumptions'!$I$7</f>
        <v>-41666.666666666664</v>
      </c>
      <c r="AR19" s="21">
        <f>-'Platform Assumptions'!$I$7</f>
        <v>-41666.666666666664</v>
      </c>
      <c r="AS19" s="21">
        <f>-'Platform Assumptions'!$I$7</f>
        <v>-41666.666666666664</v>
      </c>
      <c r="AT19" s="21">
        <f>-'Platform Assumptions'!$I$7</f>
        <v>-41666.666666666664</v>
      </c>
      <c r="AU19" s="21">
        <f>-'Platform Assumptions'!$I$7</f>
        <v>-41666.666666666664</v>
      </c>
      <c r="AV19" s="21">
        <f>-'Platform Assumptions'!$I$7</f>
        <v>-41666.666666666664</v>
      </c>
      <c r="AW19" s="21">
        <f>-'Platform Assumptions'!$I$7</f>
        <v>-41666.666666666664</v>
      </c>
      <c r="AX19" s="21">
        <f>-'Platform Assumptions'!$I$7</f>
        <v>-41666.666666666664</v>
      </c>
      <c r="AY19" s="21">
        <f>-'Platform Assumptions'!$I$7</f>
        <v>-41666.666666666664</v>
      </c>
      <c r="AZ19" s="21">
        <f>-'Platform Assumptions'!$I$7</f>
        <v>-41666.666666666664</v>
      </c>
      <c r="BA19" s="21">
        <f>-'Platform Assumptions'!$I$7</f>
        <v>-41666.666666666664</v>
      </c>
      <c r="BB19" s="21">
        <f>-'Platform Assumptions'!$I$7</f>
        <v>-41666.666666666664</v>
      </c>
      <c r="BC19" s="21">
        <f>-'Platform Assumptions'!$I$7</f>
        <v>-41666.666666666664</v>
      </c>
      <c r="BD19" s="21">
        <f>-'Platform Assumptions'!$I$7</f>
        <v>-41666.666666666664</v>
      </c>
      <c r="BE19" s="21">
        <f>-'Platform Assumptions'!$I$7</f>
        <v>-41666.666666666664</v>
      </c>
      <c r="BF19" s="21">
        <f>-'Platform Assumptions'!$I$7</f>
        <v>-41666.666666666664</v>
      </c>
      <c r="BG19" s="21">
        <f>-'Platform Assumptions'!$I$7</f>
        <v>-41666.666666666664</v>
      </c>
      <c r="BH19" s="21">
        <f>-'Platform Assumptions'!$I$7</f>
        <v>-41666.666666666664</v>
      </c>
      <c r="BI19" s="21">
        <f>-'Platform Assumptions'!$I$7</f>
        <v>-41666.666666666664</v>
      </c>
      <c r="BJ19" s="21">
        <f>-'Platform Assumptions'!$I$7</f>
        <v>-41666.666666666664</v>
      </c>
      <c r="BK19" s="21">
        <f>-'Platform Assumptions'!$I$7</f>
        <v>-41666.666666666664</v>
      </c>
      <c r="BL19" s="21">
        <f>-'Platform Assumptions'!$I$7</f>
        <v>-41666.666666666664</v>
      </c>
      <c r="BM19" s="21">
        <f>-'Platform Assumptions'!$I$7</f>
        <v>-41666.666666666664</v>
      </c>
      <c r="BN19" s="21">
        <f>-'Platform Assumptions'!$I$7</f>
        <v>-41666.666666666664</v>
      </c>
      <c r="BO19" s="21">
        <f>-'Platform Assumptions'!$I$7</f>
        <v>-41666.666666666664</v>
      </c>
      <c r="BP19" s="21">
        <f>-'Platform Assumptions'!$I$7</f>
        <v>-41666.666666666664</v>
      </c>
      <c r="BQ19" s="21">
        <f>-'Platform Assumptions'!$I$7</f>
        <v>-41666.666666666664</v>
      </c>
      <c r="BR19" s="21">
        <f>-'Platform Assumptions'!$I$7</f>
        <v>-41666.666666666664</v>
      </c>
      <c r="BS19" s="21">
        <f>-'Platform Assumptions'!$I$7</f>
        <v>-41666.666666666664</v>
      </c>
      <c r="BT19" s="21">
        <f>-'Platform Assumptions'!$I$7</f>
        <v>-41666.666666666664</v>
      </c>
      <c r="BU19" s="21">
        <f>-'Platform Assumptions'!$I$7</f>
        <v>-41666.666666666664</v>
      </c>
      <c r="BV19" s="21">
        <f>-'Platform Assumptions'!$I$7</f>
        <v>-41666.666666666664</v>
      </c>
      <c r="BW19" s="21">
        <f>-'Platform Assumptions'!$I$7</f>
        <v>-41666.666666666664</v>
      </c>
      <c r="BX19" s="21">
        <f>-'Platform Assumptions'!$I$7</f>
        <v>-41666.666666666664</v>
      </c>
      <c r="BY19" s="21">
        <f>-'Platform Assumptions'!$I$7</f>
        <v>-41666.666666666664</v>
      </c>
      <c r="BZ19" s="21">
        <f>-'Platform Assumptions'!$I$7</f>
        <v>-41666.666666666664</v>
      </c>
      <c r="CA19" s="21">
        <f>-'Platform Assumptions'!$I$7</f>
        <v>-41666.666666666664</v>
      </c>
      <c r="CB19" s="21">
        <f>-'Platform Assumptions'!$I$7</f>
        <v>-41666.666666666664</v>
      </c>
      <c r="CC19" s="21">
        <f>-'Platform Assumptions'!$I$7</f>
        <v>-41666.666666666664</v>
      </c>
      <c r="CD19" s="21">
        <f>-'Platform Assumptions'!$I$7</f>
        <v>-41666.666666666664</v>
      </c>
      <c r="CE19" s="21">
        <f>-'Platform Assumptions'!$I$7</f>
        <v>-41666.666666666664</v>
      </c>
      <c r="CF19" s="21">
        <f>-'Platform Assumptions'!$I$7</f>
        <v>-41666.666666666664</v>
      </c>
      <c r="CG19" s="21">
        <f>-'Platform Assumptions'!$I$7</f>
        <v>-41666.666666666664</v>
      </c>
      <c r="CH19" s="21">
        <f>-'Platform Assumptions'!$I$7</f>
        <v>-41666.666666666664</v>
      </c>
      <c r="CI19" s="21">
        <f>-'Platform Assumptions'!$I$7</f>
        <v>-41666.666666666664</v>
      </c>
      <c r="CJ19" s="21">
        <f>-'Platform Assumptions'!$I$7</f>
        <v>-41666.666666666664</v>
      </c>
      <c r="CK19" s="21">
        <f>-'Platform Assumptions'!$I$7</f>
        <v>-41666.666666666664</v>
      </c>
      <c r="CL19" s="21">
        <f>-'Platform Assumptions'!$I$7</f>
        <v>-41666.666666666664</v>
      </c>
      <c r="CM19" s="21">
        <f>-'Platform Assumptions'!$I$7</f>
        <v>-41666.666666666664</v>
      </c>
      <c r="CN19" s="21">
        <f>-'Platform Assumptions'!$I$7</f>
        <v>-41666.666666666664</v>
      </c>
      <c r="CO19" s="21">
        <f>-'Platform Assumptions'!$I$7</f>
        <v>-41666.666666666664</v>
      </c>
      <c r="CP19" s="21">
        <f>-'Platform Assumptions'!$I$7</f>
        <v>-41666.666666666664</v>
      </c>
      <c r="CQ19" s="21">
        <f>-'Platform Assumptions'!$I$7</f>
        <v>-41666.666666666664</v>
      </c>
      <c r="CR19" s="21">
        <f>-'Platform Assumptions'!$I$7</f>
        <v>-41666.666666666664</v>
      </c>
      <c r="CS19" s="21">
        <f>-'Platform Assumptions'!$I$7</f>
        <v>-41666.666666666664</v>
      </c>
      <c r="CT19" s="21">
        <f>-'Platform Assumptions'!$I$7</f>
        <v>-41666.666666666664</v>
      </c>
      <c r="CU19" s="21">
        <f>-'Platform Assumptions'!$I$7</f>
        <v>-41666.666666666664</v>
      </c>
      <c r="CV19" s="21">
        <f>-'Platform Assumptions'!$I$7</f>
        <v>-41666.666666666664</v>
      </c>
      <c r="CW19" s="21">
        <f>-'Platform Assumptions'!$I$7</f>
        <v>-41666.666666666664</v>
      </c>
      <c r="CX19" s="21">
        <f>-'Platform Assumptions'!$I$7</f>
        <v>-41666.666666666664</v>
      </c>
      <c r="CY19" s="21">
        <f>-'Platform Assumptions'!$I$7</f>
        <v>-41666.666666666664</v>
      </c>
      <c r="CZ19" s="21">
        <f>-'Platform Assumptions'!$I$7</f>
        <v>-41666.666666666664</v>
      </c>
      <c r="DA19" s="21">
        <f>-'Platform Assumptions'!$I$7</f>
        <v>-41666.666666666664</v>
      </c>
      <c r="DB19" s="21">
        <f>-'Platform Assumptions'!$I$7</f>
        <v>-41666.666666666664</v>
      </c>
      <c r="DC19" s="21">
        <f>-'Platform Assumptions'!$I$7</f>
        <v>-41666.666666666664</v>
      </c>
      <c r="DD19" s="21">
        <f>-'Platform Assumptions'!$I$7</f>
        <v>-41666.666666666664</v>
      </c>
      <c r="DE19" s="21">
        <f>-'Platform Assumptions'!$I$7</f>
        <v>-41666.666666666664</v>
      </c>
      <c r="DF19" s="21">
        <f>-'Platform Assumptions'!$I$7</f>
        <v>-41666.666666666664</v>
      </c>
      <c r="DG19" s="21">
        <f>-'Platform Assumptions'!$I$7</f>
        <v>-41666.666666666664</v>
      </c>
      <c r="DH19" s="21">
        <f>-'Platform Assumptions'!$I$7</f>
        <v>-41666.666666666664</v>
      </c>
      <c r="DI19" s="21">
        <f>-'Platform Assumptions'!$I$7</f>
        <v>-41666.666666666664</v>
      </c>
      <c r="DJ19" s="21">
        <f>-'Platform Assumptions'!$I$7</f>
        <v>-41666.666666666664</v>
      </c>
      <c r="DK19" s="21">
        <f>-'Platform Assumptions'!$I$7</f>
        <v>-41666.666666666664</v>
      </c>
      <c r="DL19" s="21">
        <f>-'Platform Assumptions'!$I$7</f>
        <v>-41666.666666666664</v>
      </c>
      <c r="DM19" s="21">
        <f>-'Platform Assumptions'!$I$7</f>
        <v>-41666.666666666664</v>
      </c>
      <c r="DN19" s="21">
        <f>-'Platform Assumptions'!$I$7</f>
        <v>-41666.666666666664</v>
      </c>
      <c r="DO19" s="21">
        <f>-'Platform Assumptions'!$I$7</f>
        <v>-41666.666666666664</v>
      </c>
      <c r="DP19" s="21">
        <f>-'Platform Assumptions'!$I$7</f>
        <v>-41666.666666666664</v>
      </c>
      <c r="DQ19" s="21">
        <f>-'Platform Assumptions'!$I$7</f>
        <v>-41666.666666666664</v>
      </c>
      <c r="DR19" s="21">
        <f>-'Platform Assumptions'!$I$7</f>
        <v>-41666.666666666664</v>
      </c>
      <c r="DS19" s="21">
        <f>-'Platform Assumptions'!$I$7</f>
        <v>-41666.666666666664</v>
      </c>
      <c r="DT19" s="21">
        <f>-'Platform Assumptions'!$I$7</f>
        <v>-41666.666666666664</v>
      </c>
      <c r="DU19" s="21">
        <f>-'Platform Assumptions'!$I$7</f>
        <v>-41666.666666666664</v>
      </c>
    </row>
    <row r="20" spans="3:125" s="3" customFormat="1" ht="22.95" customHeight="1">
      <c r="D20" s="24"/>
    </row>
    <row r="21" spans="3:125" s="3" customFormat="1" ht="22.95" customHeight="1">
      <c r="C21" s="26" t="s">
        <v>87</v>
      </c>
      <c r="D21" s="105">
        <f>SUM(E21:DU21)</f>
        <v>12289093.305565374</v>
      </c>
      <c r="E21" s="46">
        <f t="shared" ref="E21:AJ21" si="14">E17+E19</f>
        <v>5000</v>
      </c>
      <c r="F21" s="46">
        <f t="shared" si="14"/>
        <v>-45000</v>
      </c>
      <c r="G21" s="46">
        <f t="shared" si="14"/>
        <v>-45000</v>
      </c>
      <c r="H21" s="46">
        <f t="shared" si="14"/>
        <v>1666.6666666666642</v>
      </c>
      <c r="I21" s="46">
        <f t="shared" si="14"/>
        <v>-48333.333333333328</v>
      </c>
      <c r="J21" s="46">
        <f t="shared" si="14"/>
        <v>-48333.333333333328</v>
      </c>
      <c r="K21" s="46">
        <f t="shared" si="14"/>
        <v>7916.6666666666642</v>
      </c>
      <c r="L21" s="46">
        <f t="shared" si="14"/>
        <v>-42083.333333333328</v>
      </c>
      <c r="M21" s="46">
        <f t="shared" si="14"/>
        <v>-42083.333333333328</v>
      </c>
      <c r="N21" s="46">
        <f t="shared" si="14"/>
        <v>14166.666666666664</v>
      </c>
      <c r="O21" s="46">
        <f t="shared" si="14"/>
        <v>-35833.333333333328</v>
      </c>
      <c r="P21" s="46">
        <f t="shared" si="14"/>
        <v>-35833.333333333328</v>
      </c>
      <c r="Q21" s="46">
        <f t="shared" si="14"/>
        <v>20416.666666666664</v>
      </c>
      <c r="R21" s="46">
        <f t="shared" si="14"/>
        <v>-29583.333333333332</v>
      </c>
      <c r="S21" s="46">
        <f t="shared" si="14"/>
        <v>-29583.333333333332</v>
      </c>
      <c r="T21" s="46">
        <f t="shared" si="14"/>
        <v>26666.666666666664</v>
      </c>
      <c r="U21" s="46">
        <f t="shared" si="14"/>
        <v>-23333.333333333328</v>
      </c>
      <c r="V21" s="46">
        <f t="shared" si="14"/>
        <v>-23333.333333333328</v>
      </c>
      <c r="W21" s="46">
        <f t="shared" si="14"/>
        <v>64166.666666666664</v>
      </c>
      <c r="X21" s="46">
        <f t="shared" si="14"/>
        <v>-23333.333333333328</v>
      </c>
      <c r="Y21" s="46">
        <f t="shared" si="14"/>
        <v>-23333.333333333328</v>
      </c>
      <c r="Z21" s="46">
        <f t="shared" si="14"/>
        <v>26666.666666666664</v>
      </c>
      <c r="AA21" s="46">
        <f t="shared" si="14"/>
        <v>-23333.333333333328</v>
      </c>
      <c r="AB21" s="46">
        <f t="shared" si="14"/>
        <v>-23333.333333333328</v>
      </c>
      <c r="AC21" s="46">
        <f t="shared" si="14"/>
        <v>1414166.6666666667</v>
      </c>
      <c r="AD21" s="46">
        <f t="shared" si="14"/>
        <v>-23333.333333333328</v>
      </c>
      <c r="AE21" s="46">
        <f t="shared" si="14"/>
        <v>-23333.333333333328</v>
      </c>
      <c r="AF21" s="46">
        <f t="shared" si="14"/>
        <v>36518.033854166664</v>
      </c>
      <c r="AG21" s="46">
        <f t="shared" si="14"/>
        <v>-13481.966145833328</v>
      </c>
      <c r="AH21" s="46">
        <f t="shared" si="14"/>
        <v>-13481.966145833328</v>
      </c>
      <c r="AI21" s="46">
        <f t="shared" si="14"/>
        <v>1377351.3671875</v>
      </c>
      <c r="AJ21" s="46">
        <f t="shared" si="14"/>
        <v>-10148.632812499996</v>
      </c>
      <c r="AK21" s="46">
        <f t="shared" ref="AK21:BP21" si="15">AK17+AK19</f>
        <v>-10148.632812499996</v>
      </c>
      <c r="AL21" s="46">
        <f t="shared" si="15"/>
        <v>3036.0677083333358</v>
      </c>
      <c r="AM21" s="46">
        <f t="shared" si="15"/>
        <v>3036.0677083333358</v>
      </c>
      <c r="AN21" s="46">
        <f t="shared" si="15"/>
        <v>3036.0677083333358</v>
      </c>
      <c r="AO21" s="46">
        <f t="shared" si="15"/>
        <v>1384286.0677083333</v>
      </c>
      <c r="AP21" s="46">
        <f t="shared" si="15"/>
        <v>-3213.9322916666642</v>
      </c>
      <c r="AQ21" s="46">
        <f t="shared" si="15"/>
        <v>-3213.9322916666642</v>
      </c>
      <c r="AR21" s="46">
        <f t="shared" si="15"/>
        <v>387.43489583333576</v>
      </c>
      <c r="AS21" s="46">
        <f t="shared" si="15"/>
        <v>387.43489583333576</v>
      </c>
      <c r="AT21" s="46">
        <f t="shared" si="15"/>
        <v>387.43489583333576</v>
      </c>
      <c r="AU21" s="46">
        <f t="shared" si="15"/>
        <v>1381637.4348958333</v>
      </c>
      <c r="AV21" s="46">
        <f t="shared" si="15"/>
        <v>-5862.5651041666642</v>
      </c>
      <c r="AW21" s="46">
        <f t="shared" si="15"/>
        <v>-5862.5651041666642</v>
      </c>
      <c r="AX21" s="46">
        <f t="shared" si="15"/>
        <v>8923.1285995533617</v>
      </c>
      <c r="AY21" s="46">
        <f t="shared" si="15"/>
        <v>8923.1285995533617</v>
      </c>
      <c r="AZ21" s="46">
        <f t="shared" si="15"/>
        <v>8923.1285995533617</v>
      </c>
      <c r="BA21" s="46">
        <f t="shared" si="15"/>
        <v>1358923.1285995534</v>
      </c>
      <c r="BB21" s="46">
        <f t="shared" si="15"/>
        <v>8923.1285995533617</v>
      </c>
      <c r="BC21" s="46">
        <f t="shared" si="15"/>
        <v>8923.1285995533617</v>
      </c>
      <c r="BD21" s="46">
        <f t="shared" si="15"/>
        <v>456752.4069258346</v>
      </c>
      <c r="BE21" s="46">
        <f t="shared" si="15"/>
        <v>77735.305374353542</v>
      </c>
      <c r="BF21" s="46">
        <f t="shared" si="15"/>
        <v>78985.305374353542</v>
      </c>
      <c r="BG21" s="46">
        <f t="shared" si="15"/>
        <v>80235.305374353542</v>
      </c>
      <c r="BH21" s="46">
        <f t="shared" si="15"/>
        <v>81485.305374353542</v>
      </c>
      <c r="BI21" s="46">
        <f t="shared" si="15"/>
        <v>82735.305374353542</v>
      </c>
      <c r="BJ21" s="46">
        <f t="shared" si="15"/>
        <v>521963.21651313471</v>
      </c>
      <c r="BK21" s="46">
        <f t="shared" si="15"/>
        <v>144196.11496165374</v>
      </c>
      <c r="BL21" s="46">
        <f t="shared" si="15"/>
        <v>146696.11496165374</v>
      </c>
      <c r="BM21" s="46">
        <f t="shared" si="15"/>
        <v>149196.11496165374</v>
      </c>
      <c r="BN21" s="46">
        <f t="shared" si="15"/>
        <v>151696.11496165374</v>
      </c>
      <c r="BO21" s="46">
        <f t="shared" si="15"/>
        <v>154196.11496165374</v>
      </c>
      <c r="BP21" s="46">
        <f t="shared" si="15"/>
        <v>518861.84932563471</v>
      </c>
      <c r="BQ21" s="46">
        <f t="shared" ref="BQ21:CV21" si="16">BQ17+BQ19</f>
        <v>141094.74777415374</v>
      </c>
      <c r="BR21" s="46">
        <f t="shared" si="16"/>
        <v>143594.74777415374</v>
      </c>
      <c r="BS21" s="46">
        <f t="shared" si="16"/>
        <v>146094.74777415374</v>
      </c>
      <c r="BT21" s="46">
        <f t="shared" si="16"/>
        <v>148594.74777415374</v>
      </c>
      <c r="BU21" s="46">
        <f t="shared" si="16"/>
        <v>151094.74777415374</v>
      </c>
      <c r="BV21" s="46">
        <f t="shared" si="16"/>
        <v>515760.48213813471</v>
      </c>
      <c r="BW21" s="46">
        <f t="shared" si="16"/>
        <v>137993.38058665374</v>
      </c>
      <c r="BX21" s="46">
        <f t="shared" si="16"/>
        <v>140493.38058665374</v>
      </c>
      <c r="BY21" s="46">
        <f t="shared" si="16"/>
        <v>142993.38058665374</v>
      </c>
      <c r="BZ21" s="46">
        <f t="shared" si="16"/>
        <v>145493.38058665374</v>
      </c>
      <c r="CA21" s="46">
        <f t="shared" si="16"/>
        <v>147993.38058665374</v>
      </c>
      <c r="CB21" s="46">
        <f t="shared" si="16"/>
        <v>501474.78843441472</v>
      </c>
      <c r="CC21" s="46">
        <f t="shared" si="16"/>
        <v>123707.68688293372</v>
      </c>
      <c r="CD21" s="46">
        <f t="shared" si="16"/>
        <v>126207.68688293372</v>
      </c>
      <c r="CE21" s="46">
        <f t="shared" si="16"/>
        <v>128707.68688293372</v>
      </c>
      <c r="CF21" s="46">
        <f t="shared" si="16"/>
        <v>131207.68688293372</v>
      </c>
      <c r="CG21" s="46">
        <f t="shared" si="16"/>
        <v>133707.68688293372</v>
      </c>
      <c r="CH21" s="46">
        <f t="shared" si="16"/>
        <v>60395.510108133523</v>
      </c>
      <c r="CI21" s="46">
        <f t="shared" si="16"/>
        <v>61645.510108133523</v>
      </c>
      <c r="CJ21" s="46">
        <f t="shared" si="16"/>
        <v>62895.510108133523</v>
      </c>
      <c r="CK21" s="46">
        <f t="shared" si="16"/>
        <v>64145.510108133523</v>
      </c>
      <c r="CL21" s="46">
        <f t="shared" si="16"/>
        <v>65395.510108133523</v>
      </c>
      <c r="CM21" s="46">
        <f t="shared" si="16"/>
        <v>66645.510108133516</v>
      </c>
      <c r="CN21" s="46">
        <f t="shared" si="16"/>
        <v>-7916.6666666666642</v>
      </c>
      <c r="CO21" s="46">
        <f t="shared" si="16"/>
        <v>-7916.6666666666642</v>
      </c>
      <c r="CP21" s="46">
        <f t="shared" si="16"/>
        <v>-7916.6666666666642</v>
      </c>
      <c r="CQ21" s="46">
        <f t="shared" si="16"/>
        <v>-7916.6666666666642</v>
      </c>
      <c r="CR21" s="46">
        <f t="shared" si="16"/>
        <v>-7916.6666666666642</v>
      </c>
      <c r="CS21" s="46">
        <f t="shared" si="16"/>
        <v>-7916.6666666666642</v>
      </c>
      <c r="CT21" s="46">
        <f t="shared" si="16"/>
        <v>-7916.6666666666642</v>
      </c>
      <c r="CU21" s="46">
        <f t="shared" si="16"/>
        <v>-7916.6666666666642</v>
      </c>
      <c r="CV21" s="46">
        <f t="shared" si="16"/>
        <v>-7916.6666666666642</v>
      </c>
      <c r="CW21" s="46">
        <f t="shared" ref="CW21:DU21" si="17">CW17+CW19</f>
        <v>-7916.6666666666642</v>
      </c>
      <c r="CX21" s="46">
        <f t="shared" si="17"/>
        <v>-7916.6666666666642</v>
      </c>
      <c r="CY21" s="46">
        <f t="shared" si="17"/>
        <v>-7916.6666666666642</v>
      </c>
      <c r="CZ21" s="46">
        <f t="shared" si="17"/>
        <v>-7916.6666666666642</v>
      </c>
      <c r="DA21" s="46">
        <f t="shared" si="17"/>
        <v>-7916.6666666666642</v>
      </c>
      <c r="DB21" s="46">
        <f t="shared" si="17"/>
        <v>-7916.6666666666642</v>
      </c>
      <c r="DC21" s="46">
        <f t="shared" si="17"/>
        <v>-7916.6666666666642</v>
      </c>
      <c r="DD21" s="46">
        <f t="shared" si="17"/>
        <v>-7916.6666666666642</v>
      </c>
      <c r="DE21" s="46">
        <f t="shared" si="17"/>
        <v>-7916.6666666666642</v>
      </c>
      <c r="DF21" s="46">
        <f t="shared" si="17"/>
        <v>-7916.6666666666642</v>
      </c>
      <c r="DG21" s="46">
        <f t="shared" si="17"/>
        <v>-7916.6666666666642</v>
      </c>
      <c r="DH21" s="46">
        <f t="shared" si="17"/>
        <v>-7916.6666666666642</v>
      </c>
      <c r="DI21" s="46">
        <f t="shared" si="17"/>
        <v>-7916.6666666666642</v>
      </c>
      <c r="DJ21" s="46">
        <f t="shared" si="17"/>
        <v>-7916.6666666666642</v>
      </c>
      <c r="DK21" s="46">
        <f t="shared" si="17"/>
        <v>-7916.6666666666642</v>
      </c>
      <c r="DL21" s="46">
        <f t="shared" si="17"/>
        <v>-14666.666666666664</v>
      </c>
      <c r="DM21" s="46">
        <f t="shared" si="17"/>
        <v>-14666.666666666664</v>
      </c>
      <c r="DN21" s="46">
        <f t="shared" si="17"/>
        <v>-14666.666666666664</v>
      </c>
      <c r="DO21" s="46">
        <f t="shared" si="17"/>
        <v>-14666.666666666664</v>
      </c>
      <c r="DP21" s="46">
        <f t="shared" si="17"/>
        <v>-14666.666666666664</v>
      </c>
      <c r="DQ21" s="46">
        <f t="shared" si="17"/>
        <v>-14666.666666666664</v>
      </c>
      <c r="DR21" s="46">
        <f t="shared" si="17"/>
        <v>-21416.666666666664</v>
      </c>
      <c r="DS21" s="46">
        <f t="shared" si="17"/>
        <v>-21416.666666666664</v>
      </c>
      <c r="DT21" s="46">
        <f t="shared" si="17"/>
        <v>-21416.666666666664</v>
      </c>
      <c r="DU21" s="46">
        <f t="shared" si="17"/>
        <v>-21416.666666666664</v>
      </c>
    </row>
    <row r="22" spans="3:125" s="3" customFormat="1" ht="22.95" customHeight="1"/>
    <row r="23" spans="3:125" s="3" customFormat="1" ht="22.95" customHeight="1">
      <c r="E23" s="184">
        <f>+E21</f>
        <v>5000</v>
      </c>
      <c r="F23" s="184">
        <f t="shared" ref="F23:AK23" si="18">+F21+E23</f>
        <v>-40000</v>
      </c>
      <c r="G23" s="184">
        <f t="shared" si="18"/>
        <v>-85000</v>
      </c>
      <c r="H23" s="184">
        <f t="shared" si="18"/>
        <v>-83333.333333333343</v>
      </c>
      <c r="I23" s="184">
        <f t="shared" si="18"/>
        <v>-131666.66666666669</v>
      </c>
      <c r="J23" s="184">
        <f t="shared" si="18"/>
        <v>-180000</v>
      </c>
      <c r="K23" s="184">
        <f t="shared" si="18"/>
        <v>-172083.33333333334</v>
      </c>
      <c r="L23" s="184">
        <f t="shared" si="18"/>
        <v>-214166.66666666669</v>
      </c>
      <c r="M23" s="184">
        <f t="shared" si="18"/>
        <v>-256250</v>
      </c>
      <c r="N23" s="184">
        <f t="shared" si="18"/>
        <v>-242083.33333333334</v>
      </c>
      <c r="O23" s="184">
        <f t="shared" si="18"/>
        <v>-277916.66666666669</v>
      </c>
      <c r="P23" s="184">
        <f t="shared" si="18"/>
        <v>-313750</v>
      </c>
      <c r="Q23" s="184">
        <f t="shared" si="18"/>
        <v>-293333.33333333331</v>
      </c>
      <c r="R23" s="184">
        <f t="shared" si="18"/>
        <v>-322916.66666666663</v>
      </c>
      <c r="S23" s="184">
        <f t="shared" si="18"/>
        <v>-352499.99999999994</v>
      </c>
      <c r="T23" s="184">
        <f t="shared" si="18"/>
        <v>-325833.33333333326</v>
      </c>
      <c r="U23" s="184">
        <f t="shared" si="18"/>
        <v>-349166.66666666657</v>
      </c>
      <c r="V23" s="184">
        <f t="shared" si="18"/>
        <v>-372499.99999999988</v>
      </c>
      <c r="W23" s="184">
        <f t="shared" si="18"/>
        <v>-308333.3333333332</v>
      </c>
      <c r="X23" s="184">
        <f t="shared" si="18"/>
        <v>-331666.66666666651</v>
      </c>
      <c r="Y23" s="184">
        <f t="shared" si="18"/>
        <v>-354999.99999999983</v>
      </c>
      <c r="Z23" s="184">
        <f t="shared" si="18"/>
        <v>-328333.33333333314</v>
      </c>
      <c r="AA23" s="184">
        <f t="shared" si="18"/>
        <v>-351666.66666666645</v>
      </c>
      <c r="AB23" s="184">
        <f t="shared" si="18"/>
        <v>-374999.99999999977</v>
      </c>
      <c r="AC23" s="184">
        <f t="shared" si="18"/>
        <v>1039166.666666667</v>
      </c>
      <c r="AD23" s="184">
        <f t="shared" si="18"/>
        <v>1015833.3333333336</v>
      </c>
      <c r="AE23" s="184">
        <f t="shared" si="18"/>
        <v>992500.00000000023</v>
      </c>
      <c r="AF23" s="184">
        <f t="shared" si="18"/>
        <v>1029018.0338541669</v>
      </c>
      <c r="AG23" s="184">
        <f t="shared" si="18"/>
        <v>1015536.0677083335</v>
      </c>
      <c r="AH23" s="184">
        <f t="shared" si="18"/>
        <v>1002054.1015625001</v>
      </c>
      <c r="AI23" s="184">
        <f t="shared" si="18"/>
        <v>2379405.46875</v>
      </c>
      <c r="AJ23" s="184">
        <f t="shared" si="18"/>
        <v>2369256.8359375</v>
      </c>
      <c r="AK23" s="184">
        <f t="shared" si="18"/>
        <v>2359108.203125</v>
      </c>
      <c r="AL23" s="184">
        <f t="shared" ref="AL23:BQ23" si="19">+AL21+AK23</f>
        <v>2362144.2708333335</v>
      </c>
      <c r="AM23" s="184">
        <f t="shared" si="19"/>
        <v>2365180.338541667</v>
      </c>
      <c r="AN23" s="184">
        <f t="shared" si="19"/>
        <v>2368216.4062500005</v>
      </c>
      <c r="AO23" s="184">
        <f t="shared" si="19"/>
        <v>3752502.473958334</v>
      </c>
      <c r="AP23" s="184">
        <f t="shared" si="19"/>
        <v>3749288.5416666674</v>
      </c>
      <c r="AQ23" s="184">
        <f t="shared" si="19"/>
        <v>3746074.6093750009</v>
      </c>
      <c r="AR23" s="184">
        <f t="shared" si="19"/>
        <v>3746462.0442708344</v>
      </c>
      <c r="AS23" s="184">
        <f t="shared" si="19"/>
        <v>3746849.4791666679</v>
      </c>
      <c r="AT23" s="184">
        <f t="shared" si="19"/>
        <v>3747236.9140625014</v>
      </c>
      <c r="AU23" s="184">
        <f t="shared" si="19"/>
        <v>5128874.3489583349</v>
      </c>
      <c r="AV23" s="184">
        <f t="shared" si="19"/>
        <v>5123011.7838541679</v>
      </c>
      <c r="AW23" s="184">
        <f t="shared" si="19"/>
        <v>5117149.2187500009</v>
      </c>
      <c r="AX23" s="184">
        <f t="shared" si="19"/>
        <v>5126072.3473495543</v>
      </c>
      <c r="AY23" s="184">
        <f t="shared" si="19"/>
        <v>5134995.4759491077</v>
      </c>
      <c r="AZ23" s="184">
        <f t="shared" si="19"/>
        <v>5143918.604548661</v>
      </c>
      <c r="BA23" s="184">
        <f t="shared" si="19"/>
        <v>6502841.7331482144</v>
      </c>
      <c r="BB23" s="184">
        <f t="shared" si="19"/>
        <v>6511764.8617477678</v>
      </c>
      <c r="BC23" s="184">
        <f t="shared" si="19"/>
        <v>6520687.9903473211</v>
      </c>
      <c r="BD23" s="184">
        <f t="shared" si="19"/>
        <v>6977440.3972731559</v>
      </c>
      <c r="BE23" s="184">
        <f t="shared" si="19"/>
        <v>7055175.7026475091</v>
      </c>
      <c r="BF23" s="184">
        <f t="shared" si="19"/>
        <v>7134161.0080218622</v>
      </c>
      <c r="BG23" s="184">
        <f t="shared" si="19"/>
        <v>7214396.3133962154</v>
      </c>
      <c r="BH23" s="184">
        <f t="shared" si="19"/>
        <v>7295881.6187705686</v>
      </c>
      <c r="BI23" s="184">
        <f t="shared" si="19"/>
        <v>7378616.9241449218</v>
      </c>
      <c r="BJ23" s="184">
        <f t="shared" si="19"/>
        <v>7900580.1406580564</v>
      </c>
      <c r="BK23" s="184">
        <f t="shared" si="19"/>
        <v>8044776.2556197103</v>
      </c>
      <c r="BL23" s="184">
        <f t="shared" si="19"/>
        <v>8191472.3705813643</v>
      </c>
      <c r="BM23" s="184">
        <f t="shared" si="19"/>
        <v>8340668.4855430182</v>
      </c>
      <c r="BN23" s="184">
        <f t="shared" si="19"/>
        <v>8492364.6005046722</v>
      </c>
      <c r="BO23" s="184">
        <f t="shared" si="19"/>
        <v>8646560.7154663261</v>
      </c>
      <c r="BP23" s="184">
        <f t="shared" si="19"/>
        <v>9165422.5647919606</v>
      </c>
      <c r="BQ23" s="184">
        <f t="shared" si="19"/>
        <v>9306517.3125661146</v>
      </c>
      <c r="BR23" s="184">
        <f t="shared" ref="BR23:CW23" si="20">+BR21+BQ23</f>
        <v>9450112.0603402685</v>
      </c>
      <c r="BS23" s="184">
        <f t="shared" si="20"/>
        <v>9596206.8081144225</v>
      </c>
      <c r="BT23" s="184">
        <f t="shared" si="20"/>
        <v>9744801.5558885764</v>
      </c>
      <c r="BU23" s="184">
        <f t="shared" si="20"/>
        <v>9895896.3036627304</v>
      </c>
      <c r="BV23" s="184">
        <f t="shared" si="20"/>
        <v>10411656.785800865</v>
      </c>
      <c r="BW23" s="184">
        <f t="shared" si="20"/>
        <v>10549650.166387519</v>
      </c>
      <c r="BX23" s="184">
        <f t="shared" si="20"/>
        <v>10690143.546974173</v>
      </c>
      <c r="BY23" s="184">
        <f t="shared" si="20"/>
        <v>10833136.927560827</v>
      </c>
      <c r="BZ23" s="184">
        <f t="shared" si="20"/>
        <v>10978630.308147481</v>
      </c>
      <c r="CA23" s="184">
        <f t="shared" si="20"/>
        <v>11126623.688734135</v>
      </c>
      <c r="CB23" s="184">
        <f t="shared" si="20"/>
        <v>11628098.477168549</v>
      </c>
      <c r="CC23" s="184">
        <f t="shared" si="20"/>
        <v>11751806.164051482</v>
      </c>
      <c r="CD23" s="184">
        <f t="shared" si="20"/>
        <v>11878013.850934416</v>
      </c>
      <c r="CE23" s="184">
        <f t="shared" si="20"/>
        <v>12006721.53781735</v>
      </c>
      <c r="CF23" s="184">
        <f t="shared" si="20"/>
        <v>12137929.224700283</v>
      </c>
      <c r="CG23" s="184">
        <f t="shared" si="20"/>
        <v>12271636.911583217</v>
      </c>
      <c r="CH23" s="184">
        <f t="shared" si="20"/>
        <v>12332032.421691351</v>
      </c>
      <c r="CI23" s="184">
        <f t="shared" si="20"/>
        <v>12393677.931799484</v>
      </c>
      <c r="CJ23" s="184">
        <f t="shared" si="20"/>
        <v>12456573.441907618</v>
      </c>
      <c r="CK23" s="184">
        <f t="shared" si="20"/>
        <v>12520718.952015752</v>
      </c>
      <c r="CL23" s="184">
        <f t="shared" si="20"/>
        <v>12586114.462123886</v>
      </c>
      <c r="CM23" s="184">
        <f t="shared" si="20"/>
        <v>12652759.97223202</v>
      </c>
      <c r="CN23" s="184">
        <f t="shared" si="20"/>
        <v>12644843.305565353</v>
      </c>
      <c r="CO23" s="184">
        <f t="shared" si="20"/>
        <v>12636926.638898687</v>
      </c>
      <c r="CP23" s="184">
        <f t="shared" si="20"/>
        <v>12629009.972232021</v>
      </c>
      <c r="CQ23" s="184">
        <f t="shared" si="20"/>
        <v>12621093.305565355</v>
      </c>
      <c r="CR23" s="184">
        <f t="shared" si="20"/>
        <v>12613176.638898689</v>
      </c>
      <c r="CS23" s="184">
        <f t="shared" si="20"/>
        <v>12605259.972232023</v>
      </c>
      <c r="CT23" s="184">
        <f t="shared" si="20"/>
        <v>12597343.305565357</v>
      </c>
      <c r="CU23" s="184">
        <f t="shared" si="20"/>
        <v>12589426.638898691</v>
      </c>
      <c r="CV23" s="184">
        <f t="shared" si="20"/>
        <v>12581509.972232025</v>
      </c>
      <c r="CW23" s="184">
        <f t="shared" si="20"/>
        <v>12573593.305565359</v>
      </c>
      <c r="CX23" s="184">
        <f t="shared" ref="CX23:DU23" si="21">+CX21+CW23</f>
        <v>12565676.638898693</v>
      </c>
      <c r="CY23" s="184">
        <f t="shared" si="21"/>
        <v>12557759.972232027</v>
      </c>
      <c r="CZ23" s="184">
        <f t="shared" si="21"/>
        <v>12549843.305565361</v>
      </c>
      <c r="DA23" s="184">
        <f t="shared" si="21"/>
        <v>12541926.638898695</v>
      </c>
      <c r="DB23" s="184">
        <f t="shared" si="21"/>
        <v>12534009.972232029</v>
      </c>
      <c r="DC23" s="184">
        <f t="shared" si="21"/>
        <v>12526093.305565363</v>
      </c>
      <c r="DD23" s="184">
        <f t="shared" si="21"/>
        <v>12518176.638898697</v>
      </c>
      <c r="DE23" s="184">
        <f t="shared" si="21"/>
        <v>12510259.972232031</v>
      </c>
      <c r="DF23" s="184">
        <f t="shared" si="21"/>
        <v>12502343.305565365</v>
      </c>
      <c r="DG23" s="184">
        <f t="shared" si="21"/>
        <v>12494426.638898699</v>
      </c>
      <c r="DH23" s="184">
        <f t="shared" si="21"/>
        <v>12486509.972232033</v>
      </c>
      <c r="DI23" s="184">
        <f t="shared" si="21"/>
        <v>12478593.305565367</v>
      </c>
      <c r="DJ23" s="184">
        <f t="shared" si="21"/>
        <v>12470676.6388987</v>
      </c>
      <c r="DK23" s="184">
        <f t="shared" si="21"/>
        <v>12462759.972232034</v>
      </c>
      <c r="DL23" s="184">
        <f t="shared" si="21"/>
        <v>12448093.305565368</v>
      </c>
      <c r="DM23" s="184">
        <f t="shared" si="21"/>
        <v>12433426.638898702</v>
      </c>
      <c r="DN23" s="184">
        <f t="shared" si="21"/>
        <v>12418759.972232036</v>
      </c>
      <c r="DO23" s="184">
        <f t="shared" si="21"/>
        <v>12404093.30556537</v>
      </c>
      <c r="DP23" s="184">
        <f t="shared" si="21"/>
        <v>12389426.638898704</v>
      </c>
      <c r="DQ23" s="184">
        <f t="shared" si="21"/>
        <v>12374759.972232038</v>
      </c>
      <c r="DR23" s="184">
        <f t="shared" si="21"/>
        <v>12353343.305565372</v>
      </c>
      <c r="DS23" s="184">
        <f t="shared" si="21"/>
        <v>12331926.638898706</v>
      </c>
      <c r="DT23" s="184">
        <f t="shared" si="21"/>
        <v>12310509.97223204</v>
      </c>
      <c r="DU23" s="184">
        <f t="shared" si="21"/>
        <v>12289093.305565374</v>
      </c>
    </row>
    <row r="24" spans="3:125" s="3" customFormat="1" ht="22.95" customHeight="1"/>
    <row r="25" spans="3:125" s="3" customFormat="1" ht="22.95" customHeight="1"/>
    <row r="26" spans="3:125" s="3" customFormat="1" ht="22.95" customHeight="1"/>
    <row r="27" spans="3:125" s="3" customFormat="1" ht="22.95" customHeight="1"/>
    <row r="28" spans="3:125" s="3" customFormat="1" ht="22.95" customHeight="1"/>
    <row r="29" spans="3:125" s="3" customFormat="1" ht="22.95" customHeight="1"/>
    <row r="30" spans="3:125" s="3" customFormat="1" ht="22.95" customHeight="1"/>
    <row r="31" spans="3:125" s="3" customFormat="1" ht="22.95" customHeight="1"/>
    <row r="32" spans="3:125" s="3" customFormat="1" ht="22.95" customHeight="1"/>
    <row r="33" s="3" customFormat="1" ht="22.95" customHeight="1"/>
    <row r="34" s="3" customFormat="1" ht="22.95" customHeight="1"/>
    <row r="35" s="3" customFormat="1" ht="22.95" customHeight="1"/>
    <row r="36" s="3" customFormat="1" ht="22.95" customHeight="1"/>
    <row r="37" s="3" customFormat="1" ht="22.95" customHeight="1"/>
    <row r="38" s="3" customFormat="1" ht="22.95" customHeight="1"/>
    <row r="39" s="3" customFormat="1" ht="22.95" customHeight="1"/>
    <row r="40" s="3" customFormat="1" ht="22.95" customHeight="1"/>
    <row r="41" s="3" customFormat="1" ht="22.95" customHeight="1"/>
    <row r="42" s="3" customFormat="1" ht="22.95" customHeight="1"/>
    <row r="43" s="3" customFormat="1" ht="22.95" customHeight="1"/>
    <row r="44" s="3" customFormat="1" ht="22.95" customHeight="1"/>
    <row r="45" s="3" customFormat="1" ht="22.95" customHeight="1"/>
    <row r="46" s="3" customFormat="1" ht="22.95" customHeight="1"/>
    <row r="47" s="3" customFormat="1" ht="22.95" customHeight="1"/>
    <row r="48" s="3" customFormat="1" ht="22.95" customHeight="1"/>
    <row r="49" s="3" customFormat="1" ht="22.95" customHeight="1"/>
    <row r="50" s="3" customFormat="1" ht="22.95" customHeight="1"/>
    <row r="51" s="3" customFormat="1" ht="22.95" customHeight="1"/>
    <row r="52" s="3" customFormat="1" ht="22.95" customHeight="1"/>
    <row r="53" s="3" customFormat="1" ht="22.95" customHeight="1"/>
    <row r="54" s="3" customFormat="1" ht="22.95" customHeight="1"/>
    <row r="55" s="3" customFormat="1" ht="22.95" customHeight="1"/>
    <row r="56" s="3" customFormat="1" ht="22.9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sheetPr>
  <dimension ref="M4:X44"/>
  <sheetViews>
    <sheetView topLeftCell="A4" workbookViewId="0"/>
  </sheetViews>
  <sheetFormatPr baseColWidth="10" defaultColWidth="10.796875" defaultRowHeight="15.6"/>
  <cols>
    <col min="1" max="4" width="10.796875" style="98" customWidth="1"/>
    <col min="5" max="16384" width="10.796875" style="98"/>
  </cols>
  <sheetData>
    <row r="4" spans="13:24">
      <c r="M4" s="99" t="s">
        <v>57</v>
      </c>
      <c r="N4" s="100"/>
      <c r="O4" s="100"/>
      <c r="P4" s="100"/>
      <c r="Q4" s="100"/>
      <c r="R4" s="100"/>
      <c r="S4" s="100"/>
      <c r="T4" s="100"/>
      <c r="U4" s="100"/>
      <c r="V4" s="100"/>
      <c r="W4" s="100"/>
      <c r="X4" s="100"/>
    </row>
    <row r="5" spans="13:24" ht="16.05" customHeight="1">
      <c r="M5" s="236" t="s">
        <v>88</v>
      </c>
      <c r="N5" s="237"/>
      <c r="O5" s="237"/>
      <c r="P5" s="237"/>
      <c r="Q5" s="237"/>
      <c r="R5" s="237"/>
      <c r="S5" s="237"/>
      <c r="T5" s="237"/>
      <c r="U5" s="237"/>
      <c r="V5" s="237"/>
      <c r="W5" s="237"/>
    </row>
    <row r="6" spans="13:24">
      <c r="M6" s="237"/>
      <c r="N6" s="237"/>
      <c r="O6" s="237"/>
      <c r="P6" s="237"/>
      <c r="Q6" s="237"/>
      <c r="R6" s="237"/>
      <c r="S6" s="237"/>
      <c r="T6" s="237"/>
      <c r="U6" s="237"/>
      <c r="V6" s="237"/>
      <c r="W6" s="237"/>
    </row>
    <row r="7" spans="13:24">
      <c r="M7" s="237"/>
      <c r="N7" s="237"/>
      <c r="O7" s="237"/>
      <c r="P7" s="237"/>
      <c r="Q7" s="237"/>
      <c r="R7" s="237"/>
      <c r="S7" s="237"/>
      <c r="T7" s="237"/>
      <c r="U7" s="237"/>
      <c r="V7" s="237"/>
      <c r="W7" s="237"/>
    </row>
    <row r="8" spans="13:24" ht="16.05" customHeight="1">
      <c r="N8" s="101"/>
      <c r="O8" s="101"/>
      <c r="P8" s="101"/>
      <c r="Q8" s="101"/>
      <c r="R8" s="101"/>
      <c r="S8" s="101"/>
      <c r="T8" s="101"/>
    </row>
    <row r="9" spans="13:24" ht="16.95" customHeight="1">
      <c r="M9" s="238" t="s">
        <v>89</v>
      </c>
      <c r="N9" s="237"/>
      <c r="O9" s="237"/>
      <c r="P9" s="237"/>
      <c r="Q9" s="237"/>
      <c r="R9" s="237"/>
      <c r="S9" s="237"/>
      <c r="T9" s="237"/>
      <c r="U9" s="237"/>
      <c r="V9" s="237"/>
      <c r="W9" s="237"/>
    </row>
    <row r="10" spans="13:24">
      <c r="M10" s="237"/>
      <c r="N10" s="237"/>
      <c r="O10" s="237"/>
      <c r="P10" s="237"/>
      <c r="Q10" s="237"/>
      <c r="R10" s="237"/>
      <c r="S10" s="237"/>
      <c r="T10" s="237"/>
      <c r="U10" s="237"/>
      <c r="V10" s="237"/>
      <c r="W10" s="237"/>
    </row>
    <row r="11" spans="13:24">
      <c r="M11" s="237"/>
      <c r="N11" s="237"/>
      <c r="O11" s="237"/>
      <c r="P11" s="237"/>
      <c r="Q11" s="237"/>
      <c r="R11" s="237"/>
      <c r="S11" s="237"/>
      <c r="T11" s="237"/>
      <c r="U11" s="237"/>
      <c r="V11" s="237"/>
      <c r="W11" s="237"/>
    </row>
    <row r="12" spans="13:24">
      <c r="M12" s="101"/>
      <c r="N12" s="101"/>
      <c r="O12" s="101"/>
      <c r="P12" s="101"/>
      <c r="Q12" s="101"/>
      <c r="R12" s="101"/>
      <c r="S12" s="101"/>
      <c r="T12" s="101"/>
    </row>
    <row r="13" spans="13:24" ht="16.05" customHeight="1">
      <c r="M13" s="238" t="s">
        <v>90</v>
      </c>
      <c r="N13" s="237"/>
      <c r="O13" s="237"/>
      <c r="P13" s="237"/>
      <c r="Q13" s="237"/>
      <c r="R13" s="237"/>
      <c r="S13" s="237"/>
      <c r="T13" s="237"/>
      <c r="U13" s="237"/>
      <c r="V13" s="237"/>
      <c r="W13" s="237"/>
    </row>
    <row r="14" spans="13:24">
      <c r="M14" s="237"/>
      <c r="N14" s="237"/>
      <c r="O14" s="237"/>
      <c r="P14" s="237"/>
      <c r="Q14" s="237"/>
      <c r="R14" s="237"/>
      <c r="S14" s="237"/>
      <c r="T14" s="237"/>
      <c r="U14" s="237"/>
      <c r="V14" s="237"/>
      <c r="W14" s="237"/>
    </row>
    <row r="15" spans="13:24">
      <c r="M15" s="237"/>
      <c r="N15" s="237"/>
      <c r="O15" s="237"/>
      <c r="P15" s="237"/>
      <c r="Q15" s="237"/>
      <c r="R15" s="237"/>
      <c r="S15" s="237"/>
      <c r="T15" s="237"/>
      <c r="U15" s="237"/>
      <c r="V15" s="237"/>
      <c r="W15" s="237"/>
    </row>
    <row r="17" spans="13:23" ht="16.05" customHeight="1">
      <c r="M17" s="238" t="s">
        <v>91</v>
      </c>
      <c r="N17" s="237"/>
      <c r="O17" s="237"/>
      <c r="P17" s="237"/>
      <c r="Q17" s="237"/>
      <c r="R17" s="237"/>
      <c r="S17" s="237"/>
      <c r="T17" s="237"/>
      <c r="U17" s="237"/>
      <c r="V17" s="237"/>
      <c r="W17" s="237"/>
    </row>
    <row r="18" spans="13:23">
      <c r="M18" s="237"/>
      <c r="N18" s="237"/>
      <c r="O18" s="237"/>
      <c r="P18" s="237"/>
      <c r="Q18" s="237"/>
      <c r="R18" s="237"/>
      <c r="S18" s="237"/>
      <c r="T18" s="237"/>
      <c r="U18" s="237"/>
      <c r="V18" s="237"/>
      <c r="W18" s="237"/>
    </row>
    <row r="19" spans="13:23">
      <c r="M19" s="237"/>
      <c r="N19" s="237"/>
      <c r="O19" s="237"/>
      <c r="P19" s="237"/>
      <c r="Q19" s="237"/>
      <c r="R19" s="237"/>
      <c r="S19" s="237"/>
      <c r="T19" s="237"/>
      <c r="U19" s="237"/>
      <c r="V19" s="237"/>
      <c r="W19" s="237"/>
    </row>
    <row r="20" spans="13:23">
      <c r="M20" s="101"/>
      <c r="N20" s="101"/>
      <c r="O20" s="101"/>
      <c r="P20" s="101"/>
      <c r="Q20" s="101"/>
      <c r="R20" s="101"/>
      <c r="S20" s="101"/>
      <c r="T20" s="101"/>
    </row>
    <row r="21" spans="13:23" ht="16.05" customHeight="1">
      <c r="M21" s="238" t="s">
        <v>92</v>
      </c>
      <c r="N21" s="237"/>
      <c r="O21" s="237"/>
      <c r="P21" s="237"/>
      <c r="Q21" s="237"/>
      <c r="R21" s="237"/>
      <c r="S21" s="237"/>
      <c r="T21" s="237"/>
      <c r="U21" s="237"/>
      <c r="V21" s="237"/>
      <c r="W21" s="237"/>
    </row>
    <row r="22" spans="13:23">
      <c r="M22" s="237"/>
      <c r="N22" s="237"/>
      <c r="O22" s="237"/>
      <c r="P22" s="237"/>
      <c r="Q22" s="237"/>
      <c r="R22" s="237"/>
      <c r="S22" s="237"/>
      <c r="T22" s="237"/>
      <c r="U22" s="237"/>
      <c r="V22" s="237"/>
      <c r="W22" s="237"/>
    </row>
    <row r="23" spans="13:23">
      <c r="M23" s="237"/>
      <c r="N23" s="237"/>
      <c r="O23" s="237"/>
      <c r="P23" s="237"/>
      <c r="Q23" s="237"/>
      <c r="R23" s="237"/>
      <c r="S23" s="237"/>
      <c r="T23" s="237"/>
      <c r="U23" s="237"/>
      <c r="V23" s="237"/>
      <c r="W23" s="237"/>
    </row>
    <row r="24" spans="13:23">
      <c r="M24" s="237"/>
      <c r="N24" s="237"/>
      <c r="O24" s="237"/>
      <c r="P24" s="237"/>
      <c r="Q24" s="237"/>
      <c r="R24" s="237"/>
      <c r="S24" s="237"/>
      <c r="T24" s="237"/>
      <c r="U24" s="237"/>
      <c r="V24" s="237"/>
      <c r="W24" s="237"/>
    </row>
    <row r="25" spans="13:23">
      <c r="M25" s="237"/>
      <c r="N25" s="237"/>
      <c r="O25" s="237"/>
      <c r="P25" s="237"/>
      <c r="Q25" s="237"/>
      <c r="R25" s="237"/>
      <c r="S25" s="237"/>
      <c r="T25" s="237"/>
      <c r="U25" s="237"/>
      <c r="V25" s="237"/>
      <c r="W25" s="237"/>
    </row>
    <row r="26" spans="13:23">
      <c r="M26" s="237"/>
      <c r="N26" s="237"/>
      <c r="O26" s="237"/>
      <c r="P26" s="237"/>
      <c r="Q26" s="237"/>
      <c r="R26" s="237"/>
      <c r="S26" s="237"/>
      <c r="T26" s="237"/>
      <c r="U26" s="237"/>
      <c r="V26" s="237"/>
      <c r="W26" s="237"/>
    </row>
    <row r="27" spans="13:23">
      <c r="M27" s="237"/>
      <c r="N27" s="237"/>
      <c r="O27" s="237"/>
      <c r="P27" s="237"/>
      <c r="Q27" s="237"/>
      <c r="R27" s="237"/>
      <c r="S27" s="237"/>
      <c r="T27" s="237"/>
      <c r="U27" s="237"/>
      <c r="V27" s="237"/>
      <c r="W27" s="237"/>
    </row>
    <row r="28" spans="13:23">
      <c r="M28" s="101"/>
      <c r="N28" s="101"/>
      <c r="O28" s="101"/>
      <c r="P28" s="101"/>
      <c r="Q28" s="101"/>
      <c r="R28" s="101"/>
      <c r="S28" s="101"/>
      <c r="T28" s="101"/>
    </row>
    <row r="29" spans="13:23">
      <c r="M29" s="101"/>
      <c r="N29" s="101"/>
      <c r="O29" s="101"/>
      <c r="P29" s="101"/>
      <c r="Q29" s="101"/>
      <c r="R29" s="101"/>
      <c r="S29" s="101"/>
      <c r="T29" s="101"/>
    </row>
    <row r="30" spans="13:23">
      <c r="M30" s="101"/>
      <c r="N30" s="101"/>
      <c r="O30" s="101"/>
      <c r="P30" s="101"/>
      <c r="Q30" s="101"/>
      <c r="R30" s="101"/>
      <c r="S30" s="101"/>
      <c r="T30" s="101"/>
    </row>
    <row r="31" spans="13:23">
      <c r="M31" s="101"/>
      <c r="N31" s="101"/>
      <c r="O31" s="101"/>
      <c r="P31" s="101"/>
      <c r="Q31" s="101"/>
      <c r="R31" s="101"/>
      <c r="S31" s="101"/>
      <c r="T31" s="101"/>
    </row>
    <row r="32" spans="13:23">
      <c r="M32" s="101"/>
      <c r="N32" s="101"/>
      <c r="O32" s="101"/>
      <c r="P32" s="101"/>
      <c r="Q32" s="101"/>
      <c r="R32" s="101"/>
      <c r="S32" s="101"/>
      <c r="T32" s="101"/>
    </row>
    <row r="33" spans="13:20">
      <c r="M33" s="101"/>
      <c r="N33" s="101"/>
      <c r="O33" s="101"/>
      <c r="P33" s="101"/>
      <c r="Q33" s="101"/>
      <c r="R33" s="101"/>
      <c r="S33" s="101"/>
      <c r="T33" s="101"/>
    </row>
    <row r="34" spans="13:20">
      <c r="M34" s="101"/>
      <c r="N34" s="101"/>
      <c r="O34" s="101"/>
      <c r="P34" s="101"/>
      <c r="Q34" s="101"/>
      <c r="R34" s="101"/>
      <c r="S34" s="101"/>
      <c r="T34" s="101"/>
    </row>
    <row r="37" spans="13:20">
      <c r="M37" s="101"/>
      <c r="N37" s="101"/>
      <c r="O37" s="101"/>
      <c r="P37" s="101"/>
      <c r="Q37" s="101"/>
      <c r="R37" s="101"/>
      <c r="S37" s="101"/>
      <c r="T37" s="101"/>
    </row>
    <row r="38" spans="13:20">
      <c r="M38" s="101"/>
      <c r="N38" s="101"/>
      <c r="O38" s="101"/>
      <c r="P38" s="101"/>
      <c r="Q38" s="101"/>
      <c r="R38" s="101"/>
      <c r="S38" s="101"/>
      <c r="T38" s="101"/>
    </row>
    <row r="39" spans="13:20">
      <c r="M39" s="101"/>
      <c r="N39" s="101"/>
      <c r="O39" s="101"/>
      <c r="P39" s="101"/>
      <c r="Q39" s="101"/>
      <c r="R39" s="101"/>
      <c r="S39" s="101"/>
      <c r="T39" s="101"/>
    </row>
    <row r="40" spans="13:20">
      <c r="M40" s="101"/>
      <c r="N40" s="101"/>
      <c r="O40" s="101"/>
      <c r="P40" s="101"/>
      <c r="Q40" s="101"/>
      <c r="R40" s="101"/>
      <c r="S40" s="101"/>
      <c r="T40" s="101"/>
    </row>
    <row r="41" spans="13:20">
      <c r="M41" s="101"/>
      <c r="N41" s="101"/>
      <c r="O41" s="101"/>
      <c r="P41" s="101"/>
      <c r="Q41" s="101"/>
      <c r="R41" s="101"/>
      <c r="S41" s="101"/>
      <c r="T41" s="101"/>
    </row>
    <row r="42" spans="13:20">
      <c r="M42" s="101"/>
      <c r="N42" s="101"/>
      <c r="O42" s="101"/>
      <c r="P42" s="101"/>
      <c r="Q42" s="101"/>
      <c r="R42" s="101"/>
      <c r="S42" s="101"/>
      <c r="T42" s="101"/>
    </row>
    <row r="43" spans="13:20">
      <c r="M43" s="101"/>
      <c r="N43" s="101"/>
      <c r="O43" s="101"/>
      <c r="P43" s="101"/>
      <c r="Q43" s="101"/>
      <c r="R43" s="101"/>
      <c r="S43" s="101"/>
      <c r="T43" s="101"/>
    </row>
    <row r="44" spans="13:20">
      <c r="M44" s="101"/>
      <c r="N44" s="101"/>
      <c r="O44" s="101"/>
      <c r="P44" s="101"/>
      <c r="Q44" s="101"/>
      <c r="R44" s="101"/>
      <c r="S44" s="101"/>
      <c r="T44" s="101"/>
    </row>
  </sheetData>
  <mergeCells count="5">
    <mergeCell ref="M5:W7"/>
    <mergeCell ref="M21:W27"/>
    <mergeCell ref="M13:W15"/>
    <mergeCell ref="M17:W19"/>
    <mergeCell ref="M9:W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79995117038483843"/>
  </sheetPr>
  <dimension ref="B1:T344"/>
  <sheetViews>
    <sheetView workbookViewId="0"/>
  </sheetViews>
  <sheetFormatPr baseColWidth="10" defaultColWidth="10.796875" defaultRowHeight="15.6"/>
  <cols>
    <col min="1" max="1" width="7.19921875" style="1" customWidth="1"/>
    <col min="2" max="20" width="14.5" style="1" customWidth="1"/>
    <col min="21" max="24" width="10.796875" style="1" customWidth="1"/>
    <col min="25" max="16384" width="10.796875" style="1"/>
  </cols>
  <sheetData>
    <row r="1" spans="2:20" s="3" customFormat="1" ht="22.95" customHeight="1"/>
    <row r="2" spans="2:20" s="3" customFormat="1" ht="22.95" customHeight="1"/>
    <row r="3" spans="2:20" s="3" customFormat="1" ht="22.95" customHeight="1">
      <c r="B3" s="5" t="s">
        <v>93</v>
      </c>
      <c r="C3" s="4"/>
      <c r="D3" s="4"/>
      <c r="E3" s="4"/>
      <c r="F3" s="4"/>
      <c r="G3" s="4"/>
      <c r="H3" s="4"/>
      <c r="I3" s="4"/>
      <c r="J3" s="4"/>
      <c r="K3" s="4"/>
      <c r="L3" s="4"/>
      <c r="M3" s="4"/>
      <c r="N3" s="4"/>
      <c r="O3" s="4"/>
      <c r="P3" s="4"/>
      <c r="Q3" s="4"/>
      <c r="R3" s="4"/>
      <c r="S3" s="4"/>
      <c r="T3" s="4"/>
    </row>
    <row r="4" spans="2:20" s="3" customFormat="1" ht="22.95" customHeight="1"/>
    <row r="5" spans="2:20" s="3" customFormat="1" ht="22.95" customHeight="1">
      <c r="B5" s="8" t="s">
        <v>94</v>
      </c>
      <c r="C5" s="7"/>
      <c r="D5" s="7"/>
      <c r="F5" s="8" t="s">
        <v>95</v>
      </c>
      <c r="G5" s="7"/>
      <c r="H5" s="7"/>
    </row>
    <row r="6" spans="2:20" s="3" customFormat="1" ht="22.95" customHeight="1">
      <c r="B6" s="3" t="s">
        <v>96</v>
      </c>
      <c r="D6" s="6">
        <v>46387</v>
      </c>
      <c r="F6" s="239" t="s">
        <v>97</v>
      </c>
      <c r="G6" s="240"/>
      <c r="H6" s="240"/>
    </row>
    <row r="7" spans="2:20" s="3" customFormat="1" ht="22.95" customHeight="1">
      <c r="B7" s="3" t="s">
        <v>98</v>
      </c>
      <c r="D7" s="9">
        <f>T13</f>
        <v>49765</v>
      </c>
      <c r="F7" s="241" t="s">
        <v>99</v>
      </c>
      <c r="G7" s="240"/>
      <c r="H7" s="240"/>
    </row>
    <row r="8" spans="2:20" s="3" customFormat="1" ht="22.95" customHeight="1">
      <c r="B8" s="3" t="s">
        <v>100</v>
      </c>
      <c r="D8" s="12">
        <f>YEARFRAC(D6,D7)</f>
        <v>9.25</v>
      </c>
    </row>
    <row r="9" spans="2:20" s="3" customFormat="1" ht="22.95" customHeight="1"/>
    <row r="10" spans="2:20" s="3" customFormat="1" ht="22.95" customHeight="1">
      <c r="B10" s="8" t="s">
        <v>101</v>
      </c>
      <c r="C10" s="7"/>
      <c r="D10" s="7"/>
      <c r="F10" s="8" t="s">
        <v>102</v>
      </c>
      <c r="G10" s="7"/>
      <c r="H10" s="7"/>
      <c r="J10" s="8" t="s">
        <v>103</v>
      </c>
      <c r="K10" s="7"/>
      <c r="L10" s="7"/>
      <c r="N10" s="8" t="s">
        <v>104</v>
      </c>
      <c r="O10" s="7"/>
      <c r="P10" s="7"/>
      <c r="R10" s="8" t="s">
        <v>105</v>
      </c>
      <c r="S10" s="7"/>
      <c r="T10" s="7"/>
    </row>
    <row r="11" spans="2:20" s="3" customFormat="1" ht="22.95" customHeight="1">
      <c r="B11" s="3" t="s">
        <v>106</v>
      </c>
      <c r="D11" s="9">
        <f>D6</f>
        <v>46387</v>
      </c>
      <c r="F11" s="3" t="s">
        <v>107</v>
      </c>
      <c r="H11" s="9">
        <f>D15</f>
        <v>46568</v>
      </c>
      <c r="J11" s="3" t="s">
        <v>108</v>
      </c>
      <c r="L11" s="9">
        <f>H15</f>
        <v>47118</v>
      </c>
      <c r="N11" s="3" t="s">
        <v>109</v>
      </c>
      <c r="P11" s="11">
        <v>18</v>
      </c>
      <c r="R11" s="3" t="s">
        <v>110</v>
      </c>
      <c r="T11" s="9">
        <f>L15</f>
        <v>47938</v>
      </c>
    </row>
    <row r="12" spans="2:20" s="3" customFormat="1" ht="22.95" customHeight="1">
      <c r="B12" s="3" t="s">
        <v>111</v>
      </c>
      <c r="D12" s="11">
        <v>18</v>
      </c>
      <c r="F12" s="3" t="s">
        <v>112</v>
      </c>
      <c r="H12" s="11">
        <v>12</v>
      </c>
      <c r="J12" s="3" t="s">
        <v>113</v>
      </c>
      <c r="L12" s="11">
        <v>3</v>
      </c>
      <c r="N12" s="3" t="s">
        <v>114</v>
      </c>
      <c r="P12" s="9">
        <f>EOMONTH(L13,P11)</f>
        <v>47756</v>
      </c>
      <c r="R12" s="3" t="s">
        <v>115</v>
      </c>
      <c r="T12" s="11">
        <v>60</v>
      </c>
    </row>
    <row r="13" spans="2:20" s="3" customFormat="1" ht="22.95" customHeight="1">
      <c r="B13" s="3" t="s">
        <v>116</v>
      </c>
      <c r="D13" s="9">
        <f>EOMONTH(D11,D12)</f>
        <v>46934</v>
      </c>
      <c r="F13" s="3" t="s">
        <v>117</v>
      </c>
      <c r="H13" s="9">
        <f>EOMONTH(H11,H12)</f>
        <v>46934</v>
      </c>
      <c r="J13" s="3" t="s">
        <v>118</v>
      </c>
      <c r="L13" s="9">
        <f>EOMONTH(L11,L12)</f>
        <v>47208</v>
      </c>
      <c r="N13" s="3" t="s">
        <v>119</v>
      </c>
      <c r="P13" s="11">
        <v>18</v>
      </c>
      <c r="R13" s="3" t="s">
        <v>98</v>
      </c>
      <c r="T13" s="9">
        <f>EOMONTH(T11,T12)</f>
        <v>49765</v>
      </c>
    </row>
    <row r="14" spans="2:20" s="3" customFormat="1" ht="22.95" customHeight="1">
      <c r="B14" s="3" t="s">
        <v>120</v>
      </c>
      <c r="D14" s="11">
        <v>6</v>
      </c>
      <c r="F14" s="3" t="s">
        <v>121</v>
      </c>
      <c r="H14" s="11">
        <v>6</v>
      </c>
      <c r="J14" s="3" t="s">
        <v>122</v>
      </c>
      <c r="L14" s="11">
        <v>24</v>
      </c>
      <c r="N14" s="3" t="s">
        <v>123</v>
      </c>
      <c r="P14" s="9">
        <f>EOMONTH(P12,P13)</f>
        <v>48304</v>
      </c>
      <c r="T14" s="10"/>
    </row>
    <row r="15" spans="2:20" s="3" customFormat="1" ht="22.95" customHeight="1">
      <c r="B15" s="3" t="s">
        <v>124</v>
      </c>
      <c r="D15" s="9">
        <f>EOMONTH(D11,D14)</f>
        <v>46568</v>
      </c>
      <c r="F15" s="3" t="s">
        <v>125</v>
      </c>
      <c r="H15" s="9">
        <f>EOMONTH(H13,H14)</f>
        <v>47118</v>
      </c>
      <c r="J15" s="3" t="s">
        <v>126</v>
      </c>
      <c r="L15" s="9">
        <f>EOMONTH(L13,L14)</f>
        <v>47938</v>
      </c>
      <c r="N15" s="3" t="s">
        <v>127</v>
      </c>
      <c r="P15" s="47">
        <f>D21/P13</f>
        <v>8.3333333333333339</v>
      </c>
      <c r="T15" s="9"/>
    </row>
    <row r="16" spans="2:20" s="3" customFormat="1" ht="22.95" customHeight="1"/>
    <row r="17" spans="2:20" s="3" customFormat="1" ht="22.95" customHeight="1">
      <c r="B17" s="5" t="s">
        <v>128</v>
      </c>
      <c r="C17" s="4"/>
      <c r="D17" s="4"/>
      <c r="E17" s="4"/>
      <c r="F17" s="4"/>
      <c r="G17" s="4"/>
      <c r="H17" s="4"/>
      <c r="I17" s="4"/>
      <c r="J17" s="4"/>
      <c r="K17" s="4"/>
      <c r="L17" s="4"/>
      <c r="M17" s="4"/>
      <c r="N17" s="4"/>
      <c r="O17" s="4"/>
      <c r="P17" s="4"/>
      <c r="Q17" s="4"/>
      <c r="R17" s="4"/>
      <c r="S17" s="4"/>
      <c r="T17" s="4"/>
    </row>
    <row r="18" spans="2:20" s="3" customFormat="1" ht="22.95" customHeight="1"/>
    <row r="19" spans="2:20" s="3" customFormat="1" ht="22.95" customHeight="1">
      <c r="B19" s="8" t="s">
        <v>129</v>
      </c>
      <c r="C19" s="7"/>
      <c r="D19" s="7"/>
      <c r="F19" s="8" t="s">
        <v>130</v>
      </c>
      <c r="G19" s="7"/>
      <c r="H19" s="7"/>
      <c r="J19" s="8" t="s">
        <v>131</v>
      </c>
      <c r="K19" s="7"/>
      <c r="L19" s="7"/>
      <c r="N19" s="8" t="s">
        <v>132</v>
      </c>
      <c r="O19" s="7"/>
      <c r="P19" s="7"/>
      <c r="Q19" s="7"/>
    </row>
    <row r="20" spans="2:20" s="3" customFormat="1" ht="22.95" customHeight="1">
      <c r="B20" s="3" t="s">
        <v>133</v>
      </c>
      <c r="D20" s="11">
        <v>50</v>
      </c>
      <c r="F20" s="3" t="s">
        <v>134</v>
      </c>
      <c r="H20" s="15">
        <v>25000</v>
      </c>
      <c r="J20" s="3" t="s">
        <v>135</v>
      </c>
      <c r="L20" s="16">
        <f>H39-H41</f>
        <v>1875000</v>
      </c>
      <c r="N20" s="3" t="s">
        <v>136</v>
      </c>
      <c r="P20" s="18">
        <f>((L20+L22)/L31)*Q20</f>
        <v>5.9649741419840153E-3</v>
      </c>
      <c r="Q20" s="18">
        <v>0.5</v>
      </c>
    </row>
    <row r="21" spans="2:20" s="3" customFormat="1" ht="22.95" customHeight="1">
      <c r="B21" s="3" t="s">
        <v>19</v>
      </c>
      <c r="D21" s="11">
        <v>150</v>
      </c>
      <c r="F21" s="3" t="s">
        <v>137</v>
      </c>
      <c r="H21" s="16">
        <f>H20*D21</f>
        <v>3750000</v>
      </c>
      <c r="J21" s="3" t="s">
        <v>138</v>
      </c>
      <c r="L21" s="18">
        <v>1.4999999999999999E-2</v>
      </c>
      <c r="N21" s="3" t="s">
        <v>139</v>
      </c>
      <c r="P21" s="18">
        <f>P20/Q20*Q21</f>
        <v>5.9649741419840153E-3</v>
      </c>
      <c r="Q21" s="36">
        <f>1-Q20</f>
        <v>0.5</v>
      </c>
    </row>
    <row r="22" spans="2:20" s="3" customFormat="1" ht="22.95" customHeight="1">
      <c r="B22" s="3" t="s">
        <v>140</v>
      </c>
      <c r="D22" s="13">
        <v>2500</v>
      </c>
      <c r="J22" s="3" t="s">
        <v>141</v>
      </c>
      <c r="L22" s="16">
        <f>L20*L21</f>
        <v>28125</v>
      </c>
      <c r="N22" s="3" t="s">
        <v>142</v>
      </c>
      <c r="P22" s="36">
        <f>1-P20-P21</f>
        <v>0.98807005171603191</v>
      </c>
    </row>
    <row r="23" spans="2:20" s="3" customFormat="1" ht="22.95" customHeight="1">
      <c r="B23" s="3" t="s">
        <v>143</v>
      </c>
      <c r="D23" s="14">
        <f>D21*D22</f>
        <v>375000</v>
      </c>
      <c r="J23" s="3" t="s">
        <v>144</v>
      </c>
      <c r="L23" s="15">
        <v>100000</v>
      </c>
      <c r="N23" s="3" t="s">
        <v>145</v>
      </c>
      <c r="P23" s="36">
        <f>SUM(P20:P22)</f>
        <v>0.99999999999999989</v>
      </c>
    </row>
    <row r="24" spans="2:20" s="3" customFormat="1" ht="22.95" customHeight="1">
      <c r="J24" s="3" t="s">
        <v>146</v>
      </c>
      <c r="L24" s="15">
        <v>750000</v>
      </c>
    </row>
    <row r="25" spans="2:20" s="3" customFormat="1" ht="22.95" customHeight="1">
      <c r="B25" s="8" t="s">
        <v>147</v>
      </c>
      <c r="C25" s="7"/>
      <c r="D25" s="7"/>
      <c r="J25" s="3" t="s">
        <v>148</v>
      </c>
      <c r="L25" s="17">
        <v>0.15</v>
      </c>
    </row>
    <row r="26" spans="2:20" s="3" customFormat="1" ht="22.95" customHeight="1">
      <c r="B26" s="3" t="s">
        <v>149</v>
      </c>
      <c r="D26" s="13">
        <v>50000</v>
      </c>
      <c r="J26" s="3" t="s">
        <v>150</v>
      </c>
      <c r="L26" s="16">
        <f>L25*SUM(L23:L24)</f>
        <v>127500</v>
      </c>
      <c r="N26" s="8" t="s">
        <v>151</v>
      </c>
      <c r="O26" s="7"/>
      <c r="P26" s="7"/>
    </row>
    <row r="27" spans="2:20" s="3" customFormat="1" ht="22.95" customHeight="1">
      <c r="D27" s="14"/>
      <c r="J27" s="3" t="s">
        <v>152</v>
      </c>
      <c r="L27" s="18">
        <v>7.4999999999999997E-2</v>
      </c>
      <c r="N27" s="3" t="s">
        <v>153</v>
      </c>
      <c r="P27" s="17">
        <v>0.01</v>
      </c>
    </row>
    <row r="28" spans="2:20" s="3" customFormat="1" ht="22.95" customHeight="1">
      <c r="B28" s="8" t="s">
        <v>154</v>
      </c>
      <c r="C28" s="7"/>
      <c r="D28" s="7"/>
      <c r="J28" s="3" t="s">
        <v>155</v>
      </c>
      <c r="L28" s="16">
        <f>L27*(SUM(L26,L24,L23))</f>
        <v>73312.5</v>
      </c>
      <c r="N28" s="3" t="s">
        <v>156</v>
      </c>
      <c r="P28" s="16">
        <f>P27*L38</f>
        <v>2250000</v>
      </c>
    </row>
    <row r="29" spans="2:20" s="3" customFormat="1" ht="22.95" customHeight="1">
      <c r="B29" s="3" t="s">
        <v>157</v>
      </c>
      <c r="D29" s="13">
        <v>10000</v>
      </c>
      <c r="J29" s="3" t="s">
        <v>158</v>
      </c>
      <c r="L29" s="16">
        <f>SUM(L23,L24,L26,L28)</f>
        <v>1050812.5</v>
      </c>
      <c r="N29" s="3" t="s">
        <v>159</v>
      </c>
      <c r="P29" s="17">
        <v>0.04</v>
      </c>
    </row>
    <row r="30" spans="2:20" s="3" customFormat="1" ht="22.95" customHeight="1">
      <c r="J30" s="3" t="s">
        <v>160</v>
      </c>
      <c r="L30" s="16">
        <f>L29*D21</f>
        <v>157621875</v>
      </c>
      <c r="N30" s="3" t="s">
        <v>161</v>
      </c>
      <c r="P30" s="16">
        <f>P29*L38</f>
        <v>9000000</v>
      </c>
    </row>
    <row r="31" spans="2:20" s="3" customFormat="1" ht="22.95" customHeight="1">
      <c r="J31" s="3" t="s">
        <v>162</v>
      </c>
      <c r="L31" s="16">
        <f>L20+L22+L30</f>
        <v>159525000</v>
      </c>
    </row>
    <row r="32" spans="2:20" s="3" customFormat="1" ht="22.95" customHeight="1">
      <c r="J32" s="3" t="s">
        <v>163</v>
      </c>
      <c r="L32" s="16">
        <f>L31/D21</f>
        <v>1063500</v>
      </c>
    </row>
    <row r="33" spans="2:20" s="3" customFormat="1" ht="22.95" customHeight="1"/>
    <row r="34" spans="2:20" s="3" customFormat="1" ht="22.95" customHeight="1">
      <c r="B34" s="5" t="s">
        <v>164</v>
      </c>
      <c r="C34" s="4"/>
      <c r="D34" s="4"/>
      <c r="E34" s="4"/>
      <c r="F34" s="4"/>
      <c r="G34" s="4"/>
      <c r="H34" s="4"/>
      <c r="I34" s="4"/>
      <c r="J34" s="4"/>
      <c r="K34" s="4"/>
      <c r="L34" s="4"/>
      <c r="M34" s="4"/>
      <c r="N34" s="4"/>
      <c r="O34" s="4"/>
      <c r="P34" s="4"/>
      <c r="Q34" s="4"/>
      <c r="R34" s="4"/>
      <c r="S34" s="4"/>
      <c r="T34" s="4"/>
    </row>
    <row r="35" spans="2:20" s="3" customFormat="1" ht="22.95" customHeight="1"/>
    <row r="36" spans="2:20" s="3" customFormat="1" ht="22.95" customHeight="1">
      <c r="B36" s="8" t="s">
        <v>28</v>
      </c>
      <c r="C36" s="7"/>
      <c r="D36" s="7"/>
      <c r="F36" s="8" t="s">
        <v>165</v>
      </c>
      <c r="G36" s="7"/>
      <c r="H36" s="7"/>
      <c r="J36" s="8" t="s">
        <v>166</v>
      </c>
      <c r="K36" s="7"/>
      <c r="L36" s="7"/>
    </row>
    <row r="37" spans="2:20" s="3" customFormat="1" ht="22.95" customHeight="1">
      <c r="B37" s="3" t="s">
        <v>133</v>
      </c>
      <c r="D37" s="10">
        <f>D20</f>
        <v>50</v>
      </c>
      <c r="F37" s="3" t="s">
        <v>133</v>
      </c>
      <c r="H37" s="10">
        <f>D37</f>
        <v>50</v>
      </c>
      <c r="J37" s="3" t="s">
        <v>167</v>
      </c>
      <c r="L37" s="15">
        <v>1500000</v>
      </c>
    </row>
    <row r="38" spans="2:20" s="3" customFormat="1" ht="22.95" customHeight="1">
      <c r="B38" s="3" t="s">
        <v>168</v>
      </c>
      <c r="D38" s="15">
        <v>20000</v>
      </c>
      <c r="F38" s="3" t="s">
        <v>169</v>
      </c>
      <c r="H38" s="15">
        <v>150000</v>
      </c>
      <c r="J38" s="3" t="s">
        <v>170</v>
      </c>
      <c r="L38" s="16">
        <f>L37*D21</f>
        <v>225000000</v>
      </c>
    </row>
    <row r="39" spans="2:20" s="3" customFormat="1" ht="22.95" customHeight="1">
      <c r="B39" s="3" t="s">
        <v>28</v>
      </c>
      <c r="D39" s="16">
        <f>D37*D38</f>
        <v>1000000</v>
      </c>
      <c r="F39" s="3" t="s">
        <v>165</v>
      </c>
      <c r="H39" s="16">
        <f>H37*H38</f>
        <v>7500000</v>
      </c>
      <c r="J39" s="3" t="s">
        <v>171</v>
      </c>
      <c r="L39" s="16">
        <f>L38/D23</f>
        <v>600</v>
      </c>
    </row>
    <row r="40" spans="2:20" s="3" customFormat="1" ht="22.95" customHeight="1">
      <c r="F40" s="3" t="s">
        <v>172</v>
      </c>
      <c r="H40" s="34">
        <v>1.5</v>
      </c>
      <c r="J40" s="3" t="s">
        <v>127</v>
      </c>
      <c r="L40" s="62">
        <f>P15</f>
        <v>8.3333333333333339</v>
      </c>
    </row>
    <row r="41" spans="2:20" s="3" customFormat="1" ht="22.95" customHeight="1">
      <c r="F41" s="3" t="s">
        <v>173</v>
      </c>
      <c r="H41" s="16">
        <f>H40*H21</f>
        <v>5625000</v>
      </c>
      <c r="J41" s="3" t="s">
        <v>174</v>
      </c>
      <c r="L41" s="18">
        <v>0.15</v>
      </c>
    </row>
    <row r="42" spans="2:20" s="3" customFormat="1" ht="22.95" customHeight="1">
      <c r="F42" s="3" t="s">
        <v>151</v>
      </c>
      <c r="H42" s="18">
        <v>0.01</v>
      </c>
      <c r="J42" s="3" t="s">
        <v>175</v>
      </c>
      <c r="L42" s="16">
        <f>L41*L37</f>
        <v>225000</v>
      </c>
    </row>
    <row r="43" spans="2:20" s="3" customFormat="1" ht="22.95" customHeight="1">
      <c r="H43" s="16"/>
    </row>
    <row r="44" spans="2:20" s="3" customFormat="1" ht="22.95" customHeight="1"/>
    <row r="45" spans="2:20" s="3" customFormat="1" ht="22.95" customHeight="1">
      <c r="B45" s="5" t="s">
        <v>176</v>
      </c>
      <c r="C45" s="4"/>
      <c r="D45" s="4"/>
      <c r="E45" s="4"/>
      <c r="F45" s="4"/>
      <c r="G45" s="4"/>
      <c r="H45" s="4"/>
      <c r="I45" s="4"/>
      <c r="J45" s="4"/>
      <c r="K45" s="4"/>
      <c r="L45" s="4"/>
      <c r="M45" s="4"/>
      <c r="N45" s="4"/>
      <c r="O45" s="4"/>
      <c r="P45" s="4"/>
      <c r="Q45" s="4"/>
      <c r="R45" s="4"/>
      <c r="S45" s="4"/>
      <c r="T45" s="4"/>
    </row>
    <row r="46" spans="2:20" s="3" customFormat="1" ht="22.95" customHeight="1"/>
    <row r="47" spans="2:20" s="3" customFormat="1" ht="22.95" customHeight="1">
      <c r="B47" s="8" t="s">
        <v>177</v>
      </c>
      <c r="C47" s="7"/>
      <c r="D47" s="7"/>
      <c r="F47" s="8" t="s">
        <v>178</v>
      </c>
      <c r="G47" s="7"/>
      <c r="H47" s="7"/>
      <c r="J47" s="8" t="s">
        <v>179</v>
      </c>
      <c r="K47" s="7"/>
      <c r="L47" s="7"/>
      <c r="N47" s="8" t="s">
        <v>180</v>
      </c>
      <c r="O47" s="7"/>
      <c r="P47" s="7"/>
      <c r="R47" s="8" t="s">
        <v>181</v>
      </c>
      <c r="S47" s="7"/>
      <c r="T47" s="7"/>
    </row>
    <row r="48" spans="2:20" s="3" customFormat="1" ht="22.95" customHeight="1">
      <c r="B48" s="3" t="s">
        <v>28</v>
      </c>
      <c r="D48" s="16">
        <f>D39</f>
        <v>1000000</v>
      </c>
      <c r="F48" s="59" t="s">
        <v>182</v>
      </c>
      <c r="G48" s="59"/>
      <c r="H48" s="59"/>
      <c r="J48" s="60" t="s">
        <v>183</v>
      </c>
      <c r="N48" s="60" t="s">
        <v>184</v>
      </c>
      <c r="R48" s="60" t="s">
        <v>185</v>
      </c>
    </row>
    <row r="49" spans="2:20" s="3" customFormat="1" ht="22.95" customHeight="1">
      <c r="B49" s="3" t="s">
        <v>186</v>
      </c>
      <c r="D49" s="18">
        <v>0.02</v>
      </c>
      <c r="F49" s="3" t="s">
        <v>187</v>
      </c>
      <c r="H49" s="15">
        <v>50000</v>
      </c>
      <c r="J49" s="3" t="s">
        <v>188</v>
      </c>
      <c r="L49" s="18">
        <v>0.01</v>
      </c>
      <c r="N49" s="3" t="s">
        <v>189</v>
      </c>
      <c r="P49" s="15">
        <v>150</v>
      </c>
      <c r="R49" s="3" t="s">
        <v>190</v>
      </c>
      <c r="T49" s="15">
        <v>200</v>
      </c>
    </row>
    <row r="50" spans="2:20" s="3" customFormat="1" ht="22.95" customHeight="1">
      <c r="B50" s="3" t="s">
        <v>191</v>
      </c>
      <c r="D50" s="16">
        <f>D48*D49</f>
        <v>20000</v>
      </c>
      <c r="F50" s="3" t="s">
        <v>192</v>
      </c>
      <c r="H50" s="9">
        <f>D11</f>
        <v>46387</v>
      </c>
      <c r="J50" s="3" t="s">
        <v>193</v>
      </c>
      <c r="L50" s="16">
        <f>L49*L38</f>
        <v>2250000</v>
      </c>
      <c r="N50" s="3" t="s">
        <v>194</v>
      </c>
      <c r="P50" s="16">
        <f>P49*12</f>
        <v>1800</v>
      </c>
      <c r="R50" s="3" t="s">
        <v>195</v>
      </c>
      <c r="T50" s="16">
        <f>T49*12</f>
        <v>2400</v>
      </c>
    </row>
    <row r="51" spans="2:20" s="3" customFormat="1" ht="22.95" customHeight="1">
      <c r="B51" s="3" t="s">
        <v>196</v>
      </c>
      <c r="D51" s="18">
        <v>0.15</v>
      </c>
      <c r="F51" s="3" t="s">
        <v>197</v>
      </c>
      <c r="H51" s="15">
        <v>20000</v>
      </c>
      <c r="J51" s="3" t="s">
        <v>192</v>
      </c>
      <c r="L51" s="9">
        <f>L11</f>
        <v>47118</v>
      </c>
      <c r="N51" s="3" t="s">
        <v>198</v>
      </c>
      <c r="P51" s="16">
        <f>P49*D21</f>
        <v>22500</v>
      </c>
      <c r="R51" s="3" t="s">
        <v>199</v>
      </c>
      <c r="T51" s="16">
        <f>T49*D21</f>
        <v>30000</v>
      </c>
    </row>
    <row r="52" spans="2:20" s="3" customFormat="1" ht="22.95" customHeight="1">
      <c r="B52" s="3" t="s">
        <v>200</v>
      </c>
      <c r="D52" s="16">
        <f>D51*D39</f>
        <v>150000</v>
      </c>
      <c r="F52" s="3" t="s">
        <v>201</v>
      </c>
      <c r="H52" s="9">
        <f>D11</f>
        <v>46387</v>
      </c>
      <c r="J52" s="3" t="s">
        <v>202</v>
      </c>
      <c r="L52" s="18">
        <v>0.6</v>
      </c>
      <c r="N52" s="3" t="s">
        <v>203</v>
      </c>
      <c r="P52" s="16">
        <f>P51*12</f>
        <v>270000</v>
      </c>
      <c r="R52" s="3" t="s">
        <v>204</v>
      </c>
      <c r="T52" s="16">
        <f>T51*12</f>
        <v>360000</v>
      </c>
    </row>
    <row r="53" spans="2:20" s="3" customFormat="1" ht="22.95" customHeight="1">
      <c r="B53" s="3" t="s">
        <v>205</v>
      </c>
      <c r="D53" s="16">
        <f>D52/D21</f>
        <v>1000</v>
      </c>
      <c r="F53" s="3" t="s">
        <v>206</v>
      </c>
      <c r="H53" s="9">
        <f>D15</f>
        <v>46568</v>
      </c>
      <c r="J53" s="3" t="s">
        <v>207</v>
      </c>
      <c r="L53" s="36">
        <f>1-L52</f>
        <v>0.4</v>
      </c>
      <c r="N53" s="3" t="s">
        <v>208</v>
      </c>
      <c r="P53" s="9">
        <f>T11</f>
        <v>47938</v>
      </c>
      <c r="R53" s="3" t="s">
        <v>208</v>
      </c>
      <c r="T53" s="9">
        <f>T11</f>
        <v>47938</v>
      </c>
    </row>
    <row r="54" spans="2:20" s="3" customFormat="1" ht="22.95" customHeight="1">
      <c r="B54" s="3" t="s">
        <v>209</v>
      </c>
      <c r="D54" s="16">
        <f>D53/12</f>
        <v>83.333333333333329</v>
      </c>
      <c r="F54" s="3" t="s">
        <v>210</v>
      </c>
      <c r="H54" s="10">
        <f>D14</f>
        <v>6</v>
      </c>
      <c r="N54" s="3" t="s">
        <v>211</v>
      </c>
      <c r="P54" s="9">
        <f>T13</f>
        <v>49765</v>
      </c>
      <c r="R54" s="3" t="s">
        <v>211</v>
      </c>
      <c r="T54" s="9">
        <f>T13</f>
        <v>49765</v>
      </c>
    </row>
    <row r="55" spans="2:20" s="3" customFormat="1" ht="22.95" customHeight="1">
      <c r="B55" s="3" t="s">
        <v>212</v>
      </c>
      <c r="D55" s="19">
        <f>(D52-D50)/D50</f>
        <v>6.5</v>
      </c>
      <c r="J55" s="3" t="s">
        <v>213</v>
      </c>
      <c r="L55" s="61">
        <v>2.5000000000000001E-3</v>
      </c>
    </row>
    <row r="56" spans="2:20" s="3" customFormat="1" ht="22.95" customHeight="1">
      <c r="B56" s="3" t="s">
        <v>208</v>
      </c>
      <c r="D56" s="9">
        <f>T11</f>
        <v>47938</v>
      </c>
      <c r="F56" s="60" t="s">
        <v>214</v>
      </c>
      <c r="J56" s="3" t="s">
        <v>215</v>
      </c>
      <c r="L56" s="16">
        <f>L55*L30</f>
        <v>394054.6875</v>
      </c>
      <c r="N56" s="3" t="s">
        <v>216</v>
      </c>
      <c r="P56" s="18">
        <v>0.3</v>
      </c>
      <c r="R56" s="3" t="s">
        <v>216</v>
      </c>
      <c r="T56" s="18">
        <v>0</v>
      </c>
    </row>
    <row r="57" spans="2:20" s="3" customFormat="1" ht="22.95" customHeight="1">
      <c r="B57" s="3" t="s">
        <v>211</v>
      </c>
      <c r="D57" s="9">
        <f>T13</f>
        <v>49765</v>
      </c>
      <c r="F57" s="3" t="s">
        <v>217</v>
      </c>
      <c r="H57" s="18">
        <v>0.01</v>
      </c>
      <c r="J57" s="3" t="s">
        <v>208</v>
      </c>
      <c r="L57" s="9">
        <f>L13</f>
        <v>47208</v>
      </c>
      <c r="N57" s="3" t="s">
        <v>218</v>
      </c>
      <c r="P57" s="16">
        <f>P52*P56</f>
        <v>81000</v>
      </c>
      <c r="R57" s="3" t="s">
        <v>218</v>
      </c>
      <c r="T57" s="16">
        <f>T52*T56</f>
        <v>0</v>
      </c>
    </row>
    <row r="58" spans="2:20" s="3" customFormat="1" ht="22.95" customHeight="1">
      <c r="F58" s="3" t="s">
        <v>219</v>
      </c>
      <c r="H58" s="16">
        <f>H57*H39</f>
        <v>75000</v>
      </c>
      <c r="J58" s="3" t="s">
        <v>211</v>
      </c>
      <c r="L58" s="9">
        <f>L15</f>
        <v>47938</v>
      </c>
      <c r="N58" s="3" t="s">
        <v>220</v>
      </c>
      <c r="P58" s="16">
        <f>P52-P57</f>
        <v>189000</v>
      </c>
      <c r="R58" s="3" t="s">
        <v>220</v>
      </c>
      <c r="T58" s="16">
        <f>T52-T57</f>
        <v>360000</v>
      </c>
    </row>
    <row r="59" spans="2:20" s="3" customFormat="1" ht="22.95" customHeight="1">
      <c r="F59" s="3" t="s">
        <v>208</v>
      </c>
      <c r="H59" s="9">
        <f>H11</f>
        <v>46568</v>
      </c>
      <c r="J59" s="3" t="s">
        <v>202</v>
      </c>
      <c r="L59" s="18">
        <v>0.6</v>
      </c>
      <c r="N59" s="3" t="s">
        <v>208</v>
      </c>
      <c r="P59" s="9">
        <f>P53</f>
        <v>47938</v>
      </c>
      <c r="R59" s="3" t="s">
        <v>208</v>
      </c>
      <c r="T59" s="9">
        <f>T53</f>
        <v>47938</v>
      </c>
    </row>
    <row r="60" spans="2:20" s="3" customFormat="1" ht="22.95" customHeight="1">
      <c r="F60" s="3" t="s">
        <v>211</v>
      </c>
      <c r="H60" s="9">
        <f>H13</f>
        <v>46934</v>
      </c>
      <c r="J60" s="3" t="s">
        <v>207</v>
      </c>
      <c r="L60" s="36">
        <f>1-L59</f>
        <v>0.4</v>
      </c>
      <c r="N60" s="3" t="s">
        <v>211</v>
      </c>
      <c r="P60" s="9">
        <f>P54</f>
        <v>49765</v>
      </c>
      <c r="R60" s="3" t="s">
        <v>211</v>
      </c>
      <c r="T60" s="9">
        <f>T54</f>
        <v>49765</v>
      </c>
    </row>
    <row r="61" spans="2:20" s="3" customFormat="1" ht="22.95" customHeight="1">
      <c r="F61" s="3" t="s">
        <v>221</v>
      </c>
      <c r="H61" s="18">
        <v>5.0000000000000001E-3</v>
      </c>
    </row>
    <row r="62" spans="2:20" s="3" customFormat="1" ht="22.95" customHeight="1">
      <c r="F62" s="3" t="s">
        <v>222</v>
      </c>
      <c r="H62" s="16">
        <f>H61*H39</f>
        <v>37500</v>
      </c>
    </row>
    <row r="63" spans="2:20" s="3" customFormat="1" ht="22.95" customHeight="1">
      <c r="F63" s="3" t="s">
        <v>192</v>
      </c>
      <c r="H63" s="9">
        <f>H13</f>
        <v>46934</v>
      </c>
    </row>
    <row r="64" spans="2:20" s="3" customFormat="1" ht="22.95" customHeight="1"/>
    <row r="65" s="3" customFormat="1" ht="22.95" customHeight="1"/>
    <row r="66" s="3" customFormat="1" ht="22.95" customHeight="1"/>
    <row r="67" s="3" customFormat="1" ht="22.95" customHeight="1"/>
    <row r="68" s="3" customFormat="1" ht="22.95" customHeight="1"/>
    <row r="69" s="3" customFormat="1" ht="22.95" customHeight="1"/>
    <row r="70" s="3" customFormat="1" ht="22.95" customHeight="1"/>
    <row r="71" s="3" customFormat="1" ht="22.95" customHeight="1"/>
    <row r="72" s="3" customFormat="1" ht="22.95" customHeight="1"/>
    <row r="73" s="3" customFormat="1" ht="22.95" customHeight="1"/>
    <row r="74" s="3" customFormat="1" ht="22.95" customHeight="1"/>
    <row r="75" s="3" customFormat="1" ht="22.95" customHeight="1"/>
    <row r="76" s="3" customFormat="1" ht="22.95" customHeight="1"/>
    <row r="77" s="3" customFormat="1" ht="22.95" customHeight="1"/>
    <row r="78" s="3" customFormat="1" ht="22.95" customHeight="1"/>
    <row r="79" s="3" customFormat="1" ht="22.95" customHeight="1"/>
    <row r="80" s="3" customFormat="1" ht="22.95" customHeight="1"/>
    <row r="81" s="3" customFormat="1" ht="22.95" customHeight="1"/>
    <row r="82" s="3" customFormat="1" ht="22.95" customHeight="1"/>
    <row r="83" s="3" customFormat="1" ht="22.95" customHeight="1"/>
    <row r="84" s="3" customFormat="1" ht="22.95" customHeight="1"/>
    <row r="85" s="3" customFormat="1" ht="22.95" customHeight="1"/>
    <row r="86" s="3" customFormat="1" ht="22.95" customHeight="1"/>
    <row r="87" s="3" customFormat="1" ht="22.95" customHeight="1"/>
    <row r="88" s="3" customFormat="1" ht="22.95" customHeight="1"/>
    <row r="89" s="3" customFormat="1" ht="22.95" customHeight="1"/>
    <row r="90" s="3" customFormat="1" ht="22.95" customHeight="1"/>
    <row r="91" s="3" customFormat="1" ht="22.95" customHeight="1"/>
    <row r="92" s="3" customFormat="1" ht="22.95" customHeight="1"/>
    <row r="93" s="3" customFormat="1" ht="22.95" customHeight="1"/>
    <row r="94" s="3" customFormat="1" ht="22.95" customHeight="1"/>
    <row r="95" s="3" customFormat="1" ht="22.95" customHeight="1"/>
    <row r="96" s="3" customFormat="1" ht="22.95" customHeight="1"/>
    <row r="97" s="3" customFormat="1" ht="22.95" customHeight="1"/>
    <row r="98" s="3" customFormat="1" ht="22.95" customHeight="1"/>
    <row r="99" s="3" customFormat="1" ht="22.95" customHeight="1"/>
    <row r="100" s="3" customFormat="1" ht="22.95" customHeight="1"/>
    <row r="101" s="3" customFormat="1" ht="22.95" customHeight="1"/>
    <row r="102" s="3" customFormat="1" ht="22.95" customHeight="1"/>
    <row r="103" s="3" customFormat="1" ht="22.95" customHeight="1"/>
    <row r="104" s="3" customFormat="1" ht="22.95" customHeight="1"/>
    <row r="105" s="3" customFormat="1" ht="22.95" customHeight="1"/>
    <row r="106" s="3" customFormat="1" ht="22.95" customHeight="1"/>
    <row r="107" s="3" customFormat="1" ht="22.95" customHeight="1"/>
    <row r="108" s="3" customFormat="1" ht="22.95" customHeight="1"/>
    <row r="109" s="3" customFormat="1" ht="22.95" customHeight="1"/>
    <row r="110" s="3" customFormat="1" ht="22.95" customHeight="1"/>
    <row r="111" s="3" customFormat="1" ht="22.95" customHeight="1"/>
    <row r="112" s="3" customFormat="1" ht="22.95" customHeight="1"/>
    <row r="113" s="3" customFormat="1" ht="22.95" customHeight="1"/>
    <row r="114" s="3" customFormat="1" ht="22.95" customHeight="1"/>
    <row r="115" s="3" customFormat="1" ht="22.95" customHeight="1"/>
    <row r="116" s="3" customFormat="1" ht="22.95" customHeight="1"/>
    <row r="117" s="3" customFormat="1" ht="22.95" customHeight="1"/>
    <row r="118" s="3" customFormat="1" ht="22.95" customHeight="1"/>
    <row r="119" s="3" customFormat="1" ht="22.95" customHeight="1"/>
    <row r="120" s="3" customFormat="1" ht="22.95" customHeight="1"/>
    <row r="121" s="3" customFormat="1" ht="22.95" customHeight="1"/>
    <row r="122" s="3" customFormat="1" ht="22.95" customHeight="1"/>
    <row r="123" s="3" customFormat="1" ht="22.95" customHeight="1"/>
    <row r="124" s="3" customFormat="1" ht="22.95" customHeight="1"/>
    <row r="125" s="3" customFormat="1" ht="22.95" customHeight="1"/>
    <row r="126" s="3" customFormat="1" ht="22.95" customHeight="1"/>
    <row r="127" s="3" customFormat="1" ht="22.95" customHeight="1"/>
    <row r="128" s="3" customFormat="1" ht="22.95" customHeight="1"/>
    <row r="129" s="3" customFormat="1" ht="22.95" customHeight="1"/>
    <row r="130" s="3" customFormat="1" ht="22.95" customHeight="1"/>
    <row r="131" s="3" customFormat="1" ht="22.95" customHeight="1"/>
    <row r="132" s="3" customFormat="1" ht="22.95" customHeight="1"/>
    <row r="133" s="3" customFormat="1" ht="22.95" customHeight="1"/>
    <row r="134" s="3" customFormat="1" ht="22.95" customHeight="1"/>
    <row r="135" s="3" customFormat="1" ht="22.95" customHeight="1"/>
    <row r="136" s="3" customFormat="1" ht="22.95" customHeight="1"/>
    <row r="137" s="3" customFormat="1" ht="22.95" customHeight="1"/>
    <row r="138" s="3" customFormat="1" ht="22.95" customHeight="1"/>
    <row r="139" s="3" customFormat="1" ht="22.95" customHeight="1"/>
    <row r="140" s="3" customFormat="1" ht="22.95" customHeight="1"/>
    <row r="141" s="3" customFormat="1" ht="22.95" customHeight="1"/>
    <row r="142" s="3" customFormat="1" ht="22.95" customHeight="1"/>
    <row r="143" s="3" customFormat="1" ht="22.95" customHeight="1"/>
    <row r="144" s="3" customFormat="1" ht="22.95" customHeight="1"/>
    <row r="145" s="3" customFormat="1" ht="22.95" customHeight="1"/>
    <row r="146" s="3" customFormat="1" ht="22.95" customHeight="1"/>
    <row r="147" s="3" customFormat="1" ht="22.95" customHeight="1"/>
    <row r="148" s="3" customFormat="1" ht="22.95" customHeight="1"/>
    <row r="149" s="3" customFormat="1" ht="22.95" customHeight="1"/>
    <row r="150" s="3" customFormat="1" ht="22.95" customHeight="1"/>
    <row r="151" s="3" customFormat="1" ht="22.95" customHeight="1"/>
    <row r="152" s="3" customFormat="1" ht="22.95" customHeight="1"/>
    <row r="153" s="3" customFormat="1" ht="22.95" customHeight="1"/>
    <row r="154" s="3" customFormat="1" ht="22.95" customHeight="1"/>
    <row r="155" s="3" customFormat="1" ht="22.95" customHeight="1"/>
    <row r="156" s="3" customFormat="1" ht="22.95" customHeight="1"/>
    <row r="157" s="3" customFormat="1" ht="22.95" customHeight="1"/>
    <row r="158" s="3" customFormat="1" ht="22.95" customHeight="1"/>
    <row r="159" s="3" customFormat="1" ht="22.95" customHeight="1"/>
    <row r="160" s="3" customFormat="1" ht="22.95" customHeight="1"/>
    <row r="161" s="3" customFormat="1" ht="22.95" customHeight="1"/>
    <row r="162" s="3" customFormat="1" ht="22.95" customHeight="1"/>
    <row r="163" s="3" customFormat="1" ht="22.95" customHeight="1"/>
    <row r="164" s="3" customFormat="1" ht="22.95" customHeight="1"/>
    <row r="165" s="3" customFormat="1" ht="22.95" customHeight="1"/>
    <row r="166" s="3" customFormat="1" ht="22.95" customHeight="1"/>
    <row r="167" s="3" customFormat="1" ht="22.95" customHeight="1"/>
    <row r="168" s="3" customFormat="1" ht="22.95" customHeight="1"/>
    <row r="169" s="3" customFormat="1" ht="22.95" customHeight="1"/>
    <row r="170" s="3" customFormat="1" ht="22.95" customHeight="1"/>
    <row r="171" s="3" customFormat="1" ht="22.95" customHeight="1"/>
    <row r="172" s="3" customFormat="1" ht="22.95" customHeight="1"/>
    <row r="173" s="3" customFormat="1" ht="22.95" customHeight="1"/>
    <row r="174" s="3" customFormat="1" ht="22.95" customHeight="1"/>
    <row r="175" s="3" customFormat="1" ht="22.95" customHeight="1"/>
    <row r="176" s="3" customFormat="1" ht="22.95" customHeight="1"/>
    <row r="177" s="3" customFormat="1" ht="22.95" customHeight="1"/>
    <row r="178" s="3" customFormat="1" ht="22.95" customHeight="1"/>
    <row r="179" s="3" customFormat="1" ht="22.95" customHeight="1"/>
    <row r="180" s="3" customFormat="1" ht="22.95" customHeight="1"/>
    <row r="181" s="3" customFormat="1" ht="22.95" customHeight="1"/>
    <row r="182" s="3" customFormat="1" ht="22.95" customHeight="1"/>
    <row r="183" s="3" customFormat="1" ht="22.95" customHeight="1"/>
    <row r="184" s="3" customFormat="1" ht="22.95" customHeight="1"/>
    <row r="185" s="3" customFormat="1" ht="22.95" customHeight="1"/>
    <row r="186" s="3" customFormat="1" ht="22.95" customHeight="1"/>
    <row r="187" s="3" customFormat="1" ht="22.95" customHeight="1"/>
    <row r="188" s="3" customFormat="1" ht="22.95" customHeight="1"/>
    <row r="189" s="3" customFormat="1" ht="22.95" customHeight="1"/>
    <row r="190" s="3" customFormat="1" ht="22.95" customHeight="1"/>
    <row r="191" s="3" customFormat="1" ht="22.95" customHeight="1"/>
    <row r="192" s="3" customFormat="1" ht="22.95" customHeight="1"/>
    <row r="193" s="3" customFormat="1" ht="22.95" customHeight="1"/>
    <row r="194" s="3" customFormat="1" ht="22.95" customHeight="1"/>
    <row r="195" s="3" customFormat="1" ht="22.95" customHeight="1"/>
    <row r="196" s="3" customFormat="1" ht="22.95" customHeight="1"/>
    <row r="197" s="3" customFormat="1" ht="22.95" customHeight="1"/>
    <row r="198" s="3" customFormat="1" ht="22.95" customHeight="1"/>
    <row r="199" s="3" customFormat="1" ht="22.95" customHeight="1"/>
    <row r="200" s="3" customFormat="1" ht="22.95" customHeight="1"/>
    <row r="201" s="3" customFormat="1" ht="22.95" customHeight="1"/>
    <row r="202" s="3" customFormat="1" ht="22.95" customHeight="1"/>
    <row r="203" s="3" customFormat="1" ht="22.95" customHeight="1"/>
    <row r="204" s="3" customFormat="1" ht="22.95" customHeight="1"/>
    <row r="205" s="3" customFormat="1" ht="22.95" customHeight="1"/>
    <row r="206" s="3" customFormat="1" ht="22.95" customHeight="1"/>
    <row r="207" s="3" customFormat="1" ht="22.95" customHeight="1"/>
    <row r="208" s="3" customFormat="1" ht="22.95" customHeight="1"/>
    <row r="209" s="3" customFormat="1" ht="22.95" customHeight="1"/>
    <row r="210" s="3" customFormat="1" ht="22.95" customHeight="1"/>
    <row r="211" s="3" customFormat="1" ht="22.95" customHeight="1"/>
    <row r="212" s="3" customFormat="1" ht="22.95" customHeight="1"/>
    <row r="213" s="3" customFormat="1" ht="22.95" customHeight="1"/>
    <row r="214" s="3" customFormat="1" ht="22.95" customHeight="1"/>
    <row r="215" s="3" customFormat="1" ht="22.95" customHeight="1"/>
    <row r="216" s="3" customFormat="1" ht="22.95" customHeight="1"/>
    <row r="217" s="3" customFormat="1" ht="22.95" customHeight="1"/>
    <row r="218" s="3" customFormat="1" ht="22.95" customHeight="1"/>
    <row r="219" s="3" customFormat="1" ht="22.95" customHeight="1"/>
    <row r="220" s="3" customFormat="1" ht="22.95" customHeight="1"/>
    <row r="221" s="3" customFormat="1" ht="22.95" customHeight="1"/>
    <row r="222" s="3" customFormat="1" ht="22.95" customHeight="1"/>
    <row r="223" s="3" customFormat="1" ht="22.95" customHeight="1"/>
    <row r="224" s="3" customFormat="1" ht="22.95" customHeight="1"/>
    <row r="225" s="3" customFormat="1" ht="22.95" customHeight="1"/>
    <row r="226" s="3" customFormat="1" ht="22.95" customHeight="1"/>
    <row r="227" s="3" customFormat="1" ht="22.95" customHeight="1"/>
    <row r="228" s="3" customFormat="1" ht="22.95" customHeight="1"/>
    <row r="229" s="3" customFormat="1" ht="22.95" customHeight="1"/>
    <row r="230" s="3" customFormat="1" ht="22.95" customHeight="1"/>
    <row r="231" s="3" customFormat="1" ht="22.95" customHeight="1"/>
    <row r="232" s="3" customFormat="1" ht="22.95" customHeight="1"/>
    <row r="233" s="3" customFormat="1" ht="22.95" customHeight="1"/>
    <row r="234" s="3" customFormat="1" ht="22.95" customHeight="1"/>
    <row r="235" s="3" customFormat="1" ht="22.95" customHeight="1"/>
    <row r="236" s="3" customFormat="1" ht="22.95" customHeight="1"/>
    <row r="237" s="3" customFormat="1" ht="22.95" customHeight="1"/>
    <row r="238" s="3" customFormat="1" ht="22.95" customHeight="1"/>
    <row r="239" s="3" customFormat="1" ht="22.95" customHeight="1"/>
    <row r="240" s="3" customFormat="1" ht="22.95" customHeight="1"/>
    <row r="241" s="3" customFormat="1" ht="22.95" customHeight="1"/>
    <row r="242" s="3" customFormat="1" ht="22.95" customHeight="1"/>
    <row r="243" s="3" customFormat="1" ht="22.95" customHeight="1"/>
    <row r="244" s="3" customFormat="1" ht="22.95" customHeight="1"/>
    <row r="245" s="3" customFormat="1" ht="22.95" customHeight="1"/>
    <row r="246" s="3" customFormat="1" ht="22.95" customHeight="1"/>
    <row r="247" s="3" customFormat="1" ht="22.95" customHeight="1"/>
    <row r="248" s="3" customFormat="1" ht="22.95" customHeight="1"/>
    <row r="249" s="3" customFormat="1" ht="22.95" customHeight="1"/>
    <row r="250" s="3" customFormat="1" ht="22.95" customHeight="1"/>
    <row r="251" s="3" customFormat="1" ht="22.95" customHeight="1"/>
    <row r="252" s="3" customFormat="1" ht="22.95" customHeight="1"/>
    <row r="253" s="3" customFormat="1" ht="22.95" customHeight="1"/>
    <row r="254" s="3" customFormat="1" ht="22.95" customHeight="1"/>
    <row r="255" s="3" customFormat="1" ht="22.95" customHeight="1"/>
    <row r="256" s="3" customFormat="1" ht="22.95" customHeight="1"/>
    <row r="257" s="3" customFormat="1" ht="22.95" customHeight="1"/>
    <row r="258" s="3" customFormat="1" ht="22.95" customHeight="1"/>
    <row r="259" s="3" customFormat="1" ht="22.95" customHeight="1"/>
    <row r="260" s="3" customFormat="1" ht="22.95" customHeight="1"/>
    <row r="261" s="3" customFormat="1" ht="22.95" customHeight="1"/>
    <row r="262" s="3" customFormat="1" ht="22.95" customHeight="1"/>
    <row r="263" s="3" customFormat="1" ht="22.95" customHeight="1"/>
    <row r="264" s="3" customFormat="1" ht="22.95" customHeight="1"/>
    <row r="265" s="3" customFormat="1" ht="22.95" customHeight="1"/>
    <row r="266" s="3" customFormat="1" ht="22.95" customHeight="1"/>
    <row r="267" s="3" customFormat="1" ht="22.95" customHeight="1"/>
    <row r="268" s="3" customFormat="1" ht="22.95" customHeight="1"/>
    <row r="269" s="3" customFormat="1" ht="22.95" customHeight="1"/>
    <row r="270" s="3" customFormat="1" ht="22.95" customHeight="1"/>
    <row r="271" s="3" customFormat="1" ht="22.95" customHeight="1"/>
    <row r="272" s="3" customFormat="1" ht="22.95" customHeight="1"/>
    <row r="273" s="3" customFormat="1" ht="22.95" customHeight="1"/>
    <row r="274" s="3" customFormat="1" ht="22.95" customHeight="1"/>
    <row r="275" s="3" customFormat="1" ht="22.95" customHeight="1"/>
    <row r="276" s="3" customFormat="1" ht="22.95" customHeight="1"/>
    <row r="277" s="3" customFormat="1" ht="22.95" customHeight="1"/>
    <row r="278" s="3" customFormat="1" ht="22.95" customHeight="1"/>
    <row r="279" s="3" customFormat="1" ht="22.95" customHeight="1"/>
    <row r="280" s="3" customFormat="1" ht="22.95" customHeight="1"/>
    <row r="281" s="3" customFormat="1" ht="22.95" customHeight="1"/>
    <row r="282" s="3" customFormat="1" ht="22.95" customHeight="1"/>
    <row r="283" s="3" customFormat="1" ht="22.95" customHeight="1"/>
    <row r="284" s="3" customFormat="1" ht="22.95" customHeight="1"/>
    <row r="285" s="3" customFormat="1" ht="22.95" customHeight="1"/>
    <row r="286" s="3" customFormat="1" ht="22.95" customHeight="1"/>
    <row r="287" s="3" customFormat="1" ht="22.95" customHeight="1"/>
    <row r="288" s="3" customFormat="1" ht="22.95" customHeight="1"/>
    <row r="289" s="3" customFormat="1" ht="22.95" customHeight="1"/>
    <row r="290" s="3" customFormat="1" ht="22.95" customHeight="1"/>
    <row r="291" s="3" customFormat="1" ht="22.95" customHeight="1"/>
    <row r="292" s="3" customFormat="1" ht="22.95" customHeight="1"/>
    <row r="293" s="3" customFormat="1" ht="22.95" customHeight="1"/>
    <row r="294" s="3" customFormat="1" ht="22.95" customHeight="1"/>
    <row r="295" s="3" customFormat="1" ht="22.95" customHeight="1"/>
    <row r="296" s="3" customFormat="1" ht="22.95" customHeight="1"/>
    <row r="297" s="3" customFormat="1" ht="22.95" customHeight="1"/>
    <row r="298" s="3" customFormat="1" ht="22.95" customHeight="1"/>
    <row r="299" s="3" customFormat="1" ht="22.95" customHeight="1"/>
    <row r="300" s="3" customFormat="1" ht="22.95" customHeight="1"/>
    <row r="301" s="3" customFormat="1" ht="22.95" customHeight="1"/>
    <row r="302" s="3" customFormat="1" ht="22.95" customHeight="1"/>
    <row r="303" s="3" customFormat="1" ht="22.95" customHeight="1"/>
    <row r="304" s="3" customFormat="1" ht="22.95" customHeight="1"/>
    <row r="305" s="3" customFormat="1" ht="22.95" customHeight="1"/>
    <row r="306" s="3" customFormat="1" ht="22.95" customHeight="1"/>
    <row r="307" s="3" customFormat="1" ht="22.95" customHeight="1"/>
    <row r="308" s="3" customFormat="1" ht="22.95" customHeight="1"/>
    <row r="309" s="3" customFormat="1" ht="22.95" customHeight="1"/>
    <row r="310" s="3" customFormat="1" ht="22.95" customHeight="1"/>
    <row r="311" s="3" customFormat="1" ht="22.95" customHeight="1"/>
    <row r="312" s="3" customFormat="1" ht="22.95" customHeight="1"/>
    <row r="313" s="3" customFormat="1" ht="22.95" customHeight="1"/>
    <row r="314" s="3" customFormat="1" ht="22.95" customHeight="1"/>
    <row r="315" s="3" customFormat="1" ht="22.95" customHeight="1"/>
    <row r="316" s="3" customFormat="1" ht="22.95" customHeight="1"/>
    <row r="317" s="3" customFormat="1" ht="22.95" customHeight="1"/>
    <row r="318" s="3" customFormat="1" ht="22.95" customHeight="1"/>
    <row r="319" s="3" customFormat="1" ht="22.95" customHeight="1"/>
    <row r="320" s="3" customFormat="1" ht="22.95" customHeight="1"/>
    <row r="321" s="3" customFormat="1" ht="22.95" customHeight="1"/>
    <row r="322" s="3" customFormat="1" ht="22.95" customHeight="1"/>
    <row r="323" s="3" customFormat="1" ht="22.95" customHeight="1"/>
    <row r="324" s="3" customFormat="1" ht="22.95" customHeight="1"/>
    <row r="325" s="3" customFormat="1" ht="22.95" customHeight="1"/>
    <row r="326" s="3" customFormat="1" ht="22.95" customHeight="1"/>
    <row r="327" s="3" customFormat="1" ht="22.95" customHeight="1"/>
    <row r="328" s="3" customFormat="1" ht="22.95" customHeight="1"/>
    <row r="329" s="3" customFormat="1" ht="22.95" customHeight="1"/>
    <row r="330" s="3" customFormat="1" ht="22.95" customHeight="1"/>
    <row r="331" s="3" customFormat="1" ht="22.95" customHeight="1"/>
    <row r="332" s="3" customFormat="1" ht="22.95" customHeight="1"/>
    <row r="333" s="3" customFormat="1" ht="22.95" customHeight="1"/>
    <row r="334" s="3" customFormat="1" ht="22.95" customHeight="1"/>
    <row r="335" s="3" customFormat="1" ht="22.95" customHeight="1"/>
    <row r="336" s="3" customFormat="1" ht="22.95" customHeight="1"/>
    <row r="337" s="3" customFormat="1" ht="22.95" customHeight="1"/>
    <row r="338" s="3" customFormat="1" ht="22.95" customHeight="1"/>
    <row r="339" s="3" customFormat="1" ht="22.95" customHeight="1"/>
    <row r="340" s="3" customFormat="1" ht="22.95" customHeight="1"/>
    <row r="341" s="3" customFormat="1" ht="22.95" customHeight="1"/>
    <row r="342" s="3" customFormat="1" ht="22.95" customHeight="1"/>
    <row r="343" s="3" customFormat="1" ht="22.95" customHeight="1"/>
    <row r="344" s="3" customFormat="1" ht="22.95" customHeight="1"/>
  </sheetData>
  <mergeCells count="2">
    <mergeCell ref="F6:H6"/>
    <mergeCell ref="F7:H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749961851863155"/>
  </sheetPr>
  <dimension ref="B1:DU229"/>
  <sheetViews>
    <sheetView workbookViewId="0"/>
  </sheetViews>
  <sheetFormatPr baseColWidth="10" defaultColWidth="10.796875" defaultRowHeight="13.8"/>
  <cols>
    <col min="1" max="2" width="2.5" style="2" customWidth="1"/>
    <col min="3" max="3" width="36.69921875" style="2" customWidth="1"/>
    <col min="4" max="4" width="12.69921875" style="2" customWidth="1"/>
    <col min="5" max="44" width="11" style="2" customWidth="1"/>
    <col min="45" max="45" width="11.69921875" style="2" customWidth="1"/>
    <col min="46" max="49" width="10.796875" style="2" customWidth="1"/>
    <col min="50" max="16384" width="10.796875" style="2"/>
  </cols>
  <sheetData>
    <row r="1" spans="3:125" s="3" customFormat="1" ht="22.95" customHeight="1"/>
    <row r="2" spans="3:125" s="3" customFormat="1" ht="22.95" customHeight="1"/>
    <row r="3" spans="3:125" s="3" customFormat="1" ht="22.95" customHeight="1">
      <c r="D3" s="57" t="s">
        <v>83</v>
      </c>
      <c r="E3" s="3">
        <f t="shared" ref="E3:AJ3" si="0">YEAR(E4)</f>
        <v>2026</v>
      </c>
      <c r="F3" s="3">
        <f t="shared" si="0"/>
        <v>2027</v>
      </c>
      <c r="G3" s="3">
        <f t="shared" si="0"/>
        <v>2027</v>
      </c>
      <c r="H3" s="3">
        <f t="shared" si="0"/>
        <v>2027</v>
      </c>
      <c r="I3" s="3">
        <f t="shared" si="0"/>
        <v>2027</v>
      </c>
      <c r="J3" s="3">
        <f t="shared" si="0"/>
        <v>2027</v>
      </c>
      <c r="K3" s="3">
        <f t="shared" si="0"/>
        <v>2027</v>
      </c>
      <c r="L3" s="3">
        <f t="shared" si="0"/>
        <v>2027</v>
      </c>
      <c r="M3" s="3">
        <f t="shared" si="0"/>
        <v>2027</v>
      </c>
      <c r="N3" s="3">
        <f t="shared" si="0"/>
        <v>2027</v>
      </c>
      <c r="O3" s="3">
        <f t="shared" si="0"/>
        <v>2027</v>
      </c>
      <c r="P3" s="3">
        <f t="shared" si="0"/>
        <v>2027</v>
      </c>
      <c r="Q3" s="3">
        <f t="shared" si="0"/>
        <v>2027</v>
      </c>
      <c r="R3" s="3">
        <f t="shared" si="0"/>
        <v>2028</v>
      </c>
      <c r="S3" s="3">
        <f t="shared" si="0"/>
        <v>2028</v>
      </c>
      <c r="T3" s="3">
        <f t="shared" si="0"/>
        <v>2028</v>
      </c>
      <c r="U3" s="3">
        <f t="shared" si="0"/>
        <v>2028</v>
      </c>
      <c r="V3" s="3">
        <f t="shared" si="0"/>
        <v>2028</v>
      </c>
      <c r="W3" s="3">
        <f t="shared" si="0"/>
        <v>2028</v>
      </c>
      <c r="X3" s="3">
        <f t="shared" si="0"/>
        <v>2028</v>
      </c>
      <c r="Y3" s="3">
        <f t="shared" si="0"/>
        <v>2028</v>
      </c>
      <c r="Z3" s="3">
        <f t="shared" si="0"/>
        <v>2028</v>
      </c>
      <c r="AA3" s="3">
        <f t="shared" si="0"/>
        <v>2028</v>
      </c>
      <c r="AB3" s="3">
        <f t="shared" si="0"/>
        <v>2028</v>
      </c>
      <c r="AC3" s="3">
        <f t="shared" si="0"/>
        <v>2028</v>
      </c>
      <c r="AD3" s="3">
        <f t="shared" si="0"/>
        <v>2029</v>
      </c>
      <c r="AE3" s="3">
        <f t="shared" si="0"/>
        <v>2029</v>
      </c>
      <c r="AF3" s="3">
        <f t="shared" si="0"/>
        <v>2029</v>
      </c>
      <c r="AG3" s="3">
        <f t="shared" si="0"/>
        <v>2029</v>
      </c>
      <c r="AH3" s="3">
        <f t="shared" si="0"/>
        <v>2029</v>
      </c>
      <c r="AI3" s="3">
        <f t="shared" si="0"/>
        <v>2029</v>
      </c>
      <c r="AJ3" s="3">
        <f t="shared" si="0"/>
        <v>2029</v>
      </c>
      <c r="AK3" s="3">
        <f t="shared" ref="AK3:BP3" si="1">YEAR(AK4)</f>
        <v>2029</v>
      </c>
      <c r="AL3" s="3">
        <f t="shared" si="1"/>
        <v>2029</v>
      </c>
      <c r="AM3" s="3">
        <f t="shared" si="1"/>
        <v>2029</v>
      </c>
      <c r="AN3" s="3">
        <f t="shared" si="1"/>
        <v>2029</v>
      </c>
      <c r="AO3" s="3">
        <f t="shared" si="1"/>
        <v>2029</v>
      </c>
      <c r="AP3" s="3">
        <f t="shared" si="1"/>
        <v>2030</v>
      </c>
      <c r="AQ3" s="3">
        <f t="shared" si="1"/>
        <v>2030</v>
      </c>
      <c r="AR3" s="3">
        <f t="shared" si="1"/>
        <v>2030</v>
      </c>
      <c r="AS3" s="3">
        <f t="shared" si="1"/>
        <v>2030</v>
      </c>
      <c r="AT3" s="3">
        <f t="shared" si="1"/>
        <v>2030</v>
      </c>
      <c r="AU3" s="3">
        <f t="shared" si="1"/>
        <v>2030</v>
      </c>
      <c r="AV3" s="3">
        <f t="shared" si="1"/>
        <v>2030</v>
      </c>
      <c r="AW3" s="3">
        <f t="shared" si="1"/>
        <v>2030</v>
      </c>
      <c r="AX3" s="3">
        <f t="shared" si="1"/>
        <v>2030</v>
      </c>
      <c r="AY3" s="3">
        <f t="shared" si="1"/>
        <v>2030</v>
      </c>
      <c r="AZ3" s="3">
        <f t="shared" si="1"/>
        <v>2030</v>
      </c>
      <c r="BA3" s="3">
        <f t="shared" si="1"/>
        <v>2030</v>
      </c>
      <c r="BB3" s="3">
        <f t="shared" si="1"/>
        <v>2031</v>
      </c>
      <c r="BC3" s="3">
        <f t="shared" si="1"/>
        <v>2031</v>
      </c>
      <c r="BD3" s="3">
        <f t="shared" si="1"/>
        <v>2031</v>
      </c>
      <c r="BE3" s="3">
        <f t="shared" si="1"/>
        <v>2031</v>
      </c>
      <c r="BF3" s="3">
        <f t="shared" si="1"/>
        <v>2031</v>
      </c>
      <c r="BG3" s="3">
        <f t="shared" si="1"/>
        <v>2031</v>
      </c>
      <c r="BH3" s="3">
        <f t="shared" si="1"/>
        <v>2031</v>
      </c>
      <c r="BI3" s="3">
        <f t="shared" si="1"/>
        <v>2031</v>
      </c>
      <c r="BJ3" s="3">
        <f t="shared" si="1"/>
        <v>2031</v>
      </c>
      <c r="BK3" s="3">
        <f t="shared" si="1"/>
        <v>2031</v>
      </c>
      <c r="BL3" s="3">
        <f t="shared" si="1"/>
        <v>2031</v>
      </c>
      <c r="BM3" s="3">
        <f t="shared" si="1"/>
        <v>2031</v>
      </c>
      <c r="BN3" s="3">
        <f t="shared" si="1"/>
        <v>2032</v>
      </c>
      <c r="BO3" s="3">
        <f t="shared" si="1"/>
        <v>2032</v>
      </c>
      <c r="BP3" s="3">
        <f t="shared" si="1"/>
        <v>2032</v>
      </c>
      <c r="BQ3" s="3">
        <f t="shared" ref="BQ3:CV3" si="2">YEAR(BQ4)</f>
        <v>2032</v>
      </c>
      <c r="BR3" s="3">
        <f t="shared" si="2"/>
        <v>2032</v>
      </c>
      <c r="BS3" s="3">
        <f t="shared" si="2"/>
        <v>2032</v>
      </c>
      <c r="BT3" s="3">
        <f t="shared" si="2"/>
        <v>2032</v>
      </c>
      <c r="BU3" s="3">
        <f t="shared" si="2"/>
        <v>2032</v>
      </c>
      <c r="BV3" s="3">
        <f t="shared" si="2"/>
        <v>2032</v>
      </c>
      <c r="BW3" s="3">
        <f t="shared" si="2"/>
        <v>2032</v>
      </c>
      <c r="BX3" s="3">
        <f t="shared" si="2"/>
        <v>2032</v>
      </c>
      <c r="BY3" s="3">
        <f t="shared" si="2"/>
        <v>2032</v>
      </c>
      <c r="BZ3" s="3">
        <f t="shared" si="2"/>
        <v>2033</v>
      </c>
      <c r="CA3" s="3">
        <f t="shared" si="2"/>
        <v>2033</v>
      </c>
      <c r="CB3" s="3">
        <f t="shared" si="2"/>
        <v>2033</v>
      </c>
      <c r="CC3" s="3">
        <f t="shared" si="2"/>
        <v>2033</v>
      </c>
      <c r="CD3" s="3">
        <f t="shared" si="2"/>
        <v>2033</v>
      </c>
      <c r="CE3" s="3">
        <f t="shared" si="2"/>
        <v>2033</v>
      </c>
      <c r="CF3" s="3">
        <f t="shared" si="2"/>
        <v>2033</v>
      </c>
      <c r="CG3" s="3">
        <f t="shared" si="2"/>
        <v>2033</v>
      </c>
      <c r="CH3" s="3">
        <f t="shared" si="2"/>
        <v>2033</v>
      </c>
      <c r="CI3" s="3">
        <f t="shared" si="2"/>
        <v>2033</v>
      </c>
      <c r="CJ3" s="3">
        <f t="shared" si="2"/>
        <v>2033</v>
      </c>
      <c r="CK3" s="3">
        <f t="shared" si="2"/>
        <v>2033</v>
      </c>
      <c r="CL3" s="3">
        <f t="shared" si="2"/>
        <v>2034</v>
      </c>
      <c r="CM3" s="3">
        <f t="shared" si="2"/>
        <v>2034</v>
      </c>
      <c r="CN3" s="3">
        <f t="shared" si="2"/>
        <v>2034</v>
      </c>
      <c r="CO3" s="3">
        <f t="shared" si="2"/>
        <v>2034</v>
      </c>
      <c r="CP3" s="3">
        <f t="shared" si="2"/>
        <v>2034</v>
      </c>
      <c r="CQ3" s="3">
        <f t="shared" si="2"/>
        <v>2034</v>
      </c>
      <c r="CR3" s="3">
        <f t="shared" si="2"/>
        <v>2034</v>
      </c>
      <c r="CS3" s="3">
        <f t="shared" si="2"/>
        <v>2034</v>
      </c>
      <c r="CT3" s="3">
        <f t="shared" si="2"/>
        <v>2034</v>
      </c>
      <c r="CU3" s="3">
        <f t="shared" si="2"/>
        <v>2034</v>
      </c>
      <c r="CV3" s="3">
        <f t="shared" si="2"/>
        <v>2034</v>
      </c>
      <c r="CW3" s="3">
        <f t="shared" ref="CW3:DU3" si="3">YEAR(CW4)</f>
        <v>2034</v>
      </c>
      <c r="CX3" s="3">
        <f t="shared" si="3"/>
        <v>2035</v>
      </c>
      <c r="CY3" s="3">
        <f t="shared" si="3"/>
        <v>2035</v>
      </c>
      <c r="CZ3" s="3">
        <f t="shared" si="3"/>
        <v>2035</v>
      </c>
      <c r="DA3" s="3">
        <f t="shared" si="3"/>
        <v>2035</v>
      </c>
      <c r="DB3" s="3">
        <f t="shared" si="3"/>
        <v>2035</v>
      </c>
      <c r="DC3" s="3">
        <f t="shared" si="3"/>
        <v>2035</v>
      </c>
      <c r="DD3" s="3">
        <f t="shared" si="3"/>
        <v>2035</v>
      </c>
      <c r="DE3" s="3">
        <f t="shared" si="3"/>
        <v>2035</v>
      </c>
      <c r="DF3" s="3">
        <f t="shared" si="3"/>
        <v>2035</v>
      </c>
      <c r="DG3" s="3">
        <f t="shared" si="3"/>
        <v>2035</v>
      </c>
      <c r="DH3" s="3">
        <f t="shared" si="3"/>
        <v>2035</v>
      </c>
      <c r="DI3" s="3">
        <f t="shared" si="3"/>
        <v>2035</v>
      </c>
      <c r="DJ3" s="3">
        <f t="shared" si="3"/>
        <v>2036</v>
      </c>
      <c r="DK3" s="3">
        <f t="shared" si="3"/>
        <v>2036</v>
      </c>
      <c r="DL3" s="3">
        <f t="shared" si="3"/>
        <v>2036</v>
      </c>
      <c r="DM3" s="3">
        <f t="shared" si="3"/>
        <v>2036</v>
      </c>
      <c r="DN3" s="3">
        <f t="shared" si="3"/>
        <v>2036</v>
      </c>
      <c r="DO3" s="3">
        <f t="shared" si="3"/>
        <v>2036</v>
      </c>
      <c r="DP3" s="3">
        <f t="shared" si="3"/>
        <v>2036</v>
      </c>
      <c r="DQ3" s="3">
        <f t="shared" si="3"/>
        <v>2036</v>
      </c>
      <c r="DR3" s="3">
        <f t="shared" si="3"/>
        <v>2036</v>
      </c>
      <c r="DS3" s="3">
        <f t="shared" si="3"/>
        <v>2036</v>
      </c>
      <c r="DT3" s="3">
        <f t="shared" si="3"/>
        <v>2036</v>
      </c>
      <c r="DU3" s="3">
        <f t="shared" si="3"/>
        <v>2036</v>
      </c>
    </row>
    <row r="4" spans="3:125" s="3" customFormat="1" ht="22.95" customHeight="1">
      <c r="C4" s="5" t="s">
        <v>223</v>
      </c>
      <c r="D4" s="23" t="s">
        <v>72</v>
      </c>
      <c r="E4" s="20">
        <f>'Single Project Assumptions'!D11</f>
        <v>46387</v>
      </c>
      <c r="F4" s="20">
        <f t="shared" ref="F4:AK4" si="4">EOMONTH(E4,1)</f>
        <v>46418</v>
      </c>
      <c r="G4" s="20">
        <f t="shared" si="4"/>
        <v>46446</v>
      </c>
      <c r="H4" s="20">
        <f t="shared" si="4"/>
        <v>46477</v>
      </c>
      <c r="I4" s="20">
        <f t="shared" si="4"/>
        <v>46507</v>
      </c>
      <c r="J4" s="20">
        <f t="shared" si="4"/>
        <v>46538</v>
      </c>
      <c r="K4" s="20">
        <f t="shared" si="4"/>
        <v>46568</v>
      </c>
      <c r="L4" s="20">
        <f t="shared" si="4"/>
        <v>46599</v>
      </c>
      <c r="M4" s="20">
        <f t="shared" si="4"/>
        <v>46630</v>
      </c>
      <c r="N4" s="20">
        <f t="shared" si="4"/>
        <v>46660</v>
      </c>
      <c r="O4" s="20">
        <f t="shared" si="4"/>
        <v>46691</v>
      </c>
      <c r="P4" s="20">
        <f t="shared" si="4"/>
        <v>46721</v>
      </c>
      <c r="Q4" s="20">
        <f t="shared" si="4"/>
        <v>46752</v>
      </c>
      <c r="R4" s="20">
        <f t="shared" si="4"/>
        <v>46783</v>
      </c>
      <c r="S4" s="20">
        <f t="shared" si="4"/>
        <v>46812</v>
      </c>
      <c r="T4" s="20">
        <f t="shared" si="4"/>
        <v>46843</v>
      </c>
      <c r="U4" s="20">
        <f t="shared" si="4"/>
        <v>46873</v>
      </c>
      <c r="V4" s="20">
        <f t="shared" si="4"/>
        <v>46904</v>
      </c>
      <c r="W4" s="20">
        <f t="shared" si="4"/>
        <v>46934</v>
      </c>
      <c r="X4" s="20">
        <f t="shared" si="4"/>
        <v>46965</v>
      </c>
      <c r="Y4" s="20">
        <f t="shared" si="4"/>
        <v>46996</v>
      </c>
      <c r="Z4" s="20">
        <f t="shared" si="4"/>
        <v>47026</v>
      </c>
      <c r="AA4" s="20">
        <f t="shared" si="4"/>
        <v>47057</v>
      </c>
      <c r="AB4" s="20">
        <f t="shared" si="4"/>
        <v>47087</v>
      </c>
      <c r="AC4" s="20">
        <f t="shared" si="4"/>
        <v>47118</v>
      </c>
      <c r="AD4" s="20">
        <f t="shared" si="4"/>
        <v>47149</v>
      </c>
      <c r="AE4" s="20">
        <f t="shared" si="4"/>
        <v>47177</v>
      </c>
      <c r="AF4" s="20">
        <f t="shared" si="4"/>
        <v>47208</v>
      </c>
      <c r="AG4" s="20">
        <f t="shared" si="4"/>
        <v>47238</v>
      </c>
      <c r="AH4" s="20">
        <f t="shared" si="4"/>
        <v>47269</v>
      </c>
      <c r="AI4" s="20">
        <f t="shared" si="4"/>
        <v>47299</v>
      </c>
      <c r="AJ4" s="20">
        <f t="shared" si="4"/>
        <v>47330</v>
      </c>
      <c r="AK4" s="20">
        <f t="shared" si="4"/>
        <v>47361</v>
      </c>
      <c r="AL4" s="20">
        <f t="shared" ref="AL4:BQ4" si="5">EOMONTH(AK4,1)</f>
        <v>47391</v>
      </c>
      <c r="AM4" s="20">
        <f t="shared" si="5"/>
        <v>47422</v>
      </c>
      <c r="AN4" s="20">
        <f t="shared" si="5"/>
        <v>47452</v>
      </c>
      <c r="AO4" s="20">
        <f t="shared" si="5"/>
        <v>47483</v>
      </c>
      <c r="AP4" s="20">
        <f t="shared" si="5"/>
        <v>47514</v>
      </c>
      <c r="AQ4" s="20">
        <f t="shared" si="5"/>
        <v>47542</v>
      </c>
      <c r="AR4" s="20">
        <f t="shared" si="5"/>
        <v>47573</v>
      </c>
      <c r="AS4" s="20">
        <f t="shared" si="5"/>
        <v>47603</v>
      </c>
      <c r="AT4" s="20">
        <f t="shared" si="5"/>
        <v>47634</v>
      </c>
      <c r="AU4" s="20">
        <f t="shared" si="5"/>
        <v>47664</v>
      </c>
      <c r="AV4" s="20">
        <f t="shared" si="5"/>
        <v>47695</v>
      </c>
      <c r="AW4" s="20">
        <f t="shared" si="5"/>
        <v>47726</v>
      </c>
      <c r="AX4" s="20">
        <f t="shared" si="5"/>
        <v>47756</v>
      </c>
      <c r="AY4" s="20">
        <f t="shared" si="5"/>
        <v>47787</v>
      </c>
      <c r="AZ4" s="20">
        <f t="shared" si="5"/>
        <v>47817</v>
      </c>
      <c r="BA4" s="20">
        <f t="shared" si="5"/>
        <v>47848</v>
      </c>
      <c r="BB4" s="20">
        <f t="shared" si="5"/>
        <v>47879</v>
      </c>
      <c r="BC4" s="20">
        <f t="shared" si="5"/>
        <v>47907</v>
      </c>
      <c r="BD4" s="20">
        <f t="shared" si="5"/>
        <v>47938</v>
      </c>
      <c r="BE4" s="20">
        <f t="shared" si="5"/>
        <v>47968</v>
      </c>
      <c r="BF4" s="20">
        <f t="shared" si="5"/>
        <v>47999</v>
      </c>
      <c r="BG4" s="20">
        <f t="shared" si="5"/>
        <v>48029</v>
      </c>
      <c r="BH4" s="20">
        <f t="shared" si="5"/>
        <v>48060</v>
      </c>
      <c r="BI4" s="20">
        <f t="shared" si="5"/>
        <v>48091</v>
      </c>
      <c r="BJ4" s="20">
        <f t="shared" si="5"/>
        <v>48121</v>
      </c>
      <c r="BK4" s="20">
        <f t="shared" si="5"/>
        <v>48152</v>
      </c>
      <c r="BL4" s="20">
        <f t="shared" si="5"/>
        <v>48182</v>
      </c>
      <c r="BM4" s="20">
        <f t="shared" si="5"/>
        <v>48213</v>
      </c>
      <c r="BN4" s="20">
        <f t="shared" si="5"/>
        <v>48244</v>
      </c>
      <c r="BO4" s="20">
        <f t="shared" si="5"/>
        <v>48273</v>
      </c>
      <c r="BP4" s="20">
        <f t="shared" si="5"/>
        <v>48304</v>
      </c>
      <c r="BQ4" s="20">
        <f t="shared" si="5"/>
        <v>48334</v>
      </c>
      <c r="BR4" s="20">
        <f t="shared" ref="BR4:CW4" si="6">EOMONTH(BQ4,1)</f>
        <v>48365</v>
      </c>
      <c r="BS4" s="20">
        <f t="shared" si="6"/>
        <v>48395</v>
      </c>
      <c r="BT4" s="20">
        <f t="shared" si="6"/>
        <v>48426</v>
      </c>
      <c r="BU4" s="20">
        <f t="shared" si="6"/>
        <v>48457</v>
      </c>
      <c r="BV4" s="20">
        <f t="shared" si="6"/>
        <v>48487</v>
      </c>
      <c r="BW4" s="20">
        <f t="shared" si="6"/>
        <v>48518</v>
      </c>
      <c r="BX4" s="20">
        <f t="shared" si="6"/>
        <v>48548</v>
      </c>
      <c r="BY4" s="20">
        <f t="shared" si="6"/>
        <v>48579</v>
      </c>
      <c r="BZ4" s="20">
        <f t="shared" si="6"/>
        <v>48610</v>
      </c>
      <c r="CA4" s="20">
        <f t="shared" si="6"/>
        <v>48638</v>
      </c>
      <c r="CB4" s="20">
        <f t="shared" si="6"/>
        <v>48669</v>
      </c>
      <c r="CC4" s="20">
        <f t="shared" si="6"/>
        <v>48699</v>
      </c>
      <c r="CD4" s="20">
        <f t="shared" si="6"/>
        <v>48730</v>
      </c>
      <c r="CE4" s="20">
        <f t="shared" si="6"/>
        <v>48760</v>
      </c>
      <c r="CF4" s="20">
        <f t="shared" si="6"/>
        <v>48791</v>
      </c>
      <c r="CG4" s="20">
        <f t="shared" si="6"/>
        <v>48822</v>
      </c>
      <c r="CH4" s="20">
        <f t="shared" si="6"/>
        <v>48852</v>
      </c>
      <c r="CI4" s="20">
        <f t="shared" si="6"/>
        <v>48883</v>
      </c>
      <c r="CJ4" s="20">
        <f t="shared" si="6"/>
        <v>48913</v>
      </c>
      <c r="CK4" s="20">
        <f t="shared" si="6"/>
        <v>48944</v>
      </c>
      <c r="CL4" s="20">
        <f t="shared" si="6"/>
        <v>48975</v>
      </c>
      <c r="CM4" s="20">
        <f t="shared" si="6"/>
        <v>49003</v>
      </c>
      <c r="CN4" s="20">
        <f t="shared" si="6"/>
        <v>49034</v>
      </c>
      <c r="CO4" s="20">
        <f t="shared" si="6"/>
        <v>49064</v>
      </c>
      <c r="CP4" s="20">
        <f t="shared" si="6"/>
        <v>49095</v>
      </c>
      <c r="CQ4" s="20">
        <f t="shared" si="6"/>
        <v>49125</v>
      </c>
      <c r="CR4" s="20">
        <f t="shared" si="6"/>
        <v>49156</v>
      </c>
      <c r="CS4" s="20">
        <f t="shared" si="6"/>
        <v>49187</v>
      </c>
      <c r="CT4" s="20">
        <f t="shared" si="6"/>
        <v>49217</v>
      </c>
      <c r="CU4" s="20">
        <f t="shared" si="6"/>
        <v>49248</v>
      </c>
      <c r="CV4" s="20">
        <f t="shared" si="6"/>
        <v>49278</v>
      </c>
      <c r="CW4" s="20">
        <f t="shared" si="6"/>
        <v>49309</v>
      </c>
      <c r="CX4" s="20">
        <f t="shared" ref="CX4:DU4" si="7">EOMONTH(CW4,1)</f>
        <v>49340</v>
      </c>
      <c r="CY4" s="20">
        <f t="shared" si="7"/>
        <v>49368</v>
      </c>
      <c r="CZ4" s="20">
        <f t="shared" si="7"/>
        <v>49399</v>
      </c>
      <c r="DA4" s="20">
        <f t="shared" si="7"/>
        <v>49429</v>
      </c>
      <c r="DB4" s="20">
        <f t="shared" si="7"/>
        <v>49460</v>
      </c>
      <c r="DC4" s="20">
        <f t="shared" si="7"/>
        <v>49490</v>
      </c>
      <c r="DD4" s="20">
        <f t="shared" si="7"/>
        <v>49521</v>
      </c>
      <c r="DE4" s="20">
        <f t="shared" si="7"/>
        <v>49552</v>
      </c>
      <c r="DF4" s="20">
        <f t="shared" si="7"/>
        <v>49582</v>
      </c>
      <c r="DG4" s="20">
        <f t="shared" si="7"/>
        <v>49613</v>
      </c>
      <c r="DH4" s="20">
        <f t="shared" si="7"/>
        <v>49643</v>
      </c>
      <c r="DI4" s="20">
        <f t="shared" si="7"/>
        <v>49674</v>
      </c>
      <c r="DJ4" s="20">
        <f t="shared" si="7"/>
        <v>49705</v>
      </c>
      <c r="DK4" s="20">
        <f t="shared" si="7"/>
        <v>49734</v>
      </c>
      <c r="DL4" s="20">
        <f t="shared" si="7"/>
        <v>49765</v>
      </c>
      <c r="DM4" s="20">
        <f t="shared" si="7"/>
        <v>49795</v>
      </c>
      <c r="DN4" s="20">
        <f t="shared" si="7"/>
        <v>49826</v>
      </c>
      <c r="DO4" s="20">
        <f t="shared" si="7"/>
        <v>49856</v>
      </c>
      <c r="DP4" s="20">
        <f t="shared" si="7"/>
        <v>49887</v>
      </c>
      <c r="DQ4" s="20">
        <f t="shared" si="7"/>
        <v>49918</v>
      </c>
      <c r="DR4" s="20">
        <f t="shared" si="7"/>
        <v>49948</v>
      </c>
      <c r="DS4" s="20">
        <f t="shared" si="7"/>
        <v>49979</v>
      </c>
      <c r="DT4" s="20">
        <f t="shared" si="7"/>
        <v>50009</v>
      </c>
      <c r="DU4" s="20">
        <f t="shared" si="7"/>
        <v>50040</v>
      </c>
    </row>
    <row r="5" spans="3:125" s="3" customFormat="1" ht="22.95" customHeight="1">
      <c r="D5" s="24"/>
    </row>
    <row r="6" spans="3:125" s="3" customFormat="1" ht="22.95" customHeight="1">
      <c r="C6" s="60" t="s">
        <v>224</v>
      </c>
      <c r="D6" s="24"/>
    </row>
    <row r="7" spans="3:125" s="3" customFormat="1" ht="22.95" customHeight="1">
      <c r="C7" s="3" t="s">
        <v>28</v>
      </c>
      <c r="D7" s="25">
        <f t="shared" ref="D7:D15" si="8">SUM(E7:DU7)</f>
        <v>-1000000</v>
      </c>
      <c r="E7" s="21">
        <f>IF(E$4='Single Project Assumptions'!$D$11,-'Single Project Assumptions'!$D$48,0)</f>
        <v>-1000000</v>
      </c>
      <c r="F7" s="21">
        <f>IF(F$4='Single Project Assumptions'!$D$11,-'Single Project Assumptions'!$D$48,0)</f>
        <v>0</v>
      </c>
      <c r="G7" s="21">
        <f>IF(G$4='Single Project Assumptions'!$D$11,-'Single Project Assumptions'!$D$48,0)</f>
        <v>0</v>
      </c>
      <c r="H7" s="21">
        <f>IF(H$4='Single Project Assumptions'!$D$11,-'Single Project Assumptions'!$D$48,0)</f>
        <v>0</v>
      </c>
      <c r="I7" s="21">
        <f>IF(I$4='Single Project Assumptions'!$D$11,-'Single Project Assumptions'!$D$48,0)</f>
        <v>0</v>
      </c>
      <c r="J7" s="21">
        <f>IF(J$4='Single Project Assumptions'!$D$11,-'Single Project Assumptions'!$D$48,0)</f>
        <v>0</v>
      </c>
      <c r="K7" s="21">
        <f>IF(K$4='Single Project Assumptions'!$D$11,-'Single Project Assumptions'!$D$48,0)</f>
        <v>0</v>
      </c>
      <c r="L7" s="21">
        <f>IF(L$4='Single Project Assumptions'!$D$11,-'Single Project Assumptions'!$D$48,0)</f>
        <v>0</v>
      </c>
      <c r="M7" s="21">
        <f>IF(M$4='Single Project Assumptions'!$D$11,-'Single Project Assumptions'!$D$48,0)</f>
        <v>0</v>
      </c>
      <c r="N7" s="21">
        <f>IF(N$4='Single Project Assumptions'!$D$11,-'Single Project Assumptions'!$D$48,0)</f>
        <v>0</v>
      </c>
      <c r="O7" s="21">
        <f>IF(O$4='Single Project Assumptions'!$D$11,-'Single Project Assumptions'!$D$48,0)</f>
        <v>0</v>
      </c>
      <c r="P7" s="21">
        <f>IF(P$4='Single Project Assumptions'!$D$11,-'Single Project Assumptions'!$D$48,0)</f>
        <v>0</v>
      </c>
      <c r="Q7" s="21">
        <f>IF(Q$4='Single Project Assumptions'!$D$11,-'Single Project Assumptions'!$D$48,0)</f>
        <v>0</v>
      </c>
      <c r="R7" s="21">
        <f>IF(R$4='Single Project Assumptions'!$D$11,-'Single Project Assumptions'!$D$48,0)</f>
        <v>0</v>
      </c>
      <c r="S7" s="21">
        <f>IF(S$4='Single Project Assumptions'!$D$11,-'Single Project Assumptions'!$D$48,0)</f>
        <v>0</v>
      </c>
      <c r="T7" s="21">
        <f>IF(T$4='Single Project Assumptions'!$D$11,-'Single Project Assumptions'!$D$48,0)</f>
        <v>0</v>
      </c>
      <c r="U7" s="21">
        <f>IF(U$4='Single Project Assumptions'!$D$11,-'Single Project Assumptions'!$D$48,0)</f>
        <v>0</v>
      </c>
      <c r="V7" s="21">
        <f>IF(V$4='Single Project Assumptions'!$D$11,-'Single Project Assumptions'!$D$48,0)</f>
        <v>0</v>
      </c>
      <c r="W7" s="21">
        <f>IF(W$4='Single Project Assumptions'!$D$11,-'Single Project Assumptions'!$D$48,0)</f>
        <v>0</v>
      </c>
      <c r="X7" s="21">
        <f>IF(X$4='Single Project Assumptions'!$D$11,-'Single Project Assumptions'!$D$48,0)</f>
        <v>0</v>
      </c>
      <c r="Y7" s="21">
        <f>IF(Y$4='Single Project Assumptions'!$D$11,-'Single Project Assumptions'!$D$48,0)</f>
        <v>0</v>
      </c>
      <c r="Z7" s="21">
        <f>IF(Z$4='Single Project Assumptions'!$D$11,-'Single Project Assumptions'!$D$48,0)</f>
        <v>0</v>
      </c>
      <c r="AA7" s="21">
        <f>IF(AA$4='Single Project Assumptions'!$D$11,-'Single Project Assumptions'!$D$48,0)</f>
        <v>0</v>
      </c>
      <c r="AB7" s="21">
        <f>IF(AB$4='Single Project Assumptions'!$D$11,-'Single Project Assumptions'!$D$48,0)</f>
        <v>0</v>
      </c>
      <c r="AC7" s="21">
        <f>IF(AC$4='Single Project Assumptions'!$D$11,-'Single Project Assumptions'!$D$48,0)</f>
        <v>0</v>
      </c>
      <c r="AD7" s="21">
        <f>IF(AD$4='Single Project Assumptions'!$D$11,-'Single Project Assumptions'!$D$48,0)</f>
        <v>0</v>
      </c>
      <c r="AE7" s="21">
        <f>IF(AE$4='Single Project Assumptions'!$D$11,-'Single Project Assumptions'!$D$48,0)</f>
        <v>0</v>
      </c>
      <c r="AF7" s="21">
        <f>IF(AF$4='Single Project Assumptions'!$D$11,-'Single Project Assumptions'!$D$48,0)</f>
        <v>0</v>
      </c>
      <c r="AG7" s="21">
        <f>IF(AG$4='Single Project Assumptions'!$D$11,-'Single Project Assumptions'!$D$48,0)</f>
        <v>0</v>
      </c>
      <c r="AH7" s="21">
        <f>IF(AH$4='Single Project Assumptions'!$D$11,-'Single Project Assumptions'!$D$48,0)</f>
        <v>0</v>
      </c>
      <c r="AI7" s="21">
        <f>IF(AI$4='Single Project Assumptions'!$D$11,-'Single Project Assumptions'!$D$48,0)</f>
        <v>0</v>
      </c>
      <c r="AJ7" s="21">
        <f>IF(AJ$4='Single Project Assumptions'!$D$11,-'Single Project Assumptions'!$D$48,0)</f>
        <v>0</v>
      </c>
      <c r="AK7" s="21">
        <f>IF(AK$4='Single Project Assumptions'!$D$11,-'Single Project Assumptions'!$D$48,0)</f>
        <v>0</v>
      </c>
      <c r="AL7" s="21">
        <f>IF(AL$4='Single Project Assumptions'!$D$11,-'Single Project Assumptions'!$D$48,0)</f>
        <v>0</v>
      </c>
      <c r="AM7" s="21">
        <f>IF(AM$4='Single Project Assumptions'!$D$11,-'Single Project Assumptions'!$D$48,0)</f>
        <v>0</v>
      </c>
      <c r="AN7" s="21">
        <f>IF(AN$4='Single Project Assumptions'!$D$11,-'Single Project Assumptions'!$D$48,0)</f>
        <v>0</v>
      </c>
      <c r="AO7" s="21">
        <f>IF(AO$4='Single Project Assumptions'!$D$11,-'Single Project Assumptions'!$D$48,0)</f>
        <v>0</v>
      </c>
      <c r="AP7" s="21">
        <f>IF(AP$4='Single Project Assumptions'!$D$11,-'Single Project Assumptions'!$D$48,0)</f>
        <v>0</v>
      </c>
      <c r="AQ7" s="21">
        <f>IF(AQ$4='Single Project Assumptions'!$D$11,-'Single Project Assumptions'!$D$48,0)</f>
        <v>0</v>
      </c>
      <c r="AR7" s="21">
        <f>IF(AR$4='Single Project Assumptions'!$D$11,-'Single Project Assumptions'!$D$48,0)</f>
        <v>0</v>
      </c>
      <c r="AS7" s="21">
        <f>IF(AS$4='Single Project Assumptions'!$D$11,-'Single Project Assumptions'!$D$48,0)</f>
        <v>0</v>
      </c>
      <c r="AT7" s="21">
        <f>IF(AT$4='Single Project Assumptions'!$D$11,-'Single Project Assumptions'!$D$48,0)</f>
        <v>0</v>
      </c>
      <c r="AU7" s="21">
        <f>IF(AU$4='Single Project Assumptions'!$D$11,-'Single Project Assumptions'!$D$48,0)</f>
        <v>0</v>
      </c>
      <c r="AV7" s="21">
        <f>IF(AV$4='Single Project Assumptions'!$D$11,-'Single Project Assumptions'!$D$48,0)</f>
        <v>0</v>
      </c>
      <c r="AW7" s="21">
        <f>IF(AW$4='Single Project Assumptions'!$D$11,-'Single Project Assumptions'!$D$48,0)</f>
        <v>0</v>
      </c>
      <c r="AX7" s="21">
        <f>IF(AX$4='Single Project Assumptions'!$D$11,-'Single Project Assumptions'!$D$48,0)</f>
        <v>0</v>
      </c>
      <c r="AY7" s="21">
        <f>IF(AY$4='Single Project Assumptions'!$D$11,-'Single Project Assumptions'!$D$48,0)</f>
        <v>0</v>
      </c>
      <c r="AZ7" s="21">
        <f>IF(AZ$4='Single Project Assumptions'!$D$11,-'Single Project Assumptions'!$D$48,0)</f>
        <v>0</v>
      </c>
      <c r="BA7" s="21">
        <f>IF(BA$4='Single Project Assumptions'!$D$11,-'Single Project Assumptions'!$D$48,0)</f>
        <v>0</v>
      </c>
      <c r="BB7" s="21">
        <f>IF(BB$4='Single Project Assumptions'!$D$11,-'Single Project Assumptions'!$D$48,0)</f>
        <v>0</v>
      </c>
      <c r="BC7" s="21">
        <f>IF(BC$4='Single Project Assumptions'!$D$11,-'Single Project Assumptions'!$D$48,0)</f>
        <v>0</v>
      </c>
      <c r="BD7" s="21">
        <f>IF(BD$4='Single Project Assumptions'!$D$11,-'Single Project Assumptions'!$D$48,0)</f>
        <v>0</v>
      </c>
      <c r="BE7" s="21">
        <f>IF(BE$4='Single Project Assumptions'!$D$11,-'Single Project Assumptions'!$D$48,0)</f>
        <v>0</v>
      </c>
      <c r="BF7" s="21">
        <f>IF(BF$4='Single Project Assumptions'!$D$11,-'Single Project Assumptions'!$D$48,0)</f>
        <v>0</v>
      </c>
      <c r="BG7" s="21">
        <f>IF(BG$4='Single Project Assumptions'!$D$11,-'Single Project Assumptions'!$D$48,0)</f>
        <v>0</v>
      </c>
      <c r="BH7" s="21">
        <f>IF(BH$4='Single Project Assumptions'!$D$11,-'Single Project Assumptions'!$D$48,0)</f>
        <v>0</v>
      </c>
      <c r="BI7" s="21">
        <f>IF(BI$4='Single Project Assumptions'!$D$11,-'Single Project Assumptions'!$D$48,0)</f>
        <v>0</v>
      </c>
      <c r="BJ7" s="21">
        <f>IF(BJ$4='Single Project Assumptions'!$D$11,-'Single Project Assumptions'!$D$48,0)</f>
        <v>0</v>
      </c>
      <c r="BK7" s="21">
        <f>IF(BK$4='Single Project Assumptions'!$D$11,-'Single Project Assumptions'!$D$48,0)</f>
        <v>0</v>
      </c>
      <c r="BL7" s="21">
        <f>IF(BL$4='Single Project Assumptions'!$D$11,-'Single Project Assumptions'!$D$48,0)</f>
        <v>0</v>
      </c>
      <c r="BM7" s="21">
        <f>IF(BM$4='Single Project Assumptions'!$D$11,-'Single Project Assumptions'!$D$48,0)</f>
        <v>0</v>
      </c>
      <c r="BN7" s="21">
        <f>IF(BN$4='Single Project Assumptions'!$D$11,-'Single Project Assumptions'!$D$48,0)</f>
        <v>0</v>
      </c>
      <c r="BO7" s="21">
        <f>IF(BO$4='Single Project Assumptions'!$D$11,-'Single Project Assumptions'!$D$48,0)</f>
        <v>0</v>
      </c>
      <c r="BP7" s="21">
        <f>IF(BP$4='Single Project Assumptions'!$D$11,-'Single Project Assumptions'!$D$48,0)</f>
        <v>0</v>
      </c>
      <c r="BQ7" s="21">
        <f>IF(BQ$4='Single Project Assumptions'!$D$11,-'Single Project Assumptions'!$D$48,0)</f>
        <v>0</v>
      </c>
      <c r="BR7" s="21">
        <f>IF(BR$4='Single Project Assumptions'!$D$11,-'Single Project Assumptions'!$D$48,0)</f>
        <v>0</v>
      </c>
      <c r="BS7" s="21">
        <f>IF(BS$4='Single Project Assumptions'!$D$11,-'Single Project Assumptions'!$D$48,0)</f>
        <v>0</v>
      </c>
      <c r="BT7" s="21">
        <f>IF(BT$4='Single Project Assumptions'!$D$11,-'Single Project Assumptions'!$D$48,0)</f>
        <v>0</v>
      </c>
      <c r="BU7" s="21">
        <f>IF(BU$4='Single Project Assumptions'!$D$11,-'Single Project Assumptions'!$D$48,0)</f>
        <v>0</v>
      </c>
      <c r="BV7" s="21">
        <f>IF(BV$4='Single Project Assumptions'!$D$11,-'Single Project Assumptions'!$D$48,0)</f>
        <v>0</v>
      </c>
      <c r="BW7" s="21">
        <f>IF(BW$4='Single Project Assumptions'!$D$11,-'Single Project Assumptions'!$D$48,0)</f>
        <v>0</v>
      </c>
      <c r="BX7" s="21">
        <f>IF(BX$4='Single Project Assumptions'!$D$11,-'Single Project Assumptions'!$D$48,0)</f>
        <v>0</v>
      </c>
      <c r="BY7" s="21">
        <f>IF(BY$4='Single Project Assumptions'!$D$11,-'Single Project Assumptions'!$D$48,0)</f>
        <v>0</v>
      </c>
      <c r="BZ7" s="21">
        <f>IF(BZ$4='Single Project Assumptions'!$D$11,-'Single Project Assumptions'!$D$48,0)</f>
        <v>0</v>
      </c>
      <c r="CA7" s="21">
        <f>IF(CA$4='Single Project Assumptions'!$D$11,-'Single Project Assumptions'!$D$48,0)</f>
        <v>0</v>
      </c>
      <c r="CB7" s="21">
        <f>IF(CB$4='Single Project Assumptions'!$D$11,-'Single Project Assumptions'!$D$48,0)</f>
        <v>0</v>
      </c>
      <c r="CC7" s="21">
        <f>IF(CC$4='Single Project Assumptions'!$D$11,-'Single Project Assumptions'!$D$48,0)</f>
        <v>0</v>
      </c>
      <c r="CD7" s="21">
        <f>IF(CD$4='Single Project Assumptions'!$D$11,-'Single Project Assumptions'!$D$48,0)</f>
        <v>0</v>
      </c>
      <c r="CE7" s="21">
        <f>IF(CE$4='Single Project Assumptions'!$D$11,-'Single Project Assumptions'!$D$48,0)</f>
        <v>0</v>
      </c>
      <c r="CF7" s="21">
        <f>IF(CF$4='Single Project Assumptions'!$D$11,-'Single Project Assumptions'!$D$48,0)</f>
        <v>0</v>
      </c>
      <c r="CG7" s="21">
        <f>IF(CG$4='Single Project Assumptions'!$D$11,-'Single Project Assumptions'!$D$48,0)</f>
        <v>0</v>
      </c>
      <c r="CH7" s="21">
        <f>IF(CH$4='Single Project Assumptions'!$D$11,-'Single Project Assumptions'!$D$48,0)</f>
        <v>0</v>
      </c>
      <c r="CI7" s="21">
        <f>IF(CI$4='Single Project Assumptions'!$D$11,-'Single Project Assumptions'!$D$48,0)</f>
        <v>0</v>
      </c>
      <c r="CJ7" s="21">
        <f>IF(CJ$4='Single Project Assumptions'!$D$11,-'Single Project Assumptions'!$D$48,0)</f>
        <v>0</v>
      </c>
      <c r="CK7" s="21">
        <f>IF(CK$4='Single Project Assumptions'!$D$11,-'Single Project Assumptions'!$D$48,0)</f>
        <v>0</v>
      </c>
      <c r="CL7" s="21">
        <f>IF(CL$4='Single Project Assumptions'!$D$11,-'Single Project Assumptions'!$D$48,0)</f>
        <v>0</v>
      </c>
      <c r="CM7" s="21">
        <f>IF(CM$4='Single Project Assumptions'!$D$11,-'Single Project Assumptions'!$D$48,0)</f>
        <v>0</v>
      </c>
      <c r="CN7" s="21">
        <f>IF(CN$4='Single Project Assumptions'!$D$11,-'Single Project Assumptions'!$D$48,0)</f>
        <v>0</v>
      </c>
      <c r="CO7" s="21">
        <f>IF(CO$4='Single Project Assumptions'!$D$11,-'Single Project Assumptions'!$D$48,0)</f>
        <v>0</v>
      </c>
      <c r="CP7" s="21">
        <f>IF(CP$4='Single Project Assumptions'!$D$11,-'Single Project Assumptions'!$D$48,0)</f>
        <v>0</v>
      </c>
      <c r="CQ7" s="21">
        <f>IF(CQ$4='Single Project Assumptions'!$D$11,-'Single Project Assumptions'!$D$48,0)</f>
        <v>0</v>
      </c>
      <c r="CR7" s="21">
        <f>IF(CR$4='Single Project Assumptions'!$D$11,-'Single Project Assumptions'!$D$48,0)</f>
        <v>0</v>
      </c>
      <c r="CS7" s="21">
        <f>IF(CS$4='Single Project Assumptions'!$D$11,-'Single Project Assumptions'!$D$48,0)</f>
        <v>0</v>
      </c>
      <c r="CT7" s="21">
        <f>IF(CT$4='Single Project Assumptions'!$D$11,-'Single Project Assumptions'!$D$48,0)</f>
        <v>0</v>
      </c>
      <c r="CU7" s="21">
        <f>IF(CU$4='Single Project Assumptions'!$D$11,-'Single Project Assumptions'!$D$48,0)</f>
        <v>0</v>
      </c>
      <c r="CV7" s="21">
        <f>IF(CV$4='Single Project Assumptions'!$D$11,-'Single Project Assumptions'!$D$48,0)</f>
        <v>0</v>
      </c>
      <c r="CW7" s="21">
        <f>IF(CW$4='Single Project Assumptions'!$D$11,-'Single Project Assumptions'!$D$48,0)</f>
        <v>0</v>
      </c>
      <c r="CX7" s="21">
        <f>IF(CX$4='Single Project Assumptions'!$D$11,-'Single Project Assumptions'!$D$48,0)</f>
        <v>0</v>
      </c>
      <c r="CY7" s="21">
        <f>IF(CY$4='Single Project Assumptions'!$D$11,-'Single Project Assumptions'!$D$48,0)</f>
        <v>0</v>
      </c>
      <c r="CZ7" s="21">
        <f>IF(CZ$4='Single Project Assumptions'!$D$11,-'Single Project Assumptions'!$D$48,0)</f>
        <v>0</v>
      </c>
      <c r="DA7" s="21">
        <f>IF(DA$4='Single Project Assumptions'!$D$11,-'Single Project Assumptions'!$D$48,0)</f>
        <v>0</v>
      </c>
      <c r="DB7" s="21">
        <f>IF(DB$4='Single Project Assumptions'!$D$11,-'Single Project Assumptions'!$D$48,0)</f>
        <v>0</v>
      </c>
      <c r="DC7" s="21">
        <f>IF(DC$4='Single Project Assumptions'!$D$11,-'Single Project Assumptions'!$D$48,0)</f>
        <v>0</v>
      </c>
      <c r="DD7" s="21">
        <f>IF(DD$4='Single Project Assumptions'!$D$11,-'Single Project Assumptions'!$D$48,0)</f>
        <v>0</v>
      </c>
      <c r="DE7" s="21">
        <f>IF(DE$4='Single Project Assumptions'!$D$11,-'Single Project Assumptions'!$D$48,0)</f>
        <v>0</v>
      </c>
      <c r="DF7" s="21">
        <f>IF(DF$4='Single Project Assumptions'!$D$11,-'Single Project Assumptions'!$D$48,0)</f>
        <v>0</v>
      </c>
      <c r="DG7" s="21">
        <f>IF(DG$4='Single Project Assumptions'!$D$11,-'Single Project Assumptions'!$D$48,0)</f>
        <v>0</v>
      </c>
      <c r="DH7" s="21">
        <f>IF(DH$4='Single Project Assumptions'!$D$11,-'Single Project Assumptions'!$D$48,0)</f>
        <v>0</v>
      </c>
      <c r="DI7" s="21">
        <f>IF(DI$4='Single Project Assumptions'!$D$11,-'Single Project Assumptions'!$D$48,0)</f>
        <v>0</v>
      </c>
      <c r="DJ7" s="21">
        <f>IF(DJ$4='Single Project Assumptions'!$D$11,-'Single Project Assumptions'!$D$48,0)</f>
        <v>0</v>
      </c>
      <c r="DK7" s="21">
        <f>IF(DK$4='Single Project Assumptions'!$D$11,-'Single Project Assumptions'!$D$48,0)</f>
        <v>0</v>
      </c>
      <c r="DL7" s="21">
        <f>IF(DL$4='Single Project Assumptions'!$D$11,-'Single Project Assumptions'!$D$48,0)</f>
        <v>0</v>
      </c>
      <c r="DM7" s="21">
        <f>IF(DM$4='Single Project Assumptions'!$D$11,-'Single Project Assumptions'!$D$48,0)</f>
        <v>0</v>
      </c>
      <c r="DN7" s="21">
        <f>IF(DN$4='Single Project Assumptions'!$D$11,-'Single Project Assumptions'!$D$48,0)</f>
        <v>0</v>
      </c>
      <c r="DO7" s="21">
        <f>IF(DO$4='Single Project Assumptions'!$D$11,-'Single Project Assumptions'!$D$48,0)</f>
        <v>0</v>
      </c>
      <c r="DP7" s="21">
        <f>IF(DP$4='Single Project Assumptions'!$D$11,-'Single Project Assumptions'!$D$48,0)</f>
        <v>0</v>
      </c>
      <c r="DQ7" s="21">
        <f>IF(DQ$4='Single Project Assumptions'!$D$11,-'Single Project Assumptions'!$D$48,0)</f>
        <v>0</v>
      </c>
      <c r="DR7" s="21">
        <f>IF(DR$4='Single Project Assumptions'!$D$11,-'Single Project Assumptions'!$D$48,0)</f>
        <v>0</v>
      </c>
      <c r="DS7" s="21">
        <f>IF(DS$4='Single Project Assumptions'!$D$11,-'Single Project Assumptions'!$D$48,0)</f>
        <v>0</v>
      </c>
      <c r="DT7" s="21">
        <f>IF(DT$4='Single Project Assumptions'!$D$11,-'Single Project Assumptions'!$D$48,0)</f>
        <v>0</v>
      </c>
      <c r="DU7" s="21">
        <f>IF(DU$4='Single Project Assumptions'!$D$11,-'Single Project Assumptions'!$D$48,0)</f>
        <v>0</v>
      </c>
    </row>
    <row r="8" spans="3:125" s="3" customFormat="1" ht="22.95" customHeight="1">
      <c r="C8" s="3" t="s">
        <v>225</v>
      </c>
      <c r="D8" s="25">
        <f t="shared" si="8"/>
        <v>10000</v>
      </c>
      <c r="E8" s="21">
        <f>'Option Phase'!E7</f>
        <v>1666.6666666666667</v>
      </c>
      <c r="F8" s="21">
        <f>'Option Phase'!F7</f>
        <v>1666.6666666666667</v>
      </c>
      <c r="G8" s="21">
        <f>'Option Phase'!G7</f>
        <v>1666.6666666666667</v>
      </c>
      <c r="H8" s="21">
        <f>'Option Phase'!H7</f>
        <v>1666.6666666666667</v>
      </c>
      <c r="I8" s="21">
        <f>'Option Phase'!I7</f>
        <v>1666.6666666666667</v>
      </c>
      <c r="J8" s="21">
        <f>'Option Phase'!J7</f>
        <v>1666.6666666666667</v>
      </c>
      <c r="K8" s="21">
        <f>'Option Phase'!K7</f>
        <v>0</v>
      </c>
      <c r="L8" s="21">
        <f>'Option Phase'!L7</f>
        <v>0</v>
      </c>
      <c r="M8" s="21">
        <f>'Option Phase'!M7</f>
        <v>0</v>
      </c>
      <c r="N8" s="21">
        <f>'Option Phase'!N7</f>
        <v>0</v>
      </c>
      <c r="O8" s="21">
        <f>'Option Phase'!O7</f>
        <v>0</v>
      </c>
      <c r="P8" s="21">
        <f>'Option Phase'!P7</f>
        <v>0</v>
      </c>
      <c r="Q8" s="21">
        <f>'Option Phase'!Q7</f>
        <v>0</v>
      </c>
      <c r="R8" s="21">
        <f>'Option Phase'!R7</f>
        <v>0</v>
      </c>
      <c r="S8" s="21">
        <f>'Option Phase'!S7</f>
        <v>0</v>
      </c>
      <c r="T8" s="21">
        <f>'Option Phase'!T7</f>
        <v>0</v>
      </c>
      <c r="U8" s="21">
        <f>'Option Phase'!U7</f>
        <v>0</v>
      </c>
      <c r="V8" s="21">
        <f>'Option Phase'!V7</f>
        <v>0</v>
      </c>
      <c r="W8" s="21">
        <f>'Option Phase'!W7</f>
        <v>0</v>
      </c>
      <c r="X8" s="21">
        <f>'Option Phase'!X7</f>
        <v>0</v>
      </c>
      <c r="Y8" s="21">
        <f>'Option Phase'!Y7</f>
        <v>0</v>
      </c>
      <c r="Z8" s="21">
        <f>'Option Phase'!Z7</f>
        <v>0</v>
      </c>
      <c r="AA8" s="21">
        <f>'Option Phase'!AA7</f>
        <v>0</v>
      </c>
      <c r="AB8" s="21">
        <f>'Option Phase'!AB7</f>
        <v>0</v>
      </c>
      <c r="AC8" s="21">
        <f>'Option Phase'!AC7</f>
        <v>0</v>
      </c>
      <c r="AD8" s="21">
        <f>'Option Phase'!AD7</f>
        <v>0</v>
      </c>
      <c r="AE8" s="21">
        <f>'Option Phase'!AE7</f>
        <v>0</v>
      </c>
      <c r="AF8" s="21">
        <f>'Option Phase'!AF7</f>
        <v>0</v>
      </c>
      <c r="AG8" s="21">
        <f>'Option Phase'!AG7</f>
        <v>0</v>
      </c>
      <c r="AH8" s="21">
        <f>'Option Phase'!AH7</f>
        <v>0</v>
      </c>
      <c r="AI8" s="21">
        <f>'Option Phase'!AI7</f>
        <v>0</v>
      </c>
      <c r="AJ8" s="21">
        <f>'Option Phase'!AJ7</f>
        <v>0</v>
      </c>
      <c r="AK8" s="21">
        <f>'Option Phase'!AK7</f>
        <v>0</v>
      </c>
      <c r="AL8" s="21">
        <f>'Option Phase'!AL7</f>
        <v>0</v>
      </c>
      <c r="AM8" s="21">
        <f>'Option Phase'!AM7</f>
        <v>0</v>
      </c>
      <c r="AN8" s="21">
        <f>'Option Phase'!AN7</f>
        <v>0</v>
      </c>
      <c r="AO8" s="21">
        <f>'Option Phase'!AO7</f>
        <v>0</v>
      </c>
      <c r="AP8" s="21">
        <f>'Option Phase'!AP7</f>
        <v>0</v>
      </c>
      <c r="AQ8" s="21">
        <f>'Option Phase'!AQ7</f>
        <v>0</v>
      </c>
      <c r="AR8" s="21">
        <f>'Option Phase'!AR7</f>
        <v>0</v>
      </c>
      <c r="AS8" s="21">
        <f>'Option Phase'!AS7</f>
        <v>0</v>
      </c>
      <c r="AT8" s="21">
        <f>'Option Phase'!AT7</f>
        <v>0</v>
      </c>
      <c r="AU8" s="21">
        <f>'Option Phase'!AU7</f>
        <v>0</v>
      </c>
      <c r="AV8" s="21">
        <f>'Option Phase'!AV7</f>
        <v>0</v>
      </c>
      <c r="AW8" s="21">
        <f>'Option Phase'!AW7</f>
        <v>0</v>
      </c>
      <c r="AX8" s="21">
        <f>'Option Phase'!AX7</f>
        <v>0</v>
      </c>
      <c r="AY8" s="21">
        <f>'Option Phase'!AY7</f>
        <v>0</v>
      </c>
      <c r="AZ8" s="21">
        <f>'Option Phase'!AZ7</f>
        <v>0</v>
      </c>
      <c r="BA8" s="21">
        <f>'Option Phase'!BA7</f>
        <v>0</v>
      </c>
      <c r="BB8" s="21">
        <f>'Option Phase'!BB7</f>
        <v>0</v>
      </c>
      <c r="BC8" s="21">
        <f>'Option Phase'!BC7</f>
        <v>0</v>
      </c>
      <c r="BD8" s="21">
        <f>'Option Phase'!BD7</f>
        <v>0</v>
      </c>
      <c r="BE8" s="21">
        <f>'Option Phase'!BE7</f>
        <v>0</v>
      </c>
      <c r="BF8" s="21">
        <f>'Option Phase'!BF7</f>
        <v>0</v>
      </c>
      <c r="BG8" s="21">
        <f>'Option Phase'!BG7</f>
        <v>0</v>
      </c>
      <c r="BH8" s="21">
        <f>'Option Phase'!BH7</f>
        <v>0</v>
      </c>
      <c r="BI8" s="21">
        <f>'Option Phase'!BI7</f>
        <v>0</v>
      </c>
      <c r="BJ8" s="21">
        <f>'Option Phase'!BJ7</f>
        <v>0</v>
      </c>
      <c r="BK8" s="21">
        <f>'Option Phase'!BK7</f>
        <v>0</v>
      </c>
      <c r="BL8" s="21">
        <f>'Option Phase'!BL7</f>
        <v>0</v>
      </c>
      <c r="BM8" s="21">
        <f>'Option Phase'!BM7</f>
        <v>0</v>
      </c>
      <c r="BN8" s="21">
        <f>'Option Phase'!BN7</f>
        <v>0</v>
      </c>
      <c r="BO8" s="21">
        <f>'Option Phase'!BO7</f>
        <v>0</v>
      </c>
      <c r="BP8" s="21">
        <f>'Option Phase'!BP7</f>
        <v>0</v>
      </c>
      <c r="BQ8" s="21">
        <f>'Option Phase'!BQ7</f>
        <v>0</v>
      </c>
      <c r="BR8" s="21">
        <f>'Option Phase'!BR7</f>
        <v>0</v>
      </c>
      <c r="BS8" s="21">
        <f>'Option Phase'!BS7</f>
        <v>0</v>
      </c>
      <c r="BT8" s="21">
        <f>'Option Phase'!BT7</f>
        <v>0</v>
      </c>
      <c r="BU8" s="21">
        <f>'Option Phase'!BU7</f>
        <v>0</v>
      </c>
      <c r="BV8" s="21">
        <f>'Option Phase'!BV7</f>
        <v>0</v>
      </c>
      <c r="BW8" s="21">
        <f>'Option Phase'!BW7</f>
        <v>0</v>
      </c>
      <c r="BX8" s="21">
        <f>'Option Phase'!BX7</f>
        <v>0</v>
      </c>
      <c r="BY8" s="21">
        <f>'Option Phase'!BY7</f>
        <v>0</v>
      </c>
      <c r="BZ8" s="21">
        <f>'Option Phase'!BZ7</f>
        <v>0</v>
      </c>
      <c r="CA8" s="21">
        <f>'Option Phase'!CA7</f>
        <v>0</v>
      </c>
      <c r="CB8" s="21">
        <f>'Option Phase'!CB7</f>
        <v>0</v>
      </c>
      <c r="CC8" s="21">
        <f>'Option Phase'!CC7</f>
        <v>0</v>
      </c>
      <c r="CD8" s="21">
        <f>'Option Phase'!CD7</f>
        <v>0</v>
      </c>
      <c r="CE8" s="21">
        <f>'Option Phase'!CE7</f>
        <v>0</v>
      </c>
      <c r="CF8" s="21">
        <f>'Option Phase'!CF7</f>
        <v>0</v>
      </c>
      <c r="CG8" s="21">
        <f>'Option Phase'!CG7</f>
        <v>0</v>
      </c>
      <c r="CH8" s="21">
        <f>'Option Phase'!CH7</f>
        <v>0</v>
      </c>
      <c r="CI8" s="21">
        <f>'Option Phase'!CI7</f>
        <v>0</v>
      </c>
      <c r="CJ8" s="21">
        <f>'Option Phase'!CJ7</f>
        <v>0</v>
      </c>
      <c r="CK8" s="21">
        <f>'Option Phase'!CK7</f>
        <v>0</v>
      </c>
      <c r="CL8" s="21">
        <f>'Option Phase'!CL7</f>
        <v>0</v>
      </c>
      <c r="CM8" s="21">
        <f>'Option Phase'!CM7</f>
        <v>0</v>
      </c>
      <c r="CN8" s="21">
        <f>'Option Phase'!CN7</f>
        <v>0</v>
      </c>
      <c r="CO8" s="21">
        <f>'Option Phase'!CO7</f>
        <v>0</v>
      </c>
      <c r="CP8" s="21">
        <f>'Option Phase'!CP7</f>
        <v>0</v>
      </c>
      <c r="CQ8" s="21">
        <f>'Option Phase'!CQ7</f>
        <v>0</v>
      </c>
      <c r="CR8" s="21">
        <f>'Option Phase'!CR7</f>
        <v>0</v>
      </c>
      <c r="CS8" s="21">
        <f>'Option Phase'!CS7</f>
        <v>0</v>
      </c>
      <c r="CT8" s="21">
        <f>'Option Phase'!CT7</f>
        <v>0</v>
      </c>
      <c r="CU8" s="21">
        <f>'Option Phase'!CU7</f>
        <v>0</v>
      </c>
      <c r="CV8" s="21">
        <f>'Option Phase'!CV7</f>
        <v>0</v>
      </c>
      <c r="CW8" s="21">
        <f>'Option Phase'!CW7</f>
        <v>0</v>
      </c>
      <c r="CX8" s="21">
        <f>'Option Phase'!CX7</f>
        <v>0</v>
      </c>
      <c r="CY8" s="21">
        <f>'Option Phase'!CY7</f>
        <v>0</v>
      </c>
      <c r="CZ8" s="21">
        <f>'Option Phase'!CZ7</f>
        <v>0</v>
      </c>
      <c r="DA8" s="21">
        <f>'Option Phase'!DA7</f>
        <v>0</v>
      </c>
      <c r="DB8" s="21">
        <f>'Option Phase'!DB7</f>
        <v>0</v>
      </c>
      <c r="DC8" s="21">
        <f>'Option Phase'!DC7</f>
        <v>0</v>
      </c>
      <c r="DD8" s="21">
        <f>'Option Phase'!DD7</f>
        <v>0</v>
      </c>
      <c r="DE8" s="21">
        <f>'Option Phase'!DE7</f>
        <v>0</v>
      </c>
      <c r="DF8" s="21">
        <f>'Option Phase'!DF7</f>
        <v>0</v>
      </c>
      <c r="DG8" s="21">
        <f>'Option Phase'!DG7</f>
        <v>0</v>
      </c>
      <c r="DH8" s="21">
        <f>'Option Phase'!DH7</f>
        <v>0</v>
      </c>
      <c r="DI8" s="21">
        <f>'Option Phase'!DI7</f>
        <v>0</v>
      </c>
      <c r="DJ8" s="21">
        <f>'Option Phase'!DJ7</f>
        <v>0</v>
      </c>
      <c r="DK8" s="21">
        <f>'Option Phase'!DK7</f>
        <v>0</v>
      </c>
      <c r="DL8" s="21">
        <f>'Option Phase'!DL7</f>
        <v>0</v>
      </c>
      <c r="DM8" s="21">
        <f>'Option Phase'!DM7</f>
        <v>0</v>
      </c>
      <c r="DN8" s="21">
        <f>'Option Phase'!DN7</f>
        <v>0</v>
      </c>
      <c r="DO8" s="21">
        <f>'Option Phase'!DO7</f>
        <v>0</v>
      </c>
      <c r="DP8" s="21">
        <f>'Option Phase'!DP7</f>
        <v>0</v>
      </c>
      <c r="DQ8" s="21">
        <f>'Option Phase'!DQ7</f>
        <v>0</v>
      </c>
      <c r="DR8" s="21">
        <f>'Option Phase'!DR7</f>
        <v>0</v>
      </c>
      <c r="DS8" s="21">
        <f>'Option Phase'!DS7</f>
        <v>0</v>
      </c>
      <c r="DT8" s="21">
        <f>'Option Phase'!DT7</f>
        <v>0</v>
      </c>
      <c r="DU8" s="21">
        <f>'Option Phase'!DU7</f>
        <v>0</v>
      </c>
    </row>
    <row r="9" spans="3:125" s="3" customFormat="1" ht="22.95" customHeight="1">
      <c r="C9" s="3" t="s">
        <v>226</v>
      </c>
      <c r="D9" s="25">
        <f t="shared" si="8"/>
        <v>-50000</v>
      </c>
      <c r="E9" s="21">
        <f>'Option Phase'!E8</f>
        <v>-50000</v>
      </c>
      <c r="F9" s="21">
        <f>'Option Phase'!F8</f>
        <v>0</v>
      </c>
      <c r="G9" s="21">
        <f>'Option Phase'!G8</f>
        <v>0</v>
      </c>
      <c r="H9" s="21">
        <f>'Option Phase'!H8</f>
        <v>0</v>
      </c>
      <c r="I9" s="21">
        <f>'Option Phase'!I8</f>
        <v>0</v>
      </c>
      <c r="J9" s="21">
        <f>'Option Phase'!J8</f>
        <v>0</v>
      </c>
      <c r="K9" s="21">
        <f>'Option Phase'!K8</f>
        <v>0</v>
      </c>
      <c r="L9" s="21">
        <f>'Option Phase'!L8</f>
        <v>0</v>
      </c>
      <c r="M9" s="21">
        <f>'Option Phase'!M8</f>
        <v>0</v>
      </c>
      <c r="N9" s="21">
        <f>'Option Phase'!N8</f>
        <v>0</v>
      </c>
      <c r="O9" s="21">
        <f>'Option Phase'!O8</f>
        <v>0</v>
      </c>
      <c r="P9" s="21">
        <f>'Option Phase'!P8</f>
        <v>0</v>
      </c>
      <c r="Q9" s="21">
        <f>'Option Phase'!Q8</f>
        <v>0</v>
      </c>
      <c r="R9" s="21">
        <f>'Option Phase'!R8</f>
        <v>0</v>
      </c>
      <c r="S9" s="21">
        <f>'Option Phase'!S8</f>
        <v>0</v>
      </c>
      <c r="T9" s="21">
        <f>'Option Phase'!T8</f>
        <v>0</v>
      </c>
      <c r="U9" s="21">
        <f>'Option Phase'!U8</f>
        <v>0</v>
      </c>
      <c r="V9" s="21">
        <f>'Option Phase'!V8</f>
        <v>0</v>
      </c>
      <c r="W9" s="21">
        <f>'Option Phase'!W8</f>
        <v>0</v>
      </c>
      <c r="X9" s="21">
        <f>'Option Phase'!X8</f>
        <v>0</v>
      </c>
      <c r="Y9" s="21">
        <f>'Option Phase'!Y8</f>
        <v>0</v>
      </c>
      <c r="Z9" s="21">
        <f>'Option Phase'!Z8</f>
        <v>0</v>
      </c>
      <c r="AA9" s="21">
        <f>'Option Phase'!AA8</f>
        <v>0</v>
      </c>
      <c r="AB9" s="21">
        <f>'Option Phase'!AB8</f>
        <v>0</v>
      </c>
      <c r="AC9" s="21">
        <f>'Option Phase'!AC8</f>
        <v>0</v>
      </c>
      <c r="AD9" s="21">
        <f>'Option Phase'!AD8</f>
        <v>0</v>
      </c>
      <c r="AE9" s="21">
        <f>'Option Phase'!AE8</f>
        <v>0</v>
      </c>
      <c r="AF9" s="21">
        <f>'Option Phase'!AF8</f>
        <v>0</v>
      </c>
      <c r="AG9" s="21">
        <f>'Option Phase'!AG8</f>
        <v>0</v>
      </c>
      <c r="AH9" s="21">
        <f>'Option Phase'!AH8</f>
        <v>0</v>
      </c>
      <c r="AI9" s="21">
        <f>'Option Phase'!AI8</f>
        <v>0</v>
      </c>
      <c r="AJ9" s="21">
        <f>'Option Phase'!AJ8</f>
        <v>0</v>
      </c>
      <c r="AK9" s="21">
        <f>'Option Phase'!AK8</f>
        <v>0</v>
      </c>
      <c r="AL9" s="21">
        <f>'Option Phase'!AL8</f>
        <v>0</v>
      </c>
      <c r="AM9" s="21">
        <f>'Option Phase'!AM8</f>
        <v>0</v>
      </c>
      <c r="AN9" s="21">
        <f>'Option Phase'!AN8</f>
        <v>0</v>
      </c>
      <c r="AO9" s="21">
        <f>'Option Phase'!AO8</f>
        <v>0</v>
      </c>
      <c r="AP9" s="21">
        <f>'Option Phase'!AP8</f>
        <v>0</v>
      </c>
      <c r="AQ9" s="21">
        <f>'Option Phase'!AQ8</f>
        <v>0</v>
      </c>
      <c r="AR9" s="21">
        <f>'Option Phase'!AR8</f>
        <v>0</v>
      </c>
      <c r="AS9" s="21">
        <f>'Option Phase'!AS8</f>
        <v>0</v>
      </c>
      <c r="AT9" s="21">
        <f>'Option Phase'!AT8</f>
        <v>0</v>
      </c>
      <c r="AU9" s="21">
        <f>'Option Phase'!AU8</f>
        <v>0</v>
      </c>
      <c r="AV9" s="21">
        <f>'Option Phase'!AV8</f>
        <v>0</v>
      </c>
      <c r="AW9" s="21">
        <f>'Option Phase'!AW8</f>
        <v>0</v>
      </c>
      <c r="AX9" s="21">
        <f>'Option Phase'!AX8</f>
        <v>0</v>
      </c>
      <c r="AY9" s="21">
        <f>'Option Phase'!AY8</f>
        <v>0</v>
      </c>
      <c r="AZ9" s="21">
        <f>'Option Phase'!AZ8</f>
        <v>0</v>
      </c>
      <c r="BA9" s="21">
        <f>'Option Phase'!BA8</f>
        <v>0</v>
      </c>
      <c r="BB9" s="21">
        <f>'Option Phase'!BB8</f>
        <v>0</v>
      </c>
      <c r="BC9" s="21">
        <f>'Option Phase'!BC8</f>
        <v>0</v>
      </c>
      <c r="BD9" s="21">
        <f>'Option Phase'!BD8</f>
        <v>0</v>
      </c>
      <c r="BE9" s="21">
        <f>'Option Phase'!BE8</f>
        <v>0</v>
      </c>
      <c r="BF9" s="21">
        <f>'Option Phase'!BF8</f>
        <v>0</v>
      </c>
      <c r="BG9" s="21">
        <f>'Option Phase'!BG8</f>
        <v>0</v>
      </c>
      <c r="BH9" s="21">
        <f>'Option Phase'!BH8</f>
        <v>0</v>
      </c>
      <c r="BI9" s="21">
        <f>'Option Phase'!BI8</f>
        <v>0</v>
      </c>
      <c r="BJ9" s="21">
        <f>'Option Phase'!BJ8</f>
        <v>0</v>
      </c>
      <c r="BK9" s="21">
        <f>'Option Phase'!BK8</f>
        <v>0</v>
      </c>
      <c r="BL9" s="21">
        <f>'Option Phase'!BL8</f>
        <v>0</v>
      </c>
      <c r="BM9" s="21">
        <f>'Option Phase'!BM8</f>
        <v>0</v>
      </c>
      <c r="BN9" s="21">
        <f>'Option Phase'!BN8</f>
        <v>0</v>
      </c>
      <c r="BO9" s="21">
        <f>'Option Phase'!BO8</f>
        <v>0</v>
      </c>
      <c r="BP9" s="21">
        <f>'Option Phase'!BP8</f>
        <v>0</v>
      </c>
      <c r="BQ9" s="21">
        <f>'Option Phase'!BQ8</f>
        <v>0</v>
      </c>
      <c r="BR9" s="21">
        <f>'Option Phase'!BR8</f>
        <v>0</v>
      </c>
      <c r="BS9" s="21">
        <f>'Option Phase'!BS8</f>
        <v>0</v>
      </c>
      <c r="BT9" s="21">
        <f>'Option Phase'!BT8</f>
        <v>0</v>
      </c>
      <c r="BU9" s="21">
        <f>'Option Phase'!BU8</f>
        <v>0</v>
      </c>
      <c r="BV9" s="21">
        <f>'Option Phase'!BV8</f>
        <v>0</v>
      </c>
      <c r="BW9" s="21">
        <f>'Option Phase'!BW8</f>
        <v>0</v>
      </c>
      <c r="BX9" s="21">
        <f>'Option Phase'!BX8</f>
        <v>0</v>
      </c>
      <c r="BY9" s="21">
        <f>'Option Phase'!BY8</f>
        <v>0</v>
      </c>
      <c r="BZ9" s="21">
        <f>'Option Phase'!BZ8</f>
        <v>0</v>
      </c>
      <c r="CA9" s="21">
        <f>'Option Phase'!CA8</f>
        <v>0</v>
      </c>
      <c r="CB9" s="21">
        <f>'Option Phase'!CB8</f>
        <v>0</v>
      </c>
      <c r="CC9" s="21">
        <f>'Option Phase'!CC8</f>
        <v>0</v>
      </c>
      <c r="CD9" s="21">
        <f>'Option Phase'!CD8</f>
        <v>0</v>
      </c>
      <c r="CE9" s="21">
        <f>'Option Phase'!CE8</f>
        <v>0</v>
      </c>
      <c r="CF9" s="21">
        <f>'Option Phase'!CF8</f>
        <v>0</v>
      </c>
      <c r="CG9" s="21">
        <f>'Option Phase'!CG8</f>
        <v>0</v>
      </c>
      <c r="CH9" s="21">
        <f>'Option Phase'!CH8</f>
        <v>0</v>
      </c>
      <c r="CI9" s="21">
        <f>'Option Phase'!CI8</f>
        <v>0</v>
      </c>
      <c r="CJ9" s="21">
        <f>'Option Phase'!CJ8</f>
        <v>0</v>
      </c>
      <c r="CK9" s="21">
        <f>'Option Phase'!CK8</f>
        <v>0</v>
      </c>
      <c r="CL9" s="21">
        <f>'Option Phase'!CL8</f>
        <v>0</v>
      </c>
      <c r="CM9" s="21">
        <f>'Option Phase'!CM8</f>
        <v>0</v>
      </c>
      <c r="CN9" s="21">
        <f>'Option Phase'!CN8</f>
        <v>0</v>
      </c>
      <c r="CO9" s="21">
        <f>'Option Phase'!CO8</f>
        <v>0</v>
      </c>
      <c r="CP9" s="21">
        <f>'Option Phase'!CP8</f>
        <v>0</v>
      </c>
      <c r="CQ9" s="21">
        <f>'Option Phase'!CQ8</f>
        <v>0</v>
      </c>
      <c r="CR9" s="21">
        <f>'Option Phase'!CR8</f>
        <v>0</v>
      </c>
      <c r="CS9" s="21">
        <f>'Option Phase'!CS8</f>
        <v>0</v>
      </c>
      <c r="CT9" s="21">
        <f>'Option Phase'!CT8</f>
        <v>0</v>
      </c>
      <c r="CU9" s="21">
        <f>'Option Phase'!CU8</f>
        <v>0</v>
      </c>
      <c r="CV9" s="21">
        <f>'Option Phase'!CV8</f>
        <v>0</v>
      </c>
      <c r="CW9" s="21">
        <f>'Option Phase'!CW8</f>
        <v>0</v>
      </c>
      <c r="CX9" s="21">
        <f>'Option Phase'!CX8</f>
        <v>0</v>
      </c>
      <c r="CY9" s="21">
        <f>'Option Phase'!CY8</f>
        <v>0</v>
      </c>
      <c r="CZ9" s="21">
        <f>'Option Phase'!CZ8</f>
        <v>0</v>
      </c>
      <c r="DA9" s="21">
        <f>'Option Phase'!DA8</f>
        <v>0</v>
      </c>
      <c r="DB9" s="21">
        <f>'Option Phase'!DB8</f>
        <v>0</v>
      </c>
      <c r="DC9" s="21">
        <f>'Option Phase'!DC8</f>
        <v>0</v>
      </c>
      <c r="DD9" s="21">
        <f>'Option Phase'!DD8</f>
        <v>0</v>
      </c>
      <c r="DE9" s="21">
        <f>'Option Phase'!DE8</f>
        <v>0</v>
      </c>
      <c r="DF9" s="21">
        <f>'Option Phase'!DF8</f>
        <v>0</v>
      </c>
      <c r="DG9" s="21">
        <f>'Option Phase'!DG8</f>
        <v>0</v>
      </c>
      <c r="DH9" s="21">
        <f>'Option Phase'!DH8</f>
        <v>0</v>
      </c>
      <c r="DI9" s="21">
        <f>'Option Phase'!DI8</f>
        <v>0</v>
      </c>
      <c r="DJ9" s="21">
        <f>'Option Phase'!DJ8</f>
        <v>0</v>
      </c>
      <c r="DK9" s="21">
        <f>'Option Phase'!DK8</f>
        <v>0</v>
      </c>
      <c r="DL9" s="21">
        <f>'Option Phase'!DL8</f>
        <v>0</v>
      </c>
      <c r="DM9" s="21">
        <f>'Option Phase'!DM8</f>
        <v>0</v>
      </c>
      <c r="DN9" s="21">
        <f>'Option Phase'!DN8</f>
        <v>0</v>
      </c>
      <c r="DO9" s="21">
        <f>'Option Phase'!DO8</f>
        <v>0</v>
      </c>
      <c r="DP9" s="21">
        <f>'Option Phase'!DP8</f>
        <v>0</v>
      </c>
      <c r="DQ9" s="21">
        <f>'Option Phase'!DQ8</f>
        <v>0</v>
      </c>
      <c r="DR9" s="21">
        <f>'Option Phase'!DR8</f>
        <v>0</v>
      </c>
      <c r="DS9" s="21">
        <f>'Option Phase'!DS8</f>
        <v>0</v>
      </c>
      <c r="DT9" s="21">
        <f>'Option Phase'!DT8</f>
        <v>0</v>
      </c>
      <c r="DU9" s="21">
        <f>'Option Phase'!DU8</f>
        <v>0</v>
      </c>
    </row>
    <row r="10" spans="3:125" s="3" customFormat="1" ht="22.95" customHeight="1">
      <c r="C10" s="3" t="s">
        <v>227</v>
      </c>
      <c r="D10" s="25">
        <f t="shared" si="8"/>
        <v>20000</v>
      </c>
      <c r="E10" s="21">
        <f>'Entitlement Phase'!E18</f>
        <v>0</v>
      </c>
      <c r="F10" s="21">
        <f>'Entitlement Phase'!F18</f>
        <v>0</v>
      </c>
      <c r="G10" s="21">
        <f>'Entitlement Phase'!G18</f>
        <v>0</v>
      </c>
      <c r="H10" s="21">
        <f>'Entitlement Phase'!H18</f>
        <v>0</v>
      </c>
      <c r="I10" s="21">
        <f>'Entitlement Phase'!I18</f>
        <v>0</v>
      </c>
      <c r="J10" s="21">
        <f>'Entitlement Phase'!J18</f>
        <v>0</v>
      </c>
      <c r="K10" s="21">
        <f>'Entitlement Phase'!K18</f>
        <v>1666.6666666666667</v>
      </c>
      <c r="L10" s="21">
        <f>'Entitlement Phase'!L18</f>
        <v>1666.6666666666667</v>
      </c>
      <c r="M10" s="21">
        <f>'Entitlement Phase'!M18</f>
        <v>1666.6666666666667</v>
      </c>
      <c r="N10" s="21">
        <f>'Entitlement Phase'!N18</f>
        <v>1666.6666666666667</v>
      </c>
      <c r="O10" s="21">
        <f>'Entitlement Phase'!O18</f>
        <v>1666.6666666666667</v>
      </c>
      <c r="P10" s="21">
        <f>'Entitlement Phase'!P18</f>
        <v>1666.6666666666667</v>
      </c>
      <c r="Q10" s="21">
        <f>'Entitlement Phase'!Q18</f>
        <v>1666.6666666666667</v>
      </c>
      <c r="R10" s="21">
        <f>'Entitlement Phase'!R18</f>
        <v>1666.6666666666667</v>
      </c>
      <c r="S10" s="21">
        <f>'Entitlement Phase'!S18</f>
        <v>1666.6666666666667</v>
      </c>
      <c r="T10" s="21">
        <f>'Entitlement Phase'!T18</f>
        <v>1666.6666666666667</v>
      </c>
      <c r="U10" s="21">
        <f>'Entitlement Phase'!U18</f>
        <v>1666.6666666666667</v>
      </c>
      <c r="V10" s="21">
        <f>'Entitlement Phase'!V18</f>
        <v>1666.6666666666667</v>
      </c>
      <c r="W10" s="21">
        <f>'Entitlement Phase'!W18</f>
        <v>0</v>
      </c>
      <c r="X10" s="21">
        <f>'Entitlement Phase'!X18</f>
        <v>0</v>
      </c>
      <c r="Y10" s="21">
        <f>'Entitlement Phase'!Y18</f>
        <v>0</v>
      </c>
      <c r="Z10" s="21">
        <f>'Entitlement Phase'!Z18</f>
        <v>0</v>
      </c>
      <c r="AA10" s="21">
        <f>'Entitlement Phase'!AA18</f>
        <v>0</v>
      </c>
      <c r="AB10" s="21">
        <f>'Entitlement Phase'!AB18</f>
        <v>0</v>
      </c>
      <c r="AC10" s="21">
        <f>'Entitlement Phase'!AC18</f>
        <v>0</v>
      </c>
      <c r="AD10" s="21">
        <f>'Entitlement Phase'!AD18</f>
        <v>0</v>
      </c>
      <c r="AE10" s="21">
        <f>'Entitlement Phase'!AE18</f>
        <v>0</v>
      </c>
      <c r="AF10" s="21">
        <f>'Entitlement Phase'!AF18</f>
        <v>0</v>
      </c>
      <c r="AG10" s="21">
        <f>'Entitlement Phase'!AG18</f>
        <v>0</v>
      </c>
      <c r="AH10" s="21">
        <f>'Entitlement Phase'!AH18</f>
        <v>0</v>
      </c>
      <c r="AI10" s="21">
        <f>'Entitlement Phase'!AI18</f>
        <v>0</v>
      </c>
      <c r="AJ10" s="21">
        <f>'Entitlement Phase'!AJ18</f>
        <v>0</v>
      </c>
      <c r="AK10" s="21">
        <f>'Entitlement Phase'!AK18</f>
        <v>0</v>
      </c>
      <c r="AL10" s="21">
        <f>'Entitlement Phase'!AL18</f>
        <v>0</v>
      </c>
      <c r="AM10" s="21">
        <f>'Entitlement Phase'!AM18</f>
        <v>0</v>
      </c>
      <c r="AN10" s="21">
        <f>'Entitlement Phase'!AN18</f>
        <v>0</v>
      </c>
      <c r="AO10" s="21">
        <f>'Entitlement Phase'!AO18</f>
        <v>0</v>
      </c>
      <c r="AP10" s="21">
        <f>'Entitlement Phase'!AP18</f>
        <v>0</v>
      </c>
      <c r="AQ10" s="21">
        <f>'Entitlement Phase'!AQ18</f>
        <v>0</v>
      </c>
      <c r="AR10" s="21">
        <f>'Entitlement Phase'!AR18</f>
        <v>0</v>
      </c>
      <c r="AS10" s="21">
        <f>'Entitlement Phase'!AS18</f>
        <v>0</v>
      </c>
      <c r="AT10" s="21">
        <f>'Entitlement Phase'!AT18</f>
        <v>0</v>
      </c>
      <c r="AU10" s="21">
        <f>'Entitlement Phase'!AU18</f>
        <v>0</v>
      </c>
      <c r="AV10" s="21">
        <f>'Entitlement Phase'!AV18</f>
        <v>0</v>
      </c>
      <c r="AW10" s="21">
        <f>'Entitlement Phase'!AW18</f>
        <v>0</v>
      </c>
      <c r="AX10" s="21">
        <f>'Entitlement Phase'!AX18</f>
        <v>0</v>
      </c>
      <c r="AY10" s="21">
        <f>'Entitlement Phase'!AY18</f>
        <v>0</v>
      </c>
      <c r="AZ10" s="21">
        <f>'Entitlement Phase'!AZ18</f>
        <v>0</v>
      </c>
      <c r="BA10" s="21">
        <f>'Entitlement Phase'!BA18</f>
        <v>0</v>
      </c>
      <c r="BB10" s="21">
        <f>'Entitlement Phase'!BB18</f>
        <v>0</v>
      </c>
      <c r="BC10" s="21">
        <f>'Entitlement Phase'!BC18</f>
        <v>0</v>
      </c>
      <c r="BD10" s="21">
        <f>'Entitlement Phase'!BD18</f>
        <v>0</v>
      </c>
      <c r="BE10" s="21">
        <f>'Entitlement Phase'!BE18</f>
        <v>0</v>
      </c>
      <c r="BF10" s="21">
        <f>'Entitlement Phase'!BF18</f>
        <v>0</v>
      </c>
      <c r="BG10" s="21">
        <f>'Entitlement Phase'!BG18</f>
        <v>0</v>
      </c>
      <c r="BH10" s="21">
        <f>'Entitlement Phase'!BH18</f>
        <v>0</v>
      </c>
      <c r="BI10" s="21">
        <f>'Entitlement Phase'!BI18</f>
        <v>0</v>
      </c>
      <c r="BJ10" s="21">
        <f>'Entitlement Phase'!BJ18</f>
        <v>0</v>
      </c>
      <c r="BK10" s="21">
        <f>'Entitlement Phase'!BK18</f>
        <v>0</v>
      </c>
      <c r="BL10" s="21">
        <f>'Entitlement Phase'!BL18</f>
        <v>0</v>
      </c>
      <c r="BM10" s="21">
        <f>'Entitlement Phase'!BM18</f>
        <v>0</v>
      </c>
      <c r="BN10" s="21">
        <f>'Entitlement Phase'!BN18</f>
        <v>0</v>
      </c>
      <c r="BO10" s="21">
        <f>'Entitlement Phase'!BO18</f>
        <v>0</v>
      </c>
      <c r="BP10" s="21">
        <f>'Entitlement Phase'!BP18</f>
        <v>0</v>
      </c>
      <c r="BQ10" s="21">
        <f>'Entitlement Phase'!BQ18</f>
        <v>0</v>
      </c>
      <c r="BR10" s="21">
        <f>'Entitlement Phase'!BR18</f>
        <v>0</v>
      </c>
      <c r="BS10" s="21">
        <f>'Entitlement Phase'!BS18</f>
        <v>0</v>
      </c>
      <c r="BT10" s="21">
        <f>'Entitlement Phase'!BT18</f>
        <v>0</v>
      </c>
      <c r="BU10" s="21">
        <f>'Entitlement Phase'!BU18</f>
        <v>0</v>
      </c>
      <c r="BV10" s="21">
        <f>'Entitlement Phase'!BV18</f>
        <v>0</v>
      </c>
      <c r="BW10" s="21">
        <f>'Entitlement Phase'!BW18</f>
        <v>0</v>
      </c>
      <c r="BX10" s="21">
        <f>'Entitlement Phase'!BX18</f>
        <v>0</v>
      </c>
      <c r="BY10" s="21">
        <f>'Entitlement Phase'!BY18</f>
        <v>0</v>
      </c>
      <c r="BZ10" s="21">
        <f>'Entitlement Phase'!BZ18</f>
        <v>0</v>
      </c>
      <c r="CA10" s="21">
        <f>'Entitlement Phase'!CA18</f>
        <v>0</v>
      </c>
      <c r="CB10" s="21">
        <f>'Entitlement Phase'!CB18</f>
        <v>0</v>
      </c>
      <c r="CC10" s="21">
        <f>'Entitlement Phase'!CC18</f>
        <v>0</v>
      </c>
      <c r="CD10" s="21">
        <f>'Entitlement Phase'!CD18</f>
        <v>0</v>
      </c>
      <c r="CE10" s="21">
        <f>'Entitlement Phase'!CE18</f>
        <v>0</v>
      </c>
      <c r="CF10" s="21">
        <f>'Entitlement Phase'!CF18</f>
        <v>0</v>
      </c>
      <c r="CG10" s="21">
        <f>'Entitlement Phase'!CG18</f>
        <v>0</v>
      </c>
      <c r="CH10" s="21">
        <f>'Entitlement Phase'!CH18</f>
        <v>0</v>
      </c>
      <c r="CI10" s="21">
        <f>'Entitlement Phase'!CI18</f>
        <v>0</v>
      </c>
      <c r="CJ10" s="21">
        <f>'Entitlement Phase'!CJ18</f>
        <v>0</v>
      </c>
      <c r="CK10" s="21">
        <f>'Entitlement Phase'!CK18</f>
        <v>0</v>
      </c>
      <c r="CL10" s="21">
        <f>'Entitlement Phase'!CL18</f>
        <v>0</v>
      </c>
      <c r="CM10" s="21">
        <f>'Entitlement Phase'!CM18</f>
        <v>0</v>
      </c>
      <c r="CN10" s="21">
        <f>'Entitlement Phase'!CN18</f>
        <v>0</v>
      </c>
      <c r="CO10" s="21">
        <f>'Entitlement Phase'!CO18</f>
        <v>0</v>
      </c>
      <c r="CP10" s="21">
        <f>'Entitlement Phase'!CP18</f>
        <v>0</v>
      </c>
      <c r="CQ10" s="21">
        <f>'Entitlement Phase'!CQ18</f>
        <v>0</v>
      </c>
      <c r="CR10" s="21">
        <f>'Entitlement Phase'!CR18</f>
        <v>0</v>
      </c>
      <c r="CS10" s="21">
        <f>'Entitlement Phase'!CS18</f>
        <v>0</v>
      </c>
      <c r="CT10" s="21">
        <f>'Entitlement Phase'!CT18</f>
        <v>0</v>
      </c>
      <c r="CU10" s="21">
        <f>'Entitlement Phase'!CU18</f>
        <v>0</v>
      </c>
      <c r="CV10" s="21">
        <f>'Entitlement Phase'!CV18</f>
        <v>0</v>
      </c>
      <c r="CW10" s="21">
        <f>'Entitlement Phase'!CW18</f>
        <v>0</v>
      </c>
      <c r="CX10" s="21">
        <f>'Entitlement Phase'!CX18</f>
        <v>0</v>
      </c>
      <c r="CY10" s="21">
        <f>'Entitlement Phase'!CY18</f>
        <v>0</v>
      </c>
      <c r="CZ10" s="21">
        <f>'Entitlement Phase'!CZ18</f>
        <v>0</v>
      </c>
      <c r="DA10" s="21">
        <f>'Entitlement Phase'!DA18</f>
        <v>0</v>
      </c>
      <c r="DB10" s="21">
        <f>'Entitlement Phase'!DB18</f>
        <v>0</v>
      </c>
      <c r="DC10" s="21">
        <f>'Entitlement Phase'!DC18</f>
        <v>0</v>
      </c>
      <c r="DD10" s="21">
        <f>'Entitlement Phase'!DD18</f>
        <v>0</v>
      </c>
      <c r="DE10" s="21">
        <f>'Entitlement Phase'!DE18</f>
        <v>0</v>
      </c>
      <c r="DF10" s="21">
        <f>'Entitlement Phase'!DF18</f>
        <v>0</v>
      </c>
      <c r="DG10" s="21">
        <f>'Entitlement Phase'!DG18</f>
        <v>0</v>
      </c>
      <c r="DH10" s="21">
        <f>'Entitlement Phase'!DH18</f>
        <v>0</v>
      </c>
      <c r="DI10" s="21">
        <f>'Entitlement Phase'!DI18</f>
        <v>0</v>
      </c>
      <c r="DJ10" s="21">
        <f>'Entitlement Phase'!DJ18</f>
        <v>0</v>
      </c>
      <c r="DK10" s="21">
        <f>'Entitlement Phase'!DK18</f>
        <v>0</v>
      </c>
      <c r="DL10" s="21">
        <f>'Entitlement Phase'!DL18</f>
        <v>0</v>
      </c>
      <c r="DM10" s="21">
        <f>'Entitlement Phase'!DM18</f>
        <v>0</v>
      </c>
      <c r="DN10" s="21">
        <f>'Entitlement Phase'!DN18</f>
        <v>0</v>
      </c>
      <c r="DO10" s="21">
        <f>'Entitlement Phase'!DO18</f>
        <v>0</v>
      </c>
      <c r="DP10" s="21">
        <f>'Entitlement Phase'!DP18</f>
        <v>0</v>
      </c>
      <c r="DQ10" s="21">
        <f>'Entitlement Phase'!DQ18</f>
        <v>0</v>
      </c>
      <c r="DR10" s="21">
        <f>'Entitlement Phase'!DR18</f>
        <v>0</v>
      </c>
      <c r="DS10" s="21">
        <f>'Entitlement Phase'!DS18</f>
        <v>0</v>
      </c>
      <c r="DT10" s="21">
        <f>'Entitlement Phase'!DT18</f>
        <v>0</v>
      </c>
      <c r="DU10" s="21">
        <f>'Entitlement Phase'!DU18</f>
        <v>0</v>
      </c>
    </row>
    <row r="11" spans="3:125" s="3" customFormat="1" ht="22.95" customHeight="1">
      <c r="C11" s="3" t="s">
        <v>228</v>
      </c>
      <c r="D11" s="25">
        <f t="shared" si="8"/>
        <v>900000</v>
      </c>
      <c r="E11" s="21">
        <f>'Development Phase'!E37</f>
        <v>0</v>
      </c>
      <c r="F11" s="21">
        <f>'Development Phase'!F37</f>
        <v>0</v>
      </c>
      <c r="G11" s="21">
        <f>'Development Phase'!G37</f>
        <v>0</v>
      </c>
      <c r="H11" s="21">
        <f>'Development Phase'!H37</f>
        <v>0</v>
      </c>
      <c r="I11" s="21">
        <f>'Development Phase'!I37</f>
        <v>0</v>
      </c>
      <c r="J11" s="21">
        <f>'Development Phase'!J37</f>
        <v>0</v>
      </c>
      <c r="K11" s="21">
        <f>'Development Phase'!K37</f>
        <v>0</v>
      </c>
      <c r="L11" s="21">
        <f>'Development Phase'!L37</f>
        <v>0</v>
      </c>
      <c r="M11" s="21">
        <f>'Development Phase'!M37</f>
        <v>0</v>
      </c>
      <c r="N11" s="21">
        <f>'Development Phase'!N37</f>
        <v>0</v>
      </c>
      <c r="O11" s="21">
        <f>'Development Phase'!O37</f>
        <v>0</v>
      </c>
      <c r="P11" s="21">
        <f>'Development Phase'!P37</f>
        <v>0</v>
      </c>
      <c r="Q11" s="21">
        <f>'Development Phase'!Q37</f>
        <v>0</v>
      </c>
      <c r="R11" s="21">
        <f>'Development Phase'!R37</f>
        <v>0</v>
      </c>
      <c r="S11" s="21">
        <f>'Development Phase'!S37</f>
        <v>0</v>
      </c>
      <c r="T11" s="21">
        <f>'Development Phase'!T37</f>
        <v>0</v>
      </c>
      <c r="U11" s="21">
        <f>'Development Phase'!U37</f>
        <v>0</v>
      </c>
      <c r="V11" s="21">
        <f>'Development Phase'!V37</f>
        <v>0</v>
      </c>
      <c r="W11" s="21">
        <f>'Development Phase'!W37</f>
        <v>0</v>
      </c>
      <c r="X11" s="21">
        <f>'Development Phase'!X37</f>
        <v>0</v>
      </c>
      <c r="Y11" s="21">
        <f>'Development Phase'!Y37</f>
        <v>0</v>
      </c>
      <c r="Z11" s="21">
        <f>'Development Phase'!Z37</f>
        <v>0</v>
      </c>
      <c r="AA11" s="21">
        <f>'Development Phase'!AA37</f>
        <v>0</v>
      </c>
      <c r="AB11" s="21">
        <f>'Development Phase'!AB37</f>
        <v>0</v>
      </c>
      <c r="AC11" s="21">
        <f>'Development Phase'!AC37</f>
        <v>900000</v>
      </c>
      <c r="AD11" s="21">
        <f>'Development Phase'!AD37</f>
        <v>0</v>
      </c>
      <c r="AE11" s="21">
        <f>'Development Phase'!AE37</f>
        <v>0</v>
      </c>
      <c r="AF11" s="21">
        <f>'Development Phase'!AF37</f>
        <v>0</v>
      </c>
      <c r="AG11" s="21">
        <f>'Development Phase'!AG37</f>
        <v>0</v>
      </c>
      <c r="AH11" s="21">
        <f>'Development Phase'!AH37</f>
        <v>0</v>
      </c>
      <c r="AI11" s="21">
        <f>'Development Phase'!AI37</f>
        <v>0</v>
      </c>
      <c r="AJ11" s="21">
        <f>'Development Phase'!AJ37</f>
        <v>0</v>
      </c>
      <c r="AK11" s="21">
        <f>'Development Phase'!AK37</f>
        <v>0</v>
      </c>
      <c r="AL11" s="21">
        <f>'Development Phase'!AL37</f>
        <v>0</v>
      </c>
      <c r="AM11" s="21">
        <f>'Development Phase'!AM37</f>
        <v>0</v>
      </c>
      <c r="AN11" s="21">
        <f>'Development Phase'!AN37</f>
        <v>0</v>
      </c>
      <c r="AO11" s="21">
        <f>'Development Phase'!AO37</f>
        <v>0</v>
      </c>
      <c r="AP11" s="21">
        <f>'Development Phase'!AP37</f>
        <v>0</v>
      </c>
      <c r="AQ11" s="21">
        <f>'Development Phase'!AQ37</f>
        <v>0</v>
      </c>
      <c r="AR11" s="21">
        <f>'Development Phase'!AR37</f>
        <v>0</v>
      </c>
      <c r="AS11" s="21">
        <f>'Development Phase'!AS37</f>
        <v>0</v>
      </c>
      <c r="AT11" s="21">
        <f>'Development Phase'!AT37</f>
        <v>0</v>
      </c>
      <c r="AU11" s="21">
        <f>'Development Phase'!AU37</f>
        <v>0</v>
      </c>
      <c r="AV11" s="21">
        <f>'Development Phase'!AV37</f>
        <v>0</v>
      </c>
      <c r="AW11" s="21">
        <f>'Development Phase'!AW37</f>
        <v>0</v>
      </c>
      <c r="AX11" s="21">
        <f>'Development Phase'!AX37</f>
        <v>0</v>
      </c>
      <c r="AY11" s="21">
        <f>'Development Phase'!AY37</f>
        <v>0</v>
      </c>
      <c r="AZ11" s="21">
        <f>'Development Phase'!AZ37</f>
        <v>0</v>
      </c>
      <c r="BA11" s="21">
        <f>'Development Phase'!BA37</f>
        <v>0</v>
      </c>
      <c r="BB11" s="21">
        <f>'Development Phase'!BB37</f>
        <v>0</v>
      </c>
      <c r="BC11" s="21">
        <f>'Development Phase'!BC37</f>
        <v>0</v>
      </c>
      <c r="BD11" s="21">
        <f>'Development Phase'!BD37</f>
        <v>0</v>
      </c>
      <c r="BE11" s="21">
        <f>'Development Phase'!BE37</f>
        <v>0</v>
      </c>
      <c r="BF11" s="21">
        <f>'Development Phase'!BF37</f>
        <v>0</v>
      </c>
      <c r="BG11" s="21">
        <f>'Development Phase'!BG37</f>
        <v>0</v>
      </c>
      <c r="BH11" s="21">
        <f>'Development Phase'!BH37</f>
        <v>0</v>
      </c>
      <c r="BI11" s="21">
        <f>'Development Phase'!BI37</f>
        <v>0</v>
      </c>
      <c r="BJ11" s="21">
        <f>'Development Phase'!BJ37</f>
        <v>0</v>
      </c>
      <c r="BK11" s="21">
        <f>'Development Phase'!BK37</f>
        <v>0</v>
      </c>
      <c r="BL11" s="21">
        <f>'Development Phase'!BL37</f>
        <v>0</v>
      </c>
      <c r="BM11" s="21">
        <f>'Development Phase'!BM37</f>
        <v>0</v>
      </c>
      <c r="BN11" s="21">
        <f>'Development Phase'!BN37</f>
        <v>0</v>
      </c>
      <c r="BO11" s="21">
        <f>'Development Phase'!BO37</f>
        <v>0</v>
      </c>
      <c r="BP11" s="21">
        <f>'Development Phase'!BP37</f>
        <v>0</v>
      </c>
      <c r="BQ11" s="21">
        <f>'Development Phase'!BQ37</f>
        <v>0</v>
      </c>
      <c r="BR11" s="21">
        <f>'Development Phase'!BR37</f>
        <v>0</v>
      </c>
      <c r="BS11" s="21">
        <f>'Development Phase'!BS37</f>
        <v>0</v>
      </c>
      <c r="BT11" s="21">
        <f>'Development Phase'!BT37</f>
        <v>0</v>
      </c>
      <c r="BU11" s="21">
        <f>'Development Phase'!BU37</f>
        <v>0</v>
      </c>
      <c r="BV11" s="21">
        <f>'Development Phase'!BV37</f>
        <v>0</v>
      </c>
      <c r="BW11" s="21">
        <f>'Development Phase'!BW37</f>
        <v>0</v>
      </c>
      <c r="BX11" s="21">
        <f>'Development Phase'!BX37</f>
        <v>0</v>
      </c>
      <c r="BY11" s="21">
        <f>'Development Phase'!BY37</f>
        <v>0</v>
      </c>
      <c r="BZ11" s="21">
        <f>'Development Phase'!BZ37</f>
        <v>0</v>
      </c>
      <c r="CA11" s="21">
        <f>'Development Phase'!CA37</f>
        <v>0</v>
      </c>
      <c r="CB11" s="21">
        <f>'Development Phase'!CB37</f>
        <v>0</v>
      </c>
      <c r="CC11" s="21">
        <f>'Development Phase'!CC37</f>
        <v>0</v>
      </c>
      <c r="CD11" s="21">
        <f>'Development Phase'!CD37</f>
        <v>0</v>
      </c>
      <c r="CE11" s="21">
        <f>'Development Phase'!CE37</f>
        <v>0</v>
      </c>
      <c r="CF11" s="21">
        <f>'Development Phase'!CF37</f>
        <v>0</v>
      </c>
      <c r="CG11" s="21">
        <f>'Development Phase'!CG37</f>
        <v>0</v>
      </c>
      <c r="CH11" s="21">
        <f>'Development Phase'!CH37</f>
        <v>0</v>
      </c>
      <c r="CI11" s="21">
        <f>'Development Phase'!CI37</f>
        <v>0</v>
      </c>
      <c r="CJ11" s="21">
        <f>'Development Phase'!CJ37</f>
        <v>0</v>
      </c>
      <c r="CK11" s="21">
        <f>'Development Phase'!CK37</f>
        <v>0</v>
      </c>
      <c r="CL11" s="21">
        <f>'Development Phase'!CL37</f>
        <v>0</v>
      </c>
      <c r="CM11" s="21">
        <f>'Development Phase'!CM37</f>
        <v>0</v>
      </c>
      <c r="CN11" s="21">
        <f>'Development Phase'!CN37</f>
        <v>0</v>
      </c>
      <c r="CO11" s="21">
        <f>'Development Phase'!CO37</f>
        <v>0</v>
      </c>
      <c r="CP11" s="21">
        <f>'Development Phase'!CP37</f>
        <v>0</v>
      </c>
      <c r="CQ11" s="21">
        <f>'Development Phase'!CQ37</f>
        <v>0</v>
      </c>
      <c r="CR11" s="21">
        <f>'Development Phase'!CR37</f>
        <v>0</v>
      </c>
      <c r="CS11" s="21">
        <f>'Development Phase'!CS37</f>
        <v>0</v>
      </c>
      <c r="CT11" s="21">
        <f>'Development Phase'!CT37</f>
        <v>0</v>
      </c>
      <c r="CU11" s="21">
        <f>'Development Phase'!CU37</f>
        <v>0</v>
      </c>
      <c r="CV11" s="21">
        <f>'Development Phase'!CV37</f>
        <v>0</v>
      </c>
      <c r="CW11" s="21">
        <f>'Development Phase'!CW37</f>
        <v>0</v>
      </c>
      <c r="CX11" s="21">
        <f>'Development Phase'!CX37</f>
        <v>0</v>
      </c>
      <c r="CY11" s="21">
        <f>'Development Phase'!CY37</f>
        <v>0</v>
      </c>
      <c r="CZ11" s="21">
        <f>'Development Phase'!CZ37</f>
        <v>0</v>
      </c>
      <c r="DA11" s="21">
        <f>'Development Phase'!DA37</f>
        <v>0</v>
      </c>
      <c r="DB11" s="21">
        <f>'Development Phase'!DB37</f>
        <v>0</v>
      </c>
      <c r="DC11" s="21">
        <f>'Development Phase'!DC37</f>
        <v>0</v>
      </c>
      <c r="DD11" s="21">
        <f>'Development Phase'!DD37</f>
        <v>0</v>
      </c>
      <c r="DE11" s="21">
        <f>'Development Phase'!DE37</f>
        <v>0</v>
      </c>
      <c r="DF11" s="21">
        <f>'Development Phase'!DF37</f>
        <v>0</v>
      </c>
      <c r="DG11" s="21">
        <f>'Development Phase'!DG37</f>
        <v>0</v>
      </c>
      <c r="DH11" s="21">
        <f>'Development Phase'!DH37</f>
        <v>0</v>
      </c>
      <c r="DI11" s="21">
        <f>'Development Phase'!DI37</f>
        <v>0</v>
      </c>
      <c r="DJ11" s="21">
        <f>'Development Phase'!DJ37</f>
        <v>0</v>
      </c>
      <c r="DK11" s="21">
        <f>'Development Phase'!DK37</f>
        <v>0</v>
      </c>
      <c r="DL11" s="21">
        <f>'Development Phase'!DL37</f>
        <v>0</v>
      </c>
      <c r="DM11" s="21">
        <f>'Development Phase'!DM37</f>
        <v>0</v>
      </c>
      <c r="DN11" s="21">
        <f>'Development Phase'!DN37</f>
        <v>0</v>
      </c>
      <c r="DO11" s="21">
        <f>'Development Phase'!DO37</f>
        <v>0</v>
      </c>
      <c r="DP11" s="21">
        <f>'Development Phase'!DP37</f>
        <v>0</v>
      </c>
      <c r="DQ11" s="21">
        <f>'Development Phase'!DQ37</f>
        <v>0</v>
      </c>
      <c r="DR11" s="21">
        <f>'Development Phase'!DR37</f>
        <v>0</v>
      </c>
      <c r="DS11" s="21">
        <f>'Development Phase'!DS37</f>
        <v>0</v>
      </c>
      <c r="DT11" s="21">
        <f>'Development Phase'!DT37</f>
        <v>0</v>
      </c>
      <c r="DU11" s="21">
        <f>'Development Phase'!DU37</f>
        <v>0</v>
      </c>
    </row>
    <row r="12" spans="3:125" s="3" customFormat="1" ht="22.95" customHeight="1">
      <c r="C12" s="3" t="s">
        <v>229</v>
      </c>
      <c r="D12" s="25">
        <f t="shared" si="8"/>
        <v>157621.875</v>
      </c>
      <c r="E12" s="21">
        <f>'Development Phase'!E41</f>
        <v>0</v>
      </c>
      <c r="F12" s="21">
        <f>'Development Phase'!F41</f>
        <v>0</v>
      </c>
      <c r="G12" s="21">
        <f>'Development Phase'!G41</f>
        <v>0</v>
      </c>
      <c r="H12" s="21">
        <f>'Development Phase'!H41</f>
        <v>0</v>
      </c>
      <c r="I12" s="21">
        <f>'Development Phase'!I41</f>
        <v>0</v>
      </c>
      <c r="J12" s="21">
        <f>'Development Phase'!J41</f>
        <v>0</v>
      </c>
      <c r="K12" s="21">
        <f>'Development Phase'!K41</f>
        <v>0</v>
      </c>
      <c r="L12" s="21">
        <f>'Development Phase'!L41</f>
        <v>0</v>
      </c>
      <c r="M12" s="21">
        <f>'Development Phase'!M41</f>
        <v>0</v>
      </c>
      <c r="N12" s="21">
        <f>'Development Phase'!N41</f>
        <v>0</v>
      </c>
      <c r="O12" s="21">
        <f>'Development Phase'!O41</f>
        <v>0</v>
      </c>
      <c r="P12" s="21">
        <f>'Development Phase'!P41</f>
        <v>0</v>
      </c>
      <c r="Q12" s="21">
        <f>'Development Phase'!Q41</f>
        <v>0</v>
      </c>
      <c r="R12" s="21">
        <f>'Development Phase'!R41</f>
        <v>0</v>
      </c>
      <c r="S12" s="21">
        <f>'Development Phase'!S41</f>
        <v>0</v>
      </c>
      <c r="T12" s="21">
        <f>'Development Phase'!T41</f>
        <v>0</v>
      </c>
      <c r="U12" s="21">
        <f>'Development Phase'!U41</f>
        <v>0</v>
      </c>
      <c r="V12" s="21">
        <f>'Development Phase'!V41</f>
        <v>0</v>
      </c>
      <c r="W12" s="21">
        <f>'Development Phase'!W41</f>
        <v>0</v>
      </c>
      <c r="X12" s="21">
        <f>'Development Phase'!X41</f>
        <v>0</v>
      </c>
      <c r="Y12" s="21">
        <f>'Development Phase'!Y41</f>
        <v>0</v>
      </c>
      <c r="Z12" s="21">
        <f>'Development Phase'!Z41</f>
        <v>0</v>
      </c>
      <c r="AA12" s="21">
        <f>'Development Phase'!AA41</f>
        <v>0</v>
      </c>
      <c r="AB12" s="21">
        <f>'Development Phase'!AB41</f>
        <v>0</v>
      </c>
      <c r="AC12" s="21">
        <f>'Development Phase'!AC41</f>
        <v>0</v>
      </c>
      <c r="AD12" s="21">
        <f>'Development Phase'!AD41</f>
        <v>0</v>
      </c>
      <c r="AE12" s="21">
        <f>'Development Phase'!AE41</f>
        <v>0</v>
      </c>
      <c r="AF12" s="21">
        <f>'Development Phase'!AF41</f>
        <v>6567.578125</v>
      </c>
      <c r="AG12" s="21">
        <f>'Development Phase'!AG41</f>
        <v>6567.578125</v>
      </c>
      <c r="AH12" s="21">
        <f>'Development Phase'!AH41</f>
        <v>6567.578125</v>
      </c>
      <c r="AI12" s="21">
        <f>'Development Phase'!AI41</f>
        <v>6567.578125</v>
      </c>
      <c r="AJ12" s="21">
        <f>'Development Phase'!AJ41</f>
        <v>6567.578125</v>
      </c>
      <c r="AK12" s="21">
        <f>'Development Phase'!AK41</f>
        <v>6567.578125</v>
      </c>
      <c r="AL12" s="21">
        <f>'Development Phase'!AL41</f>
        <v>6567.578125</v>
      </c>
      <c r="AM12" s="21">
        <f>'Development Phase'!AM41</f>
        <v>6567.578125</v>
      </c>
      <c r="AN12" s="21">
        <f>'Development Phase'!AN41</f>
        <v>6567.578125</v>
      </c>
      <c r="AO12" s="21">
        <f>'Development Phase'!AO41</f>
        <v>6567.578125</v>
      </c>
      <c r="AP12" s="21">
        <f>'Development Phase'!AP41</f>
        <v>6567.578125</v>
      </c>
      <c r="AQ12" s="21">
        <f>'Development Phase'!AQ41</f>
        <v>6567.578125</v>
      </c>
      <c r="AR12" s="21">
        <f>'Development Phase'!AR41</f>
        <v>6567.578125</v>
      </c>
      <c r="AS12" s="21">
        <f>'Development Phase'!AS41</f>
        <v>6567.578125</v>
      </c>
      <c r="AT12" s="21">
        <f>'Development Phase'!AT41</f>
        <v>6567.578125</v>
      </c>
      <c r="AU12" s="21">
        <f>'Development Phase'!AU41</f>
        <v>6567.578125</v>
      </c>
      <c r="AV12" s="21">
        <f>'Development Phase'!AV41</f>
        <v>6567.578125</v>
      </c>
      <c r="AW12" s="21">
        <f>'Development Phase'!AW41</f>
        <v>6567.578125</v>
      </c>
      <c r="AX12" s="21">
        <f>'Development Phase'!AX41</f>
        <v>6567.578125</v>
      </c>
      <c r="AY12" s="21">
        <f>'Development Phase'!AY41</f>
        <v>6567.578125</v>
      </c>
      <c r="AZ12" s="21">
        <f>'Development Phase'!AZ41</f>
        <v>6567.578125</v>
      </c>
      <c r="BA12" s="21">
        <f>'Development Phase'!BA41</f>
        <v>6567.578125</v>
      </c>
      <c r="BB12" s="21">
        <f>'Development Phase'!BB41</f>
        <v>6567.578125</v>
      </c>
      <c r="BC12" s="21">
        <f>'Development Phase'!BC41</f>
        <v>6567.578125</v>
      </c>
      <c r="BD12" s="21">
        <f>'Development Phase'!BD41</f>
        <v>0</v>
      </c>
      <c r="BE12" s="21">
        <f>'Development Phase'!BE41</f>
        <v>0</v>
      </c>
      <c r="BF12" s="21">
        <f>'Development Phase'!BF41</f>
        <v>0</v>
      </c>
      <c r="BG12" s="21">
        <f>'Development Phase'!BG41</f>
        <v>0</v>
      </c>
      <c r="BH12" s="21">
        <f>'Development Phase'!BH41</f>
        <v>0</v>
      </c>
      <c r="BI12" s="21">
        <f>'Development Phase'!BI41</f>
        <v>0</v>
      </c>
      <c r="BJ12" s="21">
        <f>'Development Phase'!BJ41</f>
        <v>0</v>
      </c>
      <c r="BK12" s="21">
        <f>'Development Phase'!BK41</f>
        <v>0</v>
      </c>
      <c r="BL12" s="21">
        <f>'Development Phase'!BL41</f>
        <v>0</v>
      </c>
      <c r="BM12" s="21">
        <f>'Development Phase'!BM41</f>
        <v>0</v>
      </c>
      <c r="BN12" s="21">
        <f>'Development Phase'!BN41</f>
        <v>0</v>
      </c>
      <c r="BO12" s="21">
        <f>'Development Phase'!BO41</f>
        <v>0</v>
      </c>
      <c r="BP12" s="21">
        <f>'Development Phase'!BP41</f>
        <v>0</v>
      </c>
      <c r="BQ12" s="21">
        <f>'Development Phase'!BQ41</f>
        <v>0</v>
      </c>
      <c r="BR12" s="21">
        <f>'Development Phase'!BR41</f>
        <v>0</v>
      </c>
      <c r="BS12" s="21">
        <f>'Development Phase'!BS41</f>
        <v>0</v>
      </c>
      <c r="BT12" s="21">
        <f>'Development Phase'!BT41</f>
        <v>0</v>
      </c>
      <c r="BU12" s="21">
        <f>'Development Phase'!BU41</f>
        <v>0</v>
      </c>
      <c r="BV12" s="21">
        <f>'Development Phase'!BV41</f>
        <v>0</v>
      </c>
      <c r="BW12" s="21">
        <f>'Development Phase'!BW41</f>
        <v>0</v>
      </c>
      <c r="BX12" s="21">
        <f>'Development Phase'!BX41</f>
        <v>0</v>
      </c>
      <c r="BY12" s="21">
        <f>'Development Phase'!BY41</f>
        <v>0</v>
      </c>
      <c r="BZ12" s="21">
        <f>'Development Phase'!BZ41</f>
        <v>0</v>
      </c>
      <c r="CA12" s="21">
        <f>'Development Phase'!CA41</f>
        <v>0</v>
      </c>
      <c r="CB12" s="21">
        <f>'Development Phase'!CB41</f>
        <v>0</v>
      </c>
      <c r="CC12" s="21">
        <f>'Development Phase'!CC41</f>
        <v>0</v>
      </c>
      <c r="CD12" s="21">
        <f>'Development Phase'!CD41</f>
        <v>0</v>
      </c>
      <c r="CE12" s="21">
        <f>'Development Phase'!CE41</f>
        <v>0</v>
      </c>
      <c r="CF12" s="21">
        <f>'Development Phase'!CF41</f>
        <v>0</v>
      </c>
      <c r="CG12" s="21">
        <f>'Development Phase'!CG41</f>
        <v>0</v>
      </c>
      <c r="CH12" s="21">
        <f>'Development Phase'!CH41</f>
        <v>0</v>
      </c>
      <c r="CI12" s="21">
        <f>'Development Phase'!CI41</f>
        <v>0</v>
      </c>
      <c r="CJ12" s="21">
        <f>'Development Phase'!CJ41</f>
        <v>0</v>
      </c>
      <c r="CK12" s="21">
        <f>'Development Phase'!CK41</f>
        <v>0</v>
      </c>
      <c r="CL12" s="21">
        <f>'Development Phase'!CL41</f>
        <v>0</v>
      </c>
      <c r="CM12" s="21">
        <f>'Development Phase'!CM41</f>
        <v>0</v>
      </c>
      <c r="CN12" s="21">
        <f>'Development Phase'!CN41</f>
        <v>0</v>
      </c>
      <c r="CO12" s="21">
        <f>'Development Phase'!CO41</f>
        <v>0</v>
      </c>
      <c r="CP12" s="21">
        <f>'Development Phase'!CP41</f>
        <v>0</v>
      </c>
      <c r="CQ12" s="21">
        <f>'Development Phase'!CQ41</f>
        <v>0</v>
      </c>
      <c r="CR12" s="21">
        <f>'Development Phase'!CR41</f>
        <v>0</v>
      </c>
      <c r="CS12" s="21">
        <f>'Development Phase'!CS41</f>
        <v>0</v>
      </c>
      <c r="CT12" s="21">
        <f>'Development Phase'!CT41</f>
        <v>0</v>
      </c>
      <c r="CU12" s="21">
        <f>'Development Phase'!CU41</f>
        <v>0</v>
      </c>
      <c r="CV12" s="21">
        <f>'Development Phase'!CV41</f>
        <v>0</v>
      </c>
      <c r="CW12" s="21">
        <f>'Development Phase'!CW41</f>
        <v>0</v>
      </c>
      <c r="CX12" s="21">
        <f>'Development Phase'!CX41</f>
        <v>0</v>
      </c>
      <c r="CY12" s="21">
        <f>'Development Phase'!CY41</f>
        <v>0</v>
      </c>
      <c r="CZ12" s="21">
        <f>'Development Phase'!CZ41</f>
        <v>0</v>
      </c>
      <c r="DA12" s="21">
        <f>'Development Phase'!DA41</f>
        <v>0</v>
      </c>
      <c r="DB12" s="21">
        <f>'Development Phase'!DB41</f>
        <v>0</v>
      </c>
      <c r="DC12" s="21">
        <f>'Development Phase'!DC41</f>
        <v>0</v>
      </c>
      <c r="DD12" s="21">
        <f>'Development Phase'!DD41</f>
        <v>0</v>
      </c>
      <c r="DE12" s="21">
        <f>'Development Phase'!DE41</f>
        <v>0</v>
      </c>
      <c r="DF12" s="21">
        <f>'Development Phase'!DF41</f>
        <v>0</v>
      </c>
      <c r="DG12" s="21">
        <f>'Development Phase'!DG41</f>
        <v>0</v>
      </c>
      <c r="DH12" s="21">
        <f>'Development Phase'!DH41</f>
        <v>0</v>
      </c>
      <c r="DI12" s="21">
        <f>'Development Phase'!DI41</f>
        <v>0</v>
      </c>
      <c r="DJ12" s="21">
        <f>'Development Phase'!DJ41</f>
        <v>0</v>
      </c>
      <c r="DK12" s="21">
        <f>'Development Phase'!DK41</f>
        <v>0</v>
      </c>
      <c r="DL12" s="21">
        <f>'Development Phase'!DL41</f>
        <v>0</v>
      </c>
      <c r="DM12" s="21">
        <f>'Development Phase'!DM41</f>
        <v>0</v>
      </c>
      <c r="DN12" s="21">
        <f>'Development Phase'!DN41</f>
        <v>0</v>
      </c>
      <c r="DO12" s="21">
        <f>'Development Phase'!DO41</f>
        <v>0</v>
      </c>
      <c r="DP12" s="21">
        <f>'Development Phase'!DP41</f>
        <v>0</v>
      </c>
      <c r="DQ12" s="21">
        <f>'Development Phase'!DQ41</f>
        <v>0</v>
      </c>
      <c r="DR12" s="21">
        <f>'Development Phase'!DR41</f>
        <v>0</v>
      </c>
      <c r="DS12" s="21">
        <f>'Development Phase'!DS41</f>
        <v>0</v>
      </c>
      <c r="DT12" s="21">
        <f>'Development Phase'!DT41</f>
        <v>0</v>
      </c>
      <c r="DU12" s="21">
        <f>'Development Phase'!DU41</f>
        <v>0</v>
      </c>
    </row>
    <row r="13" spans="3:125" s="3" customFormat="1" ht="22.95" customHeight="1">
      <c r="C13" s="3" t="s">
        <v>230</v>
      </c>
      <c r="D13" s="25">
        <f t="shared" si="8"/>
        <v>1342119.1819464038</v>
      </c>
      <c r="E13" s="21">
        <f>'Development Phase'!E33</f>
        <v>0</v>
      </c>
      <c r="F13" s="21">
        <f>'Development Phase'!F33</f>
        <v>0</v>
      </c>
      <c r="G13" s="21">
        <f>'Development Phase'!G33</f>
        <v>0</v>
      </c>
      <c r="H13" s="21">
        <f>'Development Phase'!H33</f>
        <v>0</v>
      </c>
      <c r="I13" s="21">
        <f>'Development Phase'!I33</f>
        <v>0</v>
      </c>
      <c r="J13" s="21">
        <f>'Development Phase'!J33</f>
        <v>0</v>
      </c>
      <c r="K13" s="21">
        <f>'Development Phase'!K33</f>
        <v>0</v>
      </c>
      <c r="L13" s="21">
        <f>'Development Phase'!L33</f>
        <v>0</v>
      </c>
      <c r="M13" s="21">
        <f>'Development Phase'!M33</f>
        <v>0</v>
      </c>
      <c r="N13" s="21">
        <f>'Development Phase'!N33</f>
        <v>0</v>
      </c>
      <c r="O13" s="21">
        <f>'Development Phase'!O33</f>
        <v>0</v>
      </c>
      <c r="P13" s="21">
        <f>'Development Phase'!P33</f>
        <v>0</v>
      </c>
      <c r="Q13" s="21">
        <f>'Development Phase'!Q33</f>
        <v>0</v>
      </c>
      <c r="R13" s="21">
        <f>'Development Phase'!R33</f>
        <v>0</v>
      </c>
      <c r="S13" s="21">
        <f>'Development Phase'!S33</f>
        <v>0</v>
      </c>
      <c r="T13" s="21">
        <f>'Development Phase'!T33</f>
        <v>0</v>
      </c>
      <c r="U13" s="21">
        <f>'Development Phase'!U33</f>
        <v>0</v>
      </c>
      <c r="V13" s="21">
        <f>'Development Phase'!V33</f>
        <v>0</v>
      </c>
      <c r="W13" s="21">
        <f>'Development Phase'!W33</f>
        <v>0</v>
      </c>
      <c r="X13" s="21">
        <f>'Development Phase'!X33</f>
        <v>0</v>
      </c>
      <c r="Y13" s="21">
        <f>'Development Phase'!Y33</f>
        <v>0</v>
      </c>
      <c r="Z13" s="21">
        <f>'Development Phase'!Z33</f>
        <v>0</v>
      </c>
      <c r="AA13" s="21">
        <f>'Development Phase'!AA33</f>
        <v>0</v>
      </c>
      <c r="AB13" s="21">
        <f>'Development Phase'!AB33</f>
        <v>0</v>
      </c>
      <c r="AC13" s="21">
        <f>'Development Phase'!AC33</f>
        <v>0</v>
      </c>
      <c r="AD13" s="21">
        <f>'Development Phase'!AD33</f>
        <v>0</v>
      </c>
      <c r="AE13" s="21">
        <f>'Development Phase'!AE33</f>
        <v>0</v>
      </c>
      <c r="AF13" s="21">
        <f>'Development Phase'!AF33</f>
        <v>0</v>
      </c>
      <c r="AG13" s="21">
        <f>'Development Phase'!AG33</f>
        <v>0</v>
      </c>
      <c r="AH13" s="21">
        <f>'Development Phase'!AH33</f>
        <v>0</v>
      </c>
      <c r="AI13" s="21">
        <f>'Development Phase'!AI33</f>
        <v>0</v>
      </c>
      <c r="AJ13" s="21">
        <f>'Development Phase'!AJ33</f>
        <v>0</v>
      </c>
      <c r="AK13" s="21">
        <f>'Development Phase'!AK33</f>
        <v>0</v>
      </c>
      <c r="AL13" s="21">
        <f>'Development Phase'!AL33</f>
        <v>0</v>
      </c>
      <c r="AM13" s="21">
        <f>'Development Phase'!AM33</f>
        <v>0</v>
      </c>
      <c r="AN13" s="21">
        <f>'Development Phase'!AN33</f>
        <v>0</v>
      </c>
      <c r="AO13" s="21">
        <f>'Development Phase'!AO33</f>
        <v>0</v>
      </c>
      <c r="AP13" s="21">
        <f>'Development Phase'!AP33</f>
        <v>0</v>
      </c>
      <c r="AQ13" s="21">
        <f>'Development Phase'!AQ33</f>
        <v>0</v>
      </c>
      <c r="AR13" s="21">
        <f>'Development Phase'!AR33</f>
        <v>0</v>
      </c>
      <c r="AS13" s="21">
        <f>'Development Phase'!AS33</f>
        <v>0</v>
      </c>
      <c r="AT13" s="21">
        <f>'Development Phase'!AT33</f>
        <v>0</v>
      </c>
      <c r="AU13" s="21">
        <f>'Development Phase'!AU33</f>
        <v>0</v>
      </c>
      <c r="AV13" s="21">
        <f>'Development Phase'!AV33</f>
        <v>0</v>
      </c>
      <c r="AW13" s="21">
        <f>'Development Phase'!AW33</f>
        <v>0</v>
      </c>
      <c r="AX13" s="21">
        <f>'Development Phase'!AX33</f>
        <v>11184.32651622003</v>
      </c>
      <c r="AY13" s="21">
        <f>'Development Phase'!AY33</f>
        <v>11184.32651622003</v>
      </c>
      <c r="AZ13" s="21">
        <f>'Development Phase'!AZ33</f>
        <v>11184.32651622003</v>
      </c>
      <c r="BA13" s="21">
        <f>'Development Phase'!BA33</f>
        <v>11184.32651622003</v>
      </c>
      <c r="BB13" s="21">
        <f>'Development Phase'!BB33</f>
        <v>11184.32651622003</v>
      </c>
      <c r="BC13" s="21">
        <f>'Development Phase'!BC33</f>
        <v>11184.32651622003</v>
      </c>
      <c r="BD13" s="21">
        <f>'Development Phase'!BD33</f>
        <v>454829.27832628123</v>
      </c>
      <c r="BE13" s="21">
        <f>'Development Phase'!BE33</f>
        <v>74562.176774800188</v>
      </c>
      <c r="BF13" s="21">
        <f>'Development Phase'!BF33</f>
        <v>74562.176774800188</v>
      </c>
      <c r="BG13" s="21">
        <f>'Development Phase'!BG33</f>
        <v>74562.176774800188</v>
      </c>
      <c r="BH13" s="21">
        <f>'Development Phase'!BH33</f>
        <v>74562.176774800188</v>
      </c>
      <c r="BI13" s="21">
        <f>'Development Phase'!BI33</f>
        <v>74562.176774800188</v>
      </c>
      <c r="BJ13" s="21">
        <f>'Development Phase'!BJ33</f>
        <v>74562.176774800188</v>
      </c>
      <c r="BK13" s="21">
        <f>'Development Phase'!BK33</f>
        <v>74562.176774800188</v>
      </c>
      <c r="BL13" s="21">
        <f>'Development Phase'!BL33</f>
        <v>74562.176774800188</v>
      </c>
      <c r="BM13" s="21">
        <f>'Development Phase'!BM33</f>
        <v>74562.176774800188</v>
      </c>
      <c r="BN13" s="21">
        <f>'Development Phase'!BN33</f>
        <v>74562.176774800188</v>
      </c>
      <c r="BO13" s="21">
        <f>'Development Phase'!BO33</f>
        <v>74562.176774800188</v>
      </c>
      <c r="BP13" s="21">
        <f>'Development Phase'!BP33</f>
        <v>0</v>
      </c>
      <c r="BQ13" s="21">
        <f>'Development Phase'!BQ33</f>
        <v>0</v>
      </c>
      <c r="BR13" s="21">
        <f>'Development Phase'!BR33</f>
        <v>0</v>
      </c>
      <c r="BS13" s="21">
        <f>'Development Phase'!BS33</f>
        <v>0</v>
      </c>
      <c r="BT13" s="21">
        <f>'Development Phase'!BT33</f>
        <v>0</v>
      </c>
      <c r="BU13" s="21">
        <f>'Development Phase'!BU33</f>
        <v>0</v>
      </c>
      <c r="BV13" s="21">
        <f>'Development Phase'!BV33</f>
        <v>0</v>
      </c>
      <c r="BW13" s="21">
        <f>'Development Phase'!BW33</f>
        <v>0</v>
      </c>
      <c r="BX13" s="21">
        <f>'Development Phase'!BX33</f>
        <v>0</v>
      </c>
      <c r="BY13" s="21">
        <f>'Development Phase'!BY33</f>
        <v>0</v>
      </c>
      <c r="BZ13" s="21">
        <f>'Development Phase'!BZ33</f>
        <v>0</v>
      </c>
      <c r="CA13" s="21">
        <f>'Development Phase'!CA33</f>
        <v>0</v>
      </c>
      <c r="CB13" s="21">
        <f>'Development Phase'!CB33</f>
        <v>0</v>
      </c>
      <c r="CC13" s="21">
        <f>'Development Phase'!CC33</f>
        <v>0</v>
      </c>
      <c r="CD13" s="21">
        <f>'Development Phase'!CD33</f>
        <v>0</v>
      </c>
      <c r="CE13" s="21">
        <f>'Development Phase'!CE33</f>
        <v>0</v>
      </c>
      <c r="CF13" s="21">
        <f>'Development Phase'!CF33</f>
        <v>0</v>
      </c>
      <c r="CG13" s="21">
        <f>'Development Phase'!CG33</f>
        <v>0</v>
      </c>
      <c r="CH13" s="21">
        <f>'Development Phase'!CH33</f>
        <v>0</v>
      </c>
      <c r="CI13" s="21">
        <f>'Development Phase'!CI33</f>
        <v>0</v>
      </c>
      <c r="CJ13" s="21">
        <f>'Development Phase'!CJ33</f>
        <v>0</v>
      </c>
      <c r="CK13" s="21">
        <f>'Development Phase'!CK33</f>
        <v>0</v>
      </c>
      <c r="CL13" s="21">
        <f>'Development Phase'!CL33</f>
        <v>0</v>
      </c>
      <c r="CM13" s="21">
        <f>'Development Phase'!CM33</f>
        <v>0</v>
      </c>
      <c r="CN13" s="21">
        <f>'Development Phase'!CN33</f>
        <v>0</v>
      </c>
      <c r="CO13" s="21">
        <f>'Development Phase'!CO33</f>
        <v>0</v>
      </c>
      <c r="CP13" s="21">
        <f>'Development Phase'!CP33</f>
        <v>0</v>
      </c>
      <c r="CQ13" s="21">
        <f>'Development Phase'!CQ33</f>
        <v>0</v>
      </c>
      <c r="CR13" s="21">
        <f>'Development Phase'!CR33</f>
        <v>0</v>
      </c>
      <c r="CS13" s="21">
        <f>'Development Phase'!CS33</f>
        <v>0</v>
      </c>
      <c r="CT13" s="21">
        <f>'Development Phase'!CT33</f>
        <v>0</v>
      </c>
      <c r="CU13" s="21">
        <f>'Development Phase'!CU33</f>
        <v>0</v>
      </c>
      <c r="CV13" s="21">
        <f>'Development Phase'!CV33</f>
        <v>0</v>
      </c>
      <c r="CW13" s="21">
        <f>'Development Phase'!CW33</f>
        <v>0</v>
      </c>
      <c r="CX13" s="21">
        <f>'Development Phase'!CX33</f>
        <v>0</v>
      </c>
      <c r="CY13" s="21">
        <f>'Development Phase'!CY33</f>
        <v>0</v>
      </c>
      <c r="CZ13" s="21">
        <f>'Development Phase'!CZ33</f>
        <v>0</v>
      </c>
      <c r="DA13" s="21">
        <f>'Development Phase'!DA33</f>
        <v>0</v>
      </c>
      <c r="DB13" s="21">
        <f>'Development Phase'!DB33</f>
        <v>0</v>
      </c>
      <c r="DC13" s="21">
        <f>'Development Phase'!DC33</f>
        <v>0</v>
      </c>
      <c r="DD13" s="21">
        <f>'Development Phase'!DD33</f>
        <v>0</v>
      </c>
      <c r="DE13" s="21">
        <f>'Development Phase'!DE33</f>
        <v>0</v>
      </c>
      <c r="DF13" s="21">
        <f>'Development Phase'!DF33</f>
        <v>0</v>
      </c>
      <c r="DG13" s="21">
        <f>'Development Phase'!DG33</f>
        <v>0</v>
      </c>
      <c r="DH13" s="21">
        <f>'Development Phase'!DH33</f>
        <v>0</v>
      </c>
      <c r="DI13" s="21">
        <f>'Development Phase'!DI33</f>
        <v>0</v>
      </c>
      <c r="DJ13" s="21">
        <f>'Development Phase'!DJ33</f>
        <v>0</v>
      </c>
      <c r="DK13" s="21">
        <f>'Development Phase'!DK33</f>
        <v>0</v>
      </c>
      <c r="DL13" s="21">
        <f>'Development Phase'!DL33</f>
        <v>0</v>
      </c>
      <c r="DM13" s="21">
        <f>'Development Phase'!DM33</f>
        <v>0</v>
      </c>
      <c r="DN13" s="21">
        <f>'Development Phase'!DN33</f>
        <v>0</v>
      </c>
      <c r="DO13" s="21">
        <f>'Development Phase'!DO33</f>
        <v>0</v>
      </c>
      <c r="DP13" s="21">
        <f>'Development Phase'!DP33</f>
        <v>0</v>
      </c>
      <c r="DQ13" s="21">
        <f>'Development Phase'!DQ33</f>
        <v>0</v>
      </c>
      <c r="DR13" s="21">
        <f>'Development Phase'!DR33</f>
        <v>0</v>
      </c>
      <c r="DS13" s="21">
        <f>'Development Phase'!DS33</f>
        <v>0</v>
      </c>
      <c r="DT13" s="21">
        <f>'Development Phase'!DT33</f>
        <v>0</v>
      </c>
      <c r="DU13" s="21">
        <f>'Development Phase'!DU33</f>
        <v>0</v>
      </c>
    </row>
    <row r="14" spans="3:125" s="3" customFormat="1" ht="22.95" customHeight="1">
      <c r="C14" s="3" t="s">
        <v>231</v>
      </c>
      <c r="D14" s="25">
        <f t="shared" si="8"/>
        <v>704166.66666666663</v>
      </c>
      <c r="E14" s="21">
        <f>'Operational Phase'!E27</f>
        <v>0</v>
      </c>
      <c r="F14" s="21">
        <f>'Operational Phase'!F27</f>
        <v>0</v>
      </c>
      <c r="G14" s="21">
        <f>'Operational Phase'!G27</f>
        <v>0</v>
      </c>
      <c r="H14" s="21">
        <f>'Operational Phase'!H27</f>
        <v>0</v>
      </c>
      <c r="I14" s="21">
        <f>'Operational Phase'!I27</f>
        <v>0</v>
      </c>
      <c r="J14" s="21">
        <f>'Operational Phase'!J27</f>
        <v>0</v>
      </c>
      <c r="K14" s="21">
        <f>'Operational Phase'!K27</f>
        <v>0</v>
      </c>
      <c r="L14" s="21">
        <f>'Operational Phase'!L27</f>
        <v>0</v>
      </c>
      <c r="M14" s="21">
        <f>'Operational Phase'!M27</f>
        <v>0</v>
      </c>
      <c r="N14" s="21">
        <f>'Operational Phase'!N27</f>
        <v>0</v>
      </c>
      <c r="O14" s="21">
        <f>'Operational Phase'!O27</f>
        <v>0</v>
      </c>
      <c r="P14" s="21">
        <f>'Operational Phase'!P27</f>
        <v>0</v>
      </c>
      <c r="Q14" s="21">
        <f>'Operational Phase'!Q27</f>
        <v>0</v>
      </c>
      <c r="R14" s="21">
        <f>'Operational Phase'!R27</f>
        <v>0</v>
      </c>
      <c r="S14" s="21">
        <f>'Operational Phase'!S27</f>
        <v>0</v>
      </c>
      <c r="T14" s="21">
        <f>'Operational Phase'!T27</f>
        <v>0</v>
      </c>
      <c r="U14" s="21">
        <f>'Operational Phase'!U27</f>
        <v>0</v>
      </c>
      <c r="V14" s="21">
        <f>'Operational Phase'!V27</f>
        <v>0</v>
      </c>
      <c r="W14" s="21">
        <f>'Operational Phase'!W27</f>
        <v>0</v>
      </c>
      <c r="X14" s="21">
        <f>'Operational Phase'!X27</f>
        <v>0</v>
      </c>
      <c r="Y14" s="21">
        <f>'Operational Phase'!Y27</f>
        <v>0</v>
      </c>
      <c r="Z14" s="21">
        <f>'Operational Phase'!Z27</f>
        <v>0</v>
      </c>
      <c r="AA14" s="21">
        <f>'Operational Phase'!AA27</f>
        <v>0</v>
      </c>
      <c r="AB14" s="21">
        <f>'Operational Phase'!AB27</f>
        <v>0</v>
      </c>
      <c r="AC14" s="21">
        <f>'Operational Phase'!AC27</f>
        <v>0</v>
      </c>
      <c r="AD14" s="21">
        <f>'Operational Phase'!AD27</f>
        <v>0</v>
      </c>
      <c r="AE14" s="21">
        <f>'Operational Phase'!AE27</f>
        <v>0</v>
      </c>
      <c r="AF14" s="21">
        <f>'Operational Phase'!AF27</f>
        <v>0</v>
      </c>
      <c r="AG14" s="21">
        <f>'Operational Phase'!AG27</f>
        <v>0</v>
      </c>
      <c r="AH14" s="21">
        <f>'Operational Phase'!AH27</f>
        <v>0</v>
      </c>
      <c r="AI14" s="21">
        <f>'Operational Phase'!AI27</f>
        <v>0</v>
      </c>
      <c r="AJ14" s="21">
        <f>'Operational Phase'!AJ27</f>
        <v>0</v>
      </c>
      <c r="AK14" s="21">
        <f>'Operational Phase'!AK27</f>
        <v>0</v>
      </c>
      <c r="AL14" s="21">
        <f>'Operational Phase'!AL27</f>
        <v>0</v>
      </c>
      <c r="AM14" s="21">
        <f>'Operational Phase'!AM27</f>
        <v>0</v>
      </c>
      <c r="AN14" s="21">
        <f>'Operational Phase'!AN27</f>
        <v>0</v>
      </c>
      <c r="AO14" s="21">
        <f>'Operational Phase'!AO27</f>
        <v>0</v>
      </c>
      <c r="AP14" s="21">
        <f>'Operational Phase'!AP27</f>
        <v>0</v>
      </c>
      <c r="AQ14" s="21">
        <f>'Operational Phase'!AQ27</f>
        <v>0</v>
      </c>
      <c r="AR14" s="21">
        <f>'Operational Phase'!AR27</f>
        <v>0</v>
      </c>
      <c r="AS14" s="21">
        <f>'Operational Phase'!AS27</f>
        <v>0</v>
      </c>
      <c r="AT14" s="21">
        <f>'Operational Phase'!AT27</f>
        <v>0</v>
      </c>
      <c r="AU14" s="21">
        <f>'Operational Phase'!AU27</f>
        <v>0</v>
      </c>
      <c r="AV14" s="21">
        <f>'Operational Phase'!AV27</f>
        <v>0</v>
      </c>
      <c r="AW14" s="21">
        <f>'Operational Phase'!AW27</f>
        <v>0</v>
      </c>
      <c r="AX14" s="21">
        <f>'Operational Phase'!AX27</f>
        <v>0</v>
      </c>
      <c r="AY14" s="21">
        <f>'Operational Phase'!AY27</f>
        <v>0</v>
      </c>
      <c r="AZ14" s="21">
        <f>'Operational Phase'!AZ27</f>
        <v>0</v>
      </c>
      <c r="BA14" s="21">
        <f>'Operational Phase'!BA27</f>
        <v>0</v>
      </c>
      <c r="BB14" s="21">
        <f>'Operational Phase'!BB27</f>
        <v>0</v>
      </c>
      <c r="BC14" s="21">
        <f>'Operational Phase'!BC27</f>
        <v>0</v>
      </c>
      <c r="BD14" s="21">
        <f>'Operational Phase'!BD27</f>
        <v>4861.1111111111113</v>
      </c>
      <c r="BE14" s="21">
        <f>'Operational Phase'!BE27</f>
        <v>5555.5555555555557</v>
      </c>
      <c r="BF14" s="21">
        <f>'Operational Phase'!BF27</f>
        <v>6250</v>
      </c>
      <c r="BG14" s="21">
        <f>'Operational Phase'!BG27</f>
        <v>6944.4444444444434</v>
      </c>
      <c r="BH14" s="21">
        <f>'Operational Phase'!BH27</f>
        <v>7638.8888888888878</v>
      </c>
      <c r="BI14" s="21">
        <f>'Operational Phase'!BI27</f>
        <v>8333.3333333333321</v>
      </c>
      <c r="BJ14" s="21">
        <f>'Operational Phase'!BJ27</f>
        <v>9027.7777777777756</v>
      </c>
      <c r="BK14" s="21">
        <f>'Operational Phase'!BK27</f>
        <v>9722.222222222219</v>
      </c>
      <c r="BL14" s="21">
        <f>'Operational Phase'!BL27</f>
        <v>10416.666666666664</v>
      </c>
      <c r="BM14" s="21">
        <f>'Operational Phase'!BM27</f>
        <v>11111.111111111109</v>
      </c>
      <c r="BN14" s="21">
        <f>'Operational Phase'!BN27</f>
        <v>11805.555555555555</v>
      </c>
      <c r="BO14" s="21">
        <f>'Operational Phase'!BO27</f>
        <v>12500</v>
      </c>
      <c r="BP14" s="21">
        <f>'Operational Phase'!BP27</f>
        <v>12500</v>
      </c>
      <c r="BQ14" s="21">
        <f>'Operational Phase'!BQ27</f>
        <v>12500</v>
      </c>
      <c r="BR14" s="21">
        <f>'Operational Phase'!BR27</f>
        <v>12500</v>
      </c>
      <c r="BS14" s="21">
        <f>'Operational Phase'!BS27</f>
        <v>12500</v>
      </c>
      <c r="BT14" s="21">
        <f>'Operational Phase'!BT27</f>
        <v>12500</v>
      </c>
      <c r="BU14" s="21">
        <f>'Operational Phase'!BU27</f>
        <v>12500</v>
      </c>
      <c r="BV14" s="21">
        <f>'Operational Phase'!BV27</f>
        <v>12500</v>
      </c>
      <c r="BW14" s="21">
        <f>'Operational Phase'!BW27</f>
        <v>12500</v>
      </c>
      <c r="BX14" s="21">
        <f>'Operational Phase'!BX27</f>
        <v>12500</v>
      </c>
      <c r="BY14" s="21">
        <f>'Operational Phase'!BY27</f>
        <v>12500</v>
      </c>
      <c r="BZ14" s="21">
        <f>'Operational Phase'!BZ27</f>
        <v>12500</v>
      </c>
      <c r="CA14" s="21">
        <f>'Operational Phase'!CA27</f>
        <v>12500</v>
      </c>
      <c r="CB14" s="21">
        <f>'Operational Phase'!CB27</f>
        <v>12500</v>
      </c>
      <c r="CC14" s="21">
        <f>'Operational Phase'!CC27</f>
        <v>12500</v>
      </c>
      <c r="CD14" s="21">
        <f>'Operational Phase'!CD27</f>
        <v>12500</v>
      </c>
      <c r="CE14" s="21">
        <f>'Operational Phase'!CE27</f>
        <v>12500</v>
      </c>
      <c r="CF14" s="21">
        <f>'Operational Phase'!CF27</f>
        <v>12500</v>
      </c>
      <c r="CG14" s="21">
        <f>'Operational Phase'!CG27</f>
        <v>12500</v>
      </c>
      <c r="CH14" s="21">
        <f>'Operational Phase'!CH27</f>
        <v>12500</v>
      </c>
      <c r="CI14" s="21">
        <f>'Operational Phase'!CI27</f>
        <v>12500</v>
      </c>
      <c r="CJ14" s="21">
        <f>'Operational Phase'!CJ27</f>
        <v>12500</v>
      </c>
      <c r="CK14" s="21">
        <f>'Operational Phase'!CK27</f>
        <v>12500</v>
      </c>
      <c r="CL14" s="21">
        <f>'Operational Phase'!CL27</f>
        <v>12500</v>
      </c>
      <c r="CM14" s="21">
        <f>'Operational Phase'!CM27</f>
        <v>12500</v>
      </c>
      <c r="CN14" s="21">
        <f>'Operational Phase'!CN27</f>
        <v>12500</v>
      </c>
      <c r="CO14" s="21">
        <f>'Operational Phase'!CO27</f>
        <v>12500</v>
      </c>
      <c r="CP14" s="21">
        <f>'Operational Phase'!CP27</f>
        <v>12500</v>
      </c>
      <c r="CQ14" s="21">
        <f>'Operational Phase'!CQ27</f>
        <v>12500</v>
      </c>
      <c r="CR14" s="21">
        <f>'Operational Phase'!CR27</f>
        <v>12500</v>
      </c>
      <c r="CS14" s="21">
        <f>'Operational Phase'!CS27</f>
        <v>12500</v>
      </c>
      <c r="CT14" s="21">
        <f>'Operational Phase'!CT27</f>
        <v>12500</v>
      </c>
      <c r="CU14" s="21">
        <f>'Operational Phase'!CU27</f>
        <v>12500</v>
      </c>
      <c r="CV14" s="21">
        <f>'Operational Phase'!CV27</f>
        <v>12500</v>
      </c>
      <c r="CW14" s="21">
        <f>'Operational Phase'!CW27</f>
        <v>12500</v>
      </c>
      <c r="CX14" s="21">
        <f>'Operational Phase'!CX27</f>
        <v>12500</v>
      </c>
      <c r="CY14" s="21">
        <f>'Operational Phase'!CY27</f>
        <v>12500</v>
      </c>
      <c r="CZ14" s="21">
        <f>'Operational Phase'!CZ27</f>
        <v>12500</v>
      </c>
      <c r="DA14" s="21">
        <f>'Operational Phase'!DA27</f>
        <v>12500</v>
      </c>
      <c r="DB14" s="21">
        <f>'Operational Phase'!DB27</f>
        <v>12500</v>
      </c>
      <c r="DC14" s="21">
        <f>'Operational Phase'!DC27</f>
        <v>12500</v>
      </c>
      <c r="DD14" s="21">
        <f>'Operational Phase'!DD27</f>
        <v>12500</v>
      </c>
      <c r="DE14" s="21">
        <f>'Operational Phase'!DE27</f>
        <v>12500</v>
      </c>
      <c r="DF14" s="21">
        <f>'Operational Phase'!DF27</f>
        <v>12500</v>
      </c>
      <c r="DG14" s="21">
        <f>'Operational Phase'!DG27</f>
        <v>12500</v>
      </c>
      <c r="DH14" s="21">
        <f>'Operational Phase'!DH27</f>
        <v>12500</v>
      </c>
      <c r="DI14" s="21">
        <f>'Operational Phase'!DI27</f>
        <v>12500</v>
      </c>
      <c r="DJ14" s="21">
        <f>'Operational Phase'!DJ27</f>
        <v>12500</v>
      </c>
      <c r="DK14" s="21">
        <f>'Operational Phase'!DK27</f>
        <v>12500</v>
      </c>
      <c r="DL14" s="21">
        <f>'Operational Phase'!DL27</f>
        <v>0</v>
      </c>
      <c r="DM14" s="21">
        <f>'Operational Phase'!DM27</f>
        <v>0</v>
      </c>
      <c r="DN14" s="21">
        <f>'Operational Phase'!DN27</f>
        <v>0</v>
      </c>
      <c r="DO14" s="21">
        <f>'Operational Phase'!DO27</f>
        <v>0</v>
      </c>
      <c r="DP14" s="21">
        <f>'Operational Phase'!DP27</f>
        <v>0</v>
      </c>
      <c r="DQ14" s="21">
        <f>'Operational Phase'!DQ27</f>
        <v>0</v>
      </c>
      <c r="DR14" s="21">
        <f>'Operational Phase'!DR27</f>
        <v>0</v>
      </c>
      <c r="DS14" s="21">
        <f>'Operational Phase'!DS27</f>
        <v>0</v>
      </c>
      <c r="DT14" s="21">
        <f>'Operational Phase'!DT27</f>
        <v>0</v>
      </c>
      <c r="DU14" s="21">
        <f>'Operational Phase'!DU27</f>
        <v>0</v>
      </c>
    </row>
    <row r="15" spans="3:125" s="3" customFormat="1" ht="22.95" customHeight="1">
      <c r="C15" s="26" t="s">
        <v>232</v>
      </c>
      <c r="D15" s="27">
        <f t="shared" si="8"/>
        <v>2083907.7236130696</v>
      </c>
      <c r="E15" s="28">
        <f t="shared" ref="E15:AJ15" si="9">SUM(E7:E14)</f>
        <v>-1048333.3333333334</v>
      </c>
      <c r="F15" s="28">
        <f t="shared" si="9"/>
        <v>1666.6666666666667</v>
      </c>
      <c r="G15" s="28">
        <f t="shared" si="9"/>
        <v>1666.6666666666667</v>
      </c>
      <c r="H15" s="28">
        <f t="shared" si="9"/>
        <v>1666.6666666666667</v>
      </c>
      <c r="I15" s="28">
        <f t="shared" si="9"/>
        <v>1666.6666666666667</v>
      </c>
      <c r="J15" s="28">
        <f t="shared" si="9"/>
        <v>1666.6666666666667</v>
      </c>
      <c r="K15" s="28">
        <f t="shared" si="9"/>
        <v>1666.6666666666667</v>
      </c>
      <c r="L15" s="28">
        <f t="shared" si="9"/>
        <v>1666.6666666666667</v>
      </c>
      <c r="M15" s="28">
        <f t="shared" si="9"/>
        <v>1666.6666666666667</v>
      </c>
      <c r="N15" s="28">
        <f t="shared" si="9"/>
        <v>1666.6666666666667</v>
      </c>
      <c r="O15" s="28">
        <f t="shared" si="9"/>
        <v>1666.6666666666667</v>
      </c>
      <c r="P15" s="28">
        <f t="shared" si="9"/>
        <v>1666.6666666666667</v>
      </c>
      <c r="Q15" s="28">
        <f t="shared" si="9"/>
        <v>1666.6666666666667</v>
      </c>
      <c r="R15" s="28">
        <f t="shared" si="9"/>
        <v>1666.6666666666667</v>
      </c>
      <c r="S15" s="28">
        <f t="shared" si="9"/>
        <v>1666.6666666666667</v>
      </c>
      <c r="T15" s="28">
        <f t="shared" si="9"/>
        <v>1666.6666666666667</v>
      </c>
      <c r="U15" s="28">
        <f t="shared" si="9"/>
        <v>1666.6666666666667</v>
      </c>
      <c r="V15" s="28">
        <f t="shared" si="9"/>
        <v>1666.6666666666667</v>
      </c>
      <c r="W15" s="28">
        <f t="shared" si="9"/>
        <v>0</v>
      </c>
      <c r="X15" s="28">
        <f t="shared" si="9"/>
        <v>0</v>
      </c>
      <c r="Y15" s="28">
        <f t="shared" si="9"/>
        <v>0</v>
      </c>
      <c r="Z15" s="28">
        <f t="shared" si="9"/>
        <v>0</v>
      </c>
      <c r="AA15" s="28">
        <f t="shared" si="9"/>
        <v>0</v>
      </c>
      <c r="AB15" s="28">
        <f t="shared" si="9"/>
        <v>0</v>
      </c>
      <c r="AC15" s="28">
        <f t="shared" si="9"/>
        <v>900000</v>
      </c>
      <c r="AD15" s="28">
        <f t="shared" si="9"/>
        <v>0</v>
      </c>
      <c r="AE15" s="28">
        <f t="shared" si="9"/>
        <v>0</v>
      </c>
      <c r="AF15" s="28">
        <f t="shared" si="9"/>
        <v>6567.578125</v>
      </c>
      <c r="AG15" s="28">
        <f t="shared" si="9"/>
        <v>6567.578125</v>
      </c>
      <c r="AH15" s="28">
        <f t="shared" si="9"/>
        <v>6567.578125</v>
      </c>
      <c r="AI15" s="28">
        <f t="shared" si="9"/>
        <v>6567.578125</v>
      </c>
      <c r="AJ15" s="28">
        <f t="shared" si="9"/>
        <v>6567.578125</v>
      </c>
      <c r="AK15" s="28">
        <f t="shared" ref="AK15:BP15" si="10">SUM(AK7:AK14)</f>
        <v>6567.578125</v>
      </c>
      <c r="AL15" s="28">
        <f t="shared" si="10"/>
        <v>6567.578125</v>
      </c>
      <c r="AM15" s="28">
        <f t="shared" si="10"/>
        <v>6567.578125</v>
      </c>
      <c r="AN15" s="28">
        <f t="shared" si="10"/>
        <v>6567.578125</v>
      </c>
      <c r="AO15" s="28">
        <f t="shared" si="10"/>
        <v>6567.578125</v>
      </c>
      <c r="AP15" s="28">
        <f t="shared" si="10"/>
        <v>6567.578125</v>
      </c>
      <c r="AQ15" s="28">
        <f t="shared" si="10"/>
        <v>6567.578125</v>
      </c>
      <c r="AR15" s="28">
        <f t="shared" si="10"/>
        <v>6567.578125</v>
      </c>
      <c r="AS15" s="28">
        <f t="shared" si="10"/>
        <v>6567.578125</v>
      </c>
      <c r="AT15" s="28">
        <f t="shared" si="10"/>
        <v>6567.578125</v>
      </c>
      <c r="AU15" s="28">
        <f t="shared" si="10"/>
        <v>6567.578125</v>
      </c>
      <c r="AV15" s="28">
        <f t="shared" si="10"/>
        <v>6567.578125</v>
      </c>
      <c r="AW15" s="28">
        <f t="shared" si="10"/>
        <v>6567.578125</v>
      </c>
      <c r="AX15" s="28">
        <f t="shared" si="10"/>
        <v>17751.90464122003</v>
      </c>
      <c r="AY15" s="28">
        <f t="shared" si="10"/>
        <v>17751.90464122003</v>
      </c>
      <c r="AZ15" s="28">
        <f t="shared" si="10"/>
        <v>17751.90464122003</v>
      </c>
      <c r="BA15" s="28">
        <f t="shared" si="10"/>
        <v>17751.90464122003</v>
      </c>
      <c r="BB15" s="28">
        <f t="shared" si="10"/>
        <v>17751.90464122003</v>
      </c>
      <c r="BC15" s="28">
        <f t="shared" si="10"/>
        <v>17751.90464122003</v>
      </c>
      <c r="BD15" s="28">
        <f t="shared" si="10"/>
        <v>459690.38943739235</v>
      </c>
      <c r="BE15" s="28">
        <f t="shared" si="10"/>
        <v>80117.73233035575</v>
      </c>
      <c r="BF15" s="28">
        <f t="shared" si="10"/>
        <v>80812.176774800188</v>
      </c>
      <c r="BG15" s="28">
        <f t="shared" si="10"/>
        <v>81506.621219244626</v>
      </c>
      <c r="BH15" s="28">
        <f t="shared" si="10"/>
        <v>82201.065663689078</v>
      </c>
      <c r="BI15" s="28">
        <f t="shared" si="10"/>
        <v>82895.510108133516</v>
      </c>
      <c r="BJ15" s="28">
        <f t="shared" si="10"/>
        <v>83589.954552577969</v>
      </c>
      <c r="BK15" s="28">
        <f t="shared" si="10"/>
        <v>84284.398997022407</v>
      </c>
      <c r="BL15" s="28">
        <f t="shared" si="10"/>
        <v>84978.843441466859</v>
      </c>
      <c r="BM15" s="28">
        <f t="shared" si="10"/>
        <v>85673.287885911297</v>
      </c>
      <c r="BN15" s="28">
        <f t="shared" si="10"/>
        <v>86367.732330355735</v>
      </c>
      <c r="BO15" s="28">
        <f t="shared" si="10"/>
        <v>87062.176774800188</v>
      </c>
      <c r="BP15" s="28">
        <f t="shared" si="10"/>
        <v>12500</v>
      </c>
      <c r="BQ15" s="28">
        <f t="shared" ref="BQ15:CV15" si="11">SUM(BQ7:BQ14)</f>
        <v>12500</v>
      </c>
      <c r="BR15" s="28">
        <f t="shared" si="11"/>
        <v>12500</v>
      </c>
      <c r="BS15" s="28">
        <f t="shared" si="11"/>
        <v>12500</v>
      </c>
      <c r="BT15" s="28">
        <f t="shared" si="11"/>
        <v>12500</v>
      </c>
      <c r="BU15" s="28">
        <f t="shared" si="11"/>
        <v>12500</v>
      </c>
      <c r="BV15" s="28">
        <f t="shared" si="11"/>
        <v>12500</v>
      </c>
      <c r="BW15" s="28">
        <f t="shared" si="11"/>
        <v>12500</v>
      </c>
      <c r="BX15" s="28">
        <f t="shared" si="11"/>
        <v>12500</v>
      </c>
      <c r="BY15" s="28">
        <f t="shared" si="11"/>
        <v>12500</v>
      </c>
      <c r="BZ15" s="28">
        <f t="shared" si="11"/>
        <v>12500</v>
      </c>
      <c r="CA15" s="28">
        <f t="shared" si="11"/>
        <v>12500</v>
      </c>
      <c r="CB15" s="28">
        <f t="shared" si="11"/>
        <v>12500</v>
      </c>
      <c r="CC15" s="28">
        <f t="shared" si="11"/>
        <v>12500</v>
      </c>
      <c r="CD15" s="28">
        <f t="shared" si="11"/>
        <v>12500</v>
      </c>
      <c r="CE15" s="28">
        <f t="shared" si="11"/>
        <v>12500</v>
      </c>
      <c r="CF15" s="28">
        <f t="shared" si="11"/>
        <v>12500</v>
      </c>
      <c r="CG15" s="28">
        <f t="shared" si="11"/>
        <v>12500</v>
      </c>
      <c r="CH15" s="28">
        <f t="shared" si="11"/>
        <v>12500</v>
      </c>
      <c r="CI15" s="28">
        <f t="shared" si="11"/>
        <v>12500</v>
      </c>
      <c r="CJ15" s="28">
        <f t="shared" si="11"/>
        <v>12500</v>
      </c>
      <c r="CK15" s="28">
        <f t="shared" si="11"/>
        <v>12500</v>
      </c>
      <c r="CL15" s="28">
        <f t="shared" si="11"/>
        <v>12500</v>
      </c>
      <c r="CM15" s="28">
        <f t="shared" si="11"/>
        <v>12500</v>
      </c>
      <c r="CN15" s="28">
        <f t="shared" si="11"/>
        <v>12500</v>
      </c>
      <c r="CO15" s="28">
        <f t="shared" si="11"/>
        <v>12500</v>
      </c>
      <c r="CP15" s="28">
        <f t="shared" si="11"/>
        <v>12500</v>
      </c>
      <c r="CQ15" s="28">
        <f t="shared" si="11"/>
        <v>12500</v>
      </c>
      <c r="CR15" s="28">
        <f t="shared" si="11"/>
        <v>12500</v>
      </c>
      <c r="CS15" s="28">
        <f t="shared" si="11"/>
        <v>12500</v>
      </c>
      <c r="CT15" s="28">
        <f t="shared" si="11"/>
        <v>12500</v>
      </c>
      <c r="CU15" s="28">
        <f t="shared" si="11"/>
        <v>12500</v>
      </c>
      <c r="CV15" s="28">
        <f t="shared" si="11"/>
        <v>12500</v>
      </c>
      <c r="CW15" s="28">
        <f t="shared" ref="CW15:DU15" si="12">SUM(CW7:CW14)</f>
        <v>12500</v>
      </c>
      <c r="CX15" s="28">
        <f t="shared" si="12"/>
        <v>12500</v>
      </c>
      <c r="CY15" s="28">
        <f t="shared" si="12"/>
        <v>12500</v>
      </c>
      <c r="CZ15" s="28">
        <f t="shared" si="12"/>
        <v>12500</v>
      </c>
      <c r="DA15" s="28">
        <f t="shared" si="12"/>
        <v>12500</v>
      </c>
      <c r="DB15" s="28">
        <f t="shared" si="12"/>
        <v>12500</v>
      </c>
      <c r="DC15" s="28">
        <f t="shared" si="12"/>
        <v>12500</v>
      </c>
      <c r="DD15" s="28">
        <f t="shared" si="12"/>
        <v>12500</v>
      </c>
      <c r="DE15" s="28">
        <f t="shared" si="12"/>
        <v>12500</v>
      </c>
      <c r="DF15" s="28">
        <f t="shared" si="12"/>
        <v>12500</v>
      </c>
      <c r="DG15" s="28">
        <f t="shared" si="12"/>
        <v>12500</v>
      </c>
      <c r="DH15" s="28">
        <f t="shared" si="12"/>
        <v>12500</v>
      </c>
      <c r="DI15" s="28">
        <f t="shared" si="12"/>
        <v>12500</v>
      </c>
      <c r="DJ15" s="28">
        <f t="shared" si="12"/>
        <v>12500</v>
      </c>
      <c r="DK15" s="28">
        <f t="shared" si="12"/>
        <v>12500</v>
      </c>
      <c r="DL15" s="28">
        <f t="shared" si="12"/>
        <v>0</v>
      </c>
      <c r="DM15" s="28">
        <f t="shared" si="12"/>
        <v>0</v>
      </c>
      <c r="DN15" s="28">
        <f t="shared" si="12"/>
        <v>0</v>
      </c>
      <c r="DO15" s="28">
        <f t="shared" si="12"/>
        <v>0</v>
      </c>
      <c r="DP15" s="28">
        <f t="shared" si="12"/>
        <v>0</v>
      </c>
      <c r="DQ15" s="28">
        <f t="shared" si="12"/>
        <v>0</v>
      </c>
      <c r="DR15" s="28">
        <f t="shared" si="12"/>
        <v>0</v>
      </c>
      <c r="DS15" s="28">
        <f t="shared" si="12"/>
        <v>0</v>
      </c>
      <c r="DT15" s="28">
        <f t="shared" si="12"/>
        <v>0</v>
      </c>
      <c r="DU15" s="28">
        <f t="shared" si="12"/>
        <v>0</v>
      </c>
    </row>
    <row r="16" spans="3:125" s="3" customFormat="1" ht="22.95" customHeight="1">
      <c r="C16" s="31" t="s">
        <v>233</v>
      </c>
      <c r="D16" s="86">
        <f>AVERAGE(E16:DU16)</f>
        <v>7.2809917355371984E-2</v>
      </c>
      <c r="E16" s="85">
        <f>F16</f>
        <v>0.02</v>
      </c>
      <c r="F16" s="85">
        <f t="shared" ref="F16:AK16" si="13">(SUM(F8,F10,F14)*12)/-$D$7</f>
        <v>0.02</v>
      </c>
      <c r="G16" s="85">
        <f t="shared" si="13"/>
        <v>0.02</v>
      </c>
      <c r="H16" s="85">
        <f t="shared" si="13"/>
        <v>0.02</v>
      </c>
      <c r="I16" s="85">
        <f t="shared" si="13"/>
        <v>0.02</v>
      </c>
      <c r="J16" s="85">
        <f t="shared" si="13"/>
        <v>0.02</v>
      </c>
      <c r="K16" s="85">
        <f t="shared" si="13"/>
        <v>0.02</v>
      </c>
      <c r="L16" s="85">
        <f t="shared" si="13"/>
        <v>0.02</v>
      </c>
      <c r="M16" s="85">
        <f t="shared" si="13"/>
        <v>0.02</v>
      </c>
      <c r="N16" s="85">
        <f t="shared" si="13"/>
        <v>0.02</v>
      </c>
      <c r="O16" s="85">
        <f t="shared" si="13"/>
        <v>0.02</v>
      </c>
      <c r="P16" s="85">
        <f t="shared" si="13"/>
        <v>0.02</v>
      </c>
      <c r="Q16" s="85">
        <f t="shared" si="13"/>
        <v>0.02</v>
      </c>
      <c r="R16" s="85">
        <f t="shared" si="13"/>
        <v>0.02</v>
      </c>
      <c r="S16" s="85">
        <f t="shared" si="13"/>
        <v>0.02</v>
      </c>
      <c r="T16" s="85">
        <f t="shared" si="13"/>
        <v>0.02</v>
      </c>
      <c r="U16" s="85">
        <f t="shared" si="13"/>
        <v>0.02</v>
      </c>
      <c r="V16" s="85">
        <f t="shared" si="13"/>
        <v>0.02</v>
      </c>
      <c r="W16" s="85">
        <f t="shared" si="13"/>
        <v>0</v>
      </c>
      <c r="X16" s="85">
        <f t="shared" si="13"/>
        <v>0</v>
      </c>
      <c r="Y16" s="85">
        <f t="shared" si="13"/>
        <v>0</v>
      </c>
      <c r="Z16" s="85">
        <f t="shared" si="13"/>
        <v>0</v>
      </c>
      <c r="AA16" s="85">
        <f t="shared" si="13"/>
        <v>0</v>
      </c>
      <c r="AB16" s="85">
        <f t="shared" si="13"/>
        <v>0</v>
      </c>
      <c r="AC16" s="85">
        <f t="shared" si="13"/>
        <v>0</v>
      </c>
      <c r="AD16" s="85">
        <f t="shared" si="13"/>
        <v>0</v>
      </c>
      <c r="AE16" s="85">
        <f t="shared" si="13"/>
        <v>0</v>
      </c>
      <c r="AF16" s="85">
        <f t="shared" si="13"/>
        <v>0</v>
      </c>
      <c r="AG16" s="85">
        <f t="shared" si="13"/>
        <v>0</v>
      </c>
      <c r="AH16" s="85">
        <f t="shared" si="13"/>
        <v>0</v>
      </c>
      <c r="AI16" s="85">
        <f t="shared" si="13"/>
        <v>0</v>
      </c>
      <c r="AJ16" s="85">
        <f t="shared" si="13"/>
        <v>0</v>
      </c>
      <c r="AK16" s="85">
        <f t="shared" si="13"/>
        <v>0</v>
      </c>
      <c r="AL16" s="85">
        <f t="shared" ref="AL16:BQ16" si="14">(SUM(AL8,AL10,AL14)*12)/-$D$7</f>
        <v>0</v>
      </c>
      <c r="AM16" s="85">
        <f t="shared" si="14"/>
        <v>0</v>
      </c>
      <c r="AN16" s="85">
        <f t="shared" si="14"/>
        <v>0</v>
      </c>
      <c r="AO16" s="85">
        <f t="shared" si="14"/>
        <v>0</v>
      </c>
      <c r="AP16" s="85">
        <f t="shared" si="14"/>
        <v>0</v>
      </c>
      <c r="AQ16" s="85">
        <f t="shared" si="14"/>
        <v>0</v>
      </c>
      <c r="AR16" s="85">
        <f t="shared" si="14"/>
        <v>0</v>
      </c>
      <c r="AS16" s="85">
        <f t="shared" si="14"/>
        <v>0</v>
      </c>
      <c r="AT16" s="85">
        <f t="shared" si="14"/>
        <v>0</v>
      </c>
      <c r="AU16" s="85">
        <f t="shared" si="14"/>
        <v>0</v>
      </c>
      <c r="AV16" s="85">
        <f t="shared" si="14"/>
        <v>0</v>
      </c>
      <c r="AW16" s="85">
        <f t="shared" si="14"/>
        <v>0</v>
      </c>
      <c r="AX16" s="85">
        <f t="shared" si="14"/>
        <v>0</v>
      </c>
      <c r="AY16" s="85">
        <f t="shared" si="14"/>
        <v>0</v>
      </c>
      <c r="AZ16" s="85">
        <f t="shared" si="14"/>
        <v>0</v>
      </c>
      <c r="BA16" s="85">
        <f t="shared" si="14"/>
        <v>0</v>
      </c>
      <c r="BB16" s="85">
        <f t="shared" si="14"/>
        <v>0</v>
      </c>
      <c r="BC16" s="85">
        <f t="shared" si="14"/>
        <v>0</v>
      </c>
      <c r="BD16" s="85">
        <f t="shared" si="14"/>
        <v>5.8333333333333334E-2</v>
      </c>
      <c r="BE16" s="85">
        <f t="shared" si="14"/>
        <v>6.6666666666666666E-2</v>
      </c>
      <c r="BF16" s="85">
        <f t="shared" si="14"/>
        <v>7.4999999999999997E-2</v>
      </c>
      <c r="BG16" s="85">
        <f t="shared" si="14"/>
        <v>8.3333333333333315E-2</v>
      </c>
      <c r="BH16" s="85">
        <f t="shared" si="14"/>
        <v>9.166666666666666E-2</v>
      </c>
      <c r="BI16" s="85">
        <f t="shared" si="14"/>
        <v>9.9999999999999992E-2</v>
      </c>
      <c r="BJ16" s="85">
        <f t="shared" si="14"/>
        <v>0.10833333333333331</v>
      </c>
      <c r="BK16" s="85">
        <f t="shared" si="14"/>
        <v>0.11666666666666663</v>
      </c>
      <c r="BL16" s="85">
        <f t="shared" si="14"/>
        <v>0.12499999999999997</v>
      </c>
      <c r="BM16" s="85">
        <f t="shared" si="14"/>
        <v>0.1333333333333333</v>
      </c>
      <c r="BN16" s="85">
        <f t="shared" si="14"/>
        <v>0.14166666666666666</v>
      </c>
      <c r="BO16" s="85">
        <f t="shared" si="14"/>
        <v>0.15</v>
      </c>
      <c r="BP16" s="85">
        <f t="shared" si="14"/>
        <v>0.15</v>
      </c>
      <c r="BQ16" s="85">
        <f t="shared" si="14"/>
        <v>0.15</v>
      </c>
      <c r="BR16" s="85">
        <f t="shared" ref="BR16:CW16" si="15">(SUM(BR8,BR10,BR14)*12)/-$D$7</f>
        <v>0.15</v>
      </c>
      <c r="BS16" s="85">
        <f t="shared" si="15"/>
        <v>0.15</v>
      </c>
      <c r="BT16" s="85">
        <f t="shared" si="15"/>
        <v>0.15</v>
      </c>
      <c r="BU16" s="85">
        <f t="shared" si="15"/>
        <v>0.15</v>
      </c>
      <c r="BV16" s="85">
        <f t="shared" si="15"/>
        <v>0.15</v>
      </c>
      <c r="BW16" s="85">
        <f t="shared" si="15"/>
        <v>0.15</v>
      </c>
      <c r="BX16" s="85">
        <f t="shared" si="15"/>
        <v>0.15</v>
      </c>
      <c r="BY16" s="85">
        <f t="shared" si="15"/>
        <v>0.15</v>
      </c>
      <c r="BZ16" s="85">
        <f t="shared" si="15"/>
        <v>0.15</v>
      </c>
      <c r="CA16" s="85">
        <f t="shared" si="15"/>
        <v>0.15</v>
      </c>
      <c r="CB16" s="85">
        <f t="shared" si="15"/>
        <v>0.15</v>
      </c>
      <c r="CC16" s="85">
        <f t="shared" si="15"/>
        <v>0.15</v>
      </c>
      <c r="CD16" s="85">
        <f t="shared" si="15"/>
        <v>0.15</v>
      </c>
      <c r="CE16" s="85">
        <f t="shared" si="15"/>
        <v>0.15</v>
      </c>
      <c r="CF16" s="85">
        <f t="shared" si="15"/>
        <v>0.15</v>
      </c>
      <c r="CG16" s="85">
        <f t="shared" si="15"/>
        <v>0.15</v>
      </c>
      <c r="CH16" s="85">
        <f t="shared" si="15"/>
        <v>0.15</v>
      </c>
      <c r="CI16" s="85">
        <f t="shared" si="15"/>
        <v>0.15</v>
      </c>
      <c r="CJ16" s="85">
        <f t="shared" si="15"/>
        <v>0.15</v>
      </c>
      <c r="CK16" s="85">
        <f t="shared" si="15"/>
        <v>0.15</v>
      </c>
      <c r="CL16" s="85">
        <f t="shared" si="15"/>
        <v>0.15</v>
      </c>
      <c r="CM16" s="85">
        <f t="shared" si="15"/>
        <v>0.15</v>
      </c>
      <c r="CN16" s="85">
        <f t="shared" si="15"/>
        <v>0.15</v>
      </c>
      <c r="CO16" s="85">
        <f t="shared" si="15"/>
        <v>0.15</v>
      </c>
      <c r="CP16" s="85">
        <f t="shared" si="15"/>
        <v>0.15</v>
      </c>
      <c r="CQ16" s="85">
        <f t="shared" si="15"/>
        <v>0.15</v>
      </c>
      <c r="CR16" s="85">
        <f t="shared" si="15"/>
        <v>0.15</v>
      </c>
      <c r="CS16" s="85">
        <f t="shared" si="15"/>
        <v>0.15</v>
      </c>
      <c r="CT16" s="85">
        <f t="shared" si="15"/>
        <v>0.15</v>
      </c>
      <c r="CU16" s="85">
        <f t="shared" si="15"/>
        <v>0.15</v>
      </c>
      <c r="CV16" s="85">
        <f t="shared" si="15"/>
        <v>0.15</v>
      </c>
      <c r="CW16" s="85">
        <f t="shared" si="15"/>
        <v>0.15</v>
      </c>
      <c r="CX16" s="85">
        <f t="shared" ref="CX16:DU16" si="16">(SUM(CX8,CX10,CX14)*12)/-$D$7</f>
        <v>0.15</v>
      </c>
      <c r="CY16" s="85">
        <f t="shared" si="16"/>
        <v>0.15</v>
      </c>
      <c r="CZ16" s="85">
        <f t="shared" si="16"/>
        <v>0.15</v>
      </c>
      <c r="DA16" s="85">
        <f t="shared" si="16"/>
        <v>0.15</v>
      </c>
      <c r="DB16" s="85">
        <f t="shared" si="16"/>
        <v>0.15</v>
      </c>
      <c r="DC16" s="85">
        <f t="shared" si="16"/>
        <v>0.15</v>
      </c>
      <c r="DD16" s="85">
        <f t="shared" si="16"/>
        <v>0.15</v>
      </c>
      <c r="DE16" s="85">
        <f t="shared" si="16"/>
        <v>0.15</v>
      </c>
      <c r="DF16" s="85">
        <f t="shared" si="16"/>
        <v>0.15</v>
      </c>
      <c r="DG16" s="85">
        <f t="shared" si="16"/>
        <v>0.15</v>
      </c>
      <c r="DH16" s="85">
        <f t="shared" si="16"/>
        <v>0.15</v>
      </c>
      <c r="DI16" s="85">
        <f t="shared" si="16"/>
        <v>0.15</v>
      </c>
      <c r="DJ16" s="85">
        <f t="shared" si="16"/>
        <v>0.15</v>
      </c>
      <c r="DK16" s="85">
        <f t="shared" si="16"/>
        <v>0.15</v>
      </c>
      <c r="DL16" s="85">
        <f t="shared" si="16"/>
        <v>0</v>
      </c>
      <c r="DM16" s="85">
        <f t="shared" si="16"/>
        <v>0</v>
      </c>
      <c r="DN16" s="85">
        <f t="shared" si="16"/>
        <v>0</v>
      </c>
      <c r="DO16" s="85">
        <f t="shared" si="16"/>
        <v>0</v>
      </c>
      <c r="DP16" s="85">
        <f t="shared" si="16"/>
        <v>0</v>
      </c>
      <c r="DQ16" s="85">
        <f t="shared" si="16"/>
        <v>0</v>
      </c>
      <c r="DR16" s="85">
        <f t="shared" si="16"/>
        <v>0</v>
      </c>
      <c r="DS16" s="85">
        <f t="shared" si="16"/>
        <v>0</v>
      </c>
      <c r="DT16" s="85">
        <f t="shared" si="16"/>
        <v>0</v>
      </c>
      <c r="DU16" s="85">
        <f t="shared" si="16"/>
        <v>0</v>
      </c>
    </row>
    <row r="17" spans="2:125" s="3" customFormat="1" ht="22.95" customHeight="1">
      <c r="C17" s="31" t="s">
        <v>234</v>
      </c>
      <c r="D17" s="32">
        <f>-MIN(E17:DU17)</f>
        <v>1048333.3333333334</v>
      </c>
      <c r="E17" s="33">
        <f>E15</f>
        <v>-1048333.3333333334</v>
      </c>
      <c r="F17" s="33">
        <f t="shared" ref="F17:AK17" si="17">F15+E17</f>
        <v>-1046666.6666666667</v>
      </c>
      <c r="G17" s="33">
        <f t="shared" si="17"/>
        <v>-1045000.0000000001</v>
      </c>
      <c r="H17" s="33">
        <f t="shared" si="17"/>
        <v>-1043333.3333333335</v>
      </c>
      <c r="I17" s="33">
        <f t="shared" si="17"/>
        <v>-1041666.6666666669</v>
      </c>
      <c r="J17" s="33">
        <f t="shared" si="17"/>
        <v>-1040000.0000000002</v>
      </c>
      <c r="K17" s="33">
        <f t="shared" si="17"/>
        <v>-1038333.3333333336</v>
      </c>
      <c r="L17" s="33">
        <f t="shared" si="17"/>
        <v>-1036666.666666667</v>
      </c>
      <c r="M17" s="33">
        <f t="shared" si="17"/>
        <v>-1035000.0000000003</v>
      </c>
      <c r="N17" s="33">
        <f t="shared" si="17"/>
        <v>-1033333.3333333337</v>
      </c>
      <c r="O17" s="33">
        <f t="shared" si="17"/>
        <v>-1031666.6666666671</v>
      </c>
      <c r="P17" s="33">
        <f t="shared" si="17"/>
        <v>-1030000.0000000005</v>
      </c>
      <c r="Q17" s="33">
        <f t="shared" si="17"/>
        <v>-1028333.3333333338</v>
      </c>
      <c r="R17" s="33">
        <f t="shared" si="17"/>
        <v>-1026666.6666666672</v>
      </c>
      <c r="S17" s="33">
        <f t="shared" si="17"/>
        <v>-1025000.0000000006</v>
      </c>
      <c r="T17" s="33">
        <f t="shared" si="17"/>
        <v>-1023333.333333334</v>
      </c>
      <c r="U17" s="33">
        <f t="shared" si="17"/>
        <v>-1021666.6666666673</v>
      </c>
      <c r="V17" s="33">
        <f t="shared" si="17"/>
        <v>-1020000.0000000007</v>
      </c>
      <c r="W17" s="33">
        <f t="shared" si="17"/>
        <v>-1020000.0000000007</v>
      </c>
      <c r="X17" s="33">
        <f t="shared" si="17"/>
        <v>-1020000.0000000007</v>
      </c>
      <c r="Y17" s="33">
        <f t="shared" si="17"/>
        <v>-1020000.0000000007</v>
      </c>
      <c r="Z17" s="33">
        <f t="shared" si="17"/>
        <v>-1020000.0000000007</v>
      </c>
      <c r="AA17" s="33">
        <f t="shared" si="17"/>
        <v>-1020000.0000000007</v>
      </c>
      <c r="AB17" s="33">
        <f t="shared" si="17"/>
        <v>-1020000.0000000007</v>
      </c>
      <c r="AC17" s="33">
        <f t="shared" si="17"/>
        <v>-120000.0000000007</v>
      </c>
      <c r="AD17" s="33">
        <f t="shared" si="17"/>
        <v>-120000.0000000007</v>
      </c>
      <c r="AE17" s="33">
        <f t="shared" si="17"/>
        <v>-120000.0000000007</v>
      </c>
      <c r="AF17" s="33">
        <f t="shared" si="17"/>
        <v>-113432.4218750007</v>
      </c>
      <c r="AG17" s="33">
        <f t="shared" si="17"/>
        <v>-106864.8437500007</v>
      </c>
      <c r="AH17" s="33">
        <f t="shared" si="17"/>
        <v>-100297.2656250007</v>
      </c>
      <c r="AI17" s="33">
        <f t="shared" si="17"/>
        <v>-93729.687500000698</v>
      </c>
      <c r="AJ17" s="33">
        <f t="shared" si="17"/>
        <v>-87162.109375000698</v>
      </c>
      <c r="AK17" s="33">
        <f t="shared" si="17"/>
        <v>-80594.531250000698</v>
      </c>
      <c r="AL17" s="33">
        <f t="shared" ref="AL17:BQ17" si="18">AL15+AK17</f>
        <v>-74026.953125000698</v>
      </c>
      <c r="AM17" s="33">
        <f t="shared" si="18"/>
        <v>-67459.375000000698</v>
      </c>
      <c r="AN17" s="33">
        <f t="shared" si="18"/>
        <v>-60891.796875000698</v>
      </c>
      <c r="AO17" s="33">
        <f t="shared" si="18"/>
        <v>-54324.218750000698</v>
      </c>
      <c r="AP17" s="33">
        <f t="shared" si="18"/>
        <v>-47756.640625000698</v>
      </c>
      <c r="AQ17" s="33">
        <f t="shared" si="18"/>
        <v>-41189.062500000698</v>
      </c>
      <c r="AR17" s="33">
        <f t="shared" si="18"/>
        <v>-34621.484375000698</v>
      </c>
      <c r="AS17" s="33">
        <f t="shared" si="18"/>
        <v>-28053.906250000698</v>
      </c>
      <c r="AT17" s="33">
        <f t="shared" si="18"/>
        <v>-21486.328125000698</v>
      </c>
      <c r="AU17" s="33">
        <f t="shared" si="18"/>
        <v>-14918.750000000698</v>
      </c>
      <c r="AV17" s="33">
        <f t="shared" si="18"/>
        <v>-8351.1718750006985</v>
      </c>
      <c r="AW17" s="33">
        <f t="shared" si="18"/>
        <v>-1783.5937500006985</v>
      </c>
      <c r="AX17" s="33">
        <f t="shared" si="18"/>
        <v>15968.310891219331</v>
      </c>
      <c r="AY17" s="33">
        <f t="shared" si="18"/>
        <v>33720.215532439361</v>
      </c>
      <c r="AZ17" s="33">
        <f t="shared" si="18"/>
        <v>51472.120173659394</v>
      </c>
      <c r="BA17" s="33">
        <f t="shared" si="18"/>
        <v>69224.02481487942</v>
      </c>
      <c r="BB17" s="33">
        <f t="shared" si="18"/>
        <v>86975.929456099446</v>
      </c>
      <c r="BC17" s="33">
        <f t="shared" si="18"/>
        <v>104727.83409731947</v>
      </c>
      <c r="BD17" s="33">
        <f t="shared" si="18"/>
        <v>564418.22353471187</v>
      </c>
      <c r="BE17" s="33">
        <f t="shared" si="18"/>
        <v>644535.95586506766</v>
      </c>
      <c r="BF17" s="33">
        <f t="shared" si="18"/>
        <v>725348.13263986784</v>
      </c>
      <c r="BG17" s="33">
        <f t="shared" si="18"/>
        <v>806854.7538591125</v>
      </c>
      <c r="BH17" s="33">
        <f t="shared" si="18"/>
        <v>889055.81952280155</v>
      </c>
      <c r="BI17" s="33">
        <f t="shared" si="18"/>
        <v>971951.3296309351</v>
      </c>
      <c r="BJ17" s="33">
        <f t="shared" si="18"/>
        <v>1055541.2841835131</v>
      </c>
      <c r="BK17" s="33">
        <f t="shared" si="18"/>
        <v>1139825.6831805354</v>
      </c>
      <c r="BL17" s="33">
        <f t="shared" si="18"/>
        <v>1224804.5266220022</v>
      </c>
      <c r="BM17" s="33">
        <f t="shared" si="18"/>
        <v>1310477.8145079135</v>
      </c>
      <c r="BN17" s="33">
        <f t="shared" si="18"/>
        <v>1396845.5468382693</v>
      </c>
      <c r="BO17" s="33">
        <f t="shared" si="18"/>
        <v>1483907.7236130696</v>
      </c>
      <c r="BP17" s="33">
        <f t="shared" si="18"/>
        <v>1496407.7236130696</v>
      </c>
      <c r="BQ17" s="33">
        <f t="shared" si="18"/>
        <v>1508907.7236130696</v>
      </c>
      <c r="BR17" s="33">
        <f t="shared" ref="BR17:CW17" si="19">BR15+BQ17</f>
        <v>1521407.7236130696</v>
      </c>
      <c r="BS17" s="33">
        <f t="shared" si="19"/>
        <v>1533907.7236130696</v>
      </c>
      <c r="BT17" s="33">
        <f t="shared" si="19"/>
        <v>1546407.7236130696</v>
      </c>
      <c r="BU17" s="33">
        <f t="shared" si="19"/>
        <v>1558907.7236130696</v>
      </c>
      <c r="BV17" s="33">
        <f t="shared" si="19"/>
        <v>1571407.7236130696</v>
      </c>
      <c r="BW17" s="33">
        <f t="shared" si="19"/>
        <v>1583907.7236130696</v>
      </c>
      <c r="BX17" s="33">
        <f t="shared" si="19"/>
        <v>1596407.7236130696</v>
      </c>
      <c r="BY17" s="33">
        <f t="shared" si="19"/>
        <v>1608907.7236130696</v>
      </c>
      <c r="BZ17" s="33">
        <f t="shared" si="19"/>
        <v>1621407.7236130696</v>
      </c>
      <c r="CA17" s="33">
        <f t="shared" si="19"/>
        <v>1633907.7236130696</v>
      </c>
      <c r="CB17" s="33">
        <f t="shared" si="19"/>
        <v>1646407.7236130696</v>
      </c>
      <c r="CC17" s="33">
        <f t="shared" si="19"/>
        <v>1658907.7236130696</v>
      </c>
      <c r="CD17" s="33">
        <f t="shared" si="19"/>
        <v>1671407.7236130696</v>
      </c>
      <c r="CE17" s="33">
        <f t="shared" si="19"/>
        <v>1683907.7236130696</v>
      </c>
      <c r="CF17" s="33">
        <f t="shared" si="19"/>
        <v>1696407.7236130696</v>
      </c>
      <c r="CG17" s="33">
        <f t="shared" si="19"/>
        <v>1708907.7236130696</v>
      </c>
      <c r="CH17" s="33">
        <f t="shared" si="19"/>
        <v>1721407.7236130696</v>
      </c>
      <c r="CI17" s="33">
        <f t="shared" si="19"/>
        <v>1733907.7236130696</v>
      </c>
      <c r="CJ17" s="33">
        <f t="shared" si="19"/>
        <v>1746407.7236130696</v>
      </c>
      <c r="CK17" s="33">
        <f t="shared" si="19"/>
        <v>1758907.7236130696</v>
      </c>
      <c r="CL17" s="33">
        <f t="shared" si="19"/>
        <v>1771407.7236130696</v>
      </c>
      <c r="CM17" s="33">
        <f t="shared" si="19"/>
        <v>1783907.7236130696</v>
      </c>
      <c r="CN17" s="33">
        <f t="shared" si="19"/>
        <v>1796407.7236130696</v>
      </c>
      <c r="CO17" s="33">
        <f t="shared" si="19"/>
        <v>1808907.7236130696</v>
      </c>
      <c r="CP17" s="33">
        <f t="shared" si="19"/>
        <v>1821407.7236130696</v>
      </c>
      <c r="CQ17" s="33">
        <f t="shared" si="19"/>
        <v>1833907.7236130696</v>
      </c>
      <c r="CR17" s="33">
        <f t="shared" si="19"/>
        <v>1846407.7236130696</v>
      </c>
      <c r="CS17" s="33">
        <f t="shared" si="19"/>
        <v>1858907.7236130696</v>
      </c>
      <c r="CT17" s="33">
        <f t="shared" si="19"/>
        <v>1871407.7236130696</v>
      </c>
      <c r="CU17" s="33">
        <f t="shared" si="19"/>
        <v>1883907.7236130696</v>
      </c>
      <c r="CV17" s="33">
        <f t="shared" si="19"/>
        <v>1896407.7236130696</v>
      </c>
      <c r="CW17" s="33">
        <f t="shared" si="19"/>
        <v>1908907.7236130696</v>
      </c>
      <c r="CX17" s="33">
        <f t="shared" ref="CX17:DU17" si="20">CX15+CW17</f>
        <v>1921407.7236130696</v>
      </c>
      <c r="CY17" s="33">
        <f t="shared" si="20"/>
        <v>1933907.7236130696</v>
      </c>
      <c r="CZ17" s="33">
        <f t="shared" si="20"/>
        <v>1946407.7236130696</v>
      </c>
      <c r="DA17" s="33">
        <f t="shared" si="20"/>
        <v>1958907.7236130696</v>
      </c>
      <c r="DB17" s="33">
        <f t="shared" si="20"/>
        <v>1971407.7236130696</v>
      </c>
      <c r="DC17" s="33">
        <f t="shared" si="20"/>
        <v>1983907.7236130696</v>
      </c>
      <c r="DD17" s="33">
        <f t="shared" si="20"/>
        <v>1996407.7236130696</v>
      </c>
      <c r="DE17" s="33">
        <f t="shared" si="20"/>
        <v>2008907.7236130696</v>
      </c>
      <c r="DF17" s="33">
        <f t="shared" si="20"/>
        <v>2021407.7236130696</v>
      </c>
      <c r="DG17" s="33">
        <f t="shared" si="20"/>
        <v>2033907.7236130696</v>
      </c>
      <c r="DH17" s="33">
        <f t="shared" si="20"/>
        <v>2046407.7236130696</v>
      </c>
      <c r="DI17" s="33">
        <f t="shared" si="20"/>
        <v>2058907.7236130696</v>
      </c>
      <c r="DJ17" s="33">
        <f t="shared" si="20"/>
        <v>2071407.7236130696</v>
      </c>
      <c r="DK17" s="33">
        <f t="shared" si="20"/>
        <v>2083907.7236130696</v>
      </c>
      <c r="DL17" s="33">
        <f t="shared" si="20"/>
        <v>2083907.7236130696</v>
      </c>
      <c r="DM17" s="33">
        <f t="shared" si="20"/>
        <v>2083907.7236130696</v>
      </c>
      <c r="DN17" s="33">
        <f t="shared" si="20"/>
        <v>2083907.7236130696</v>
      </c>
      <c r="DO17" s="33">
        <f t="shared" si="20"/>
        <v>2083907.7236130696</v>
      </c>
      <c r="DP17" s="33">
        <f t="shared" si="20"/>
        <v>2083907.7236130696</v>
      </c>
      <c r="DQ17" s="33">
        <f t="shared" si="20"/>
        <v>2083907.7236130696</v>
      </c>
      <c r="DR17" s="33">
        <f t="shared" si="20"/>
        <v>2083907.7236130696</v>
      </c>
      <c r="DS17" s="33">
        <f t="shared" si="20"/>
        <v>2083907.7236130696</v>
      </c>
      <c r="DT17" s="33">
        <f t="shared" si="20"/>
        <v>2083907.7236130696</v>
      </c>
      <c r="DU17" s="33">
        <f t="shared" si="20"/>
        <v>2083907.7236130696</v>
      </c>
    </row>
    <row r="18" spans="2:125" s="3" customFormat="1" ht="22.95" customHeight="1">
      <c r="C18" s="29" t="s">
        <v>235</v>
      </c>
      <c r="D18" s="82">
        <f>XIRR(E15:DU15,E4:DU4,0.1)</f>
        <v>0.33907558321952824</v>
      </c>
    </row>
    <row r="19" spans="2:125" s="3" customFormat="1" ht="22.95" customHeight="1">
      <c r="C19" s="30" t="s">
        <v>236</v>
      </c>
      <c r="D19" s="35">
        <f>D15/D17+1</f>
        <v>2.987829307103087</v>
      </c>
    </row>
    <row r="20" spans="2:125" s="3" customFormat="1" ht="22.95" customHeight="1">
      <c r="C20" s="60"/>
      <c r="D20" s="24"/>
    </row>
    <row r="21" spans="2:125" s="3" customFormat="1" ht="22.95" customHeight="1">
      <c r="C21" s="60" t="s">
        <v>237</v>
      </c>
      <c r="D21" s="24"/>
    </row>
    <row r="22" spans="2:125" s="3" customFormat="1" ht="22.95" customHeight="1">
      <c r="C22" s="3" t="s">
        <v>238</v>
      </c>
      <c r="D22" s="25">
        <f t="shared" ref="D22:D31" si="21">SUM(E22:DU22)</f>
        <v>50000</v>
      </c>
      <c r="E22" s="21">
        <f>'Option Phase'!E12</f>
        <v>50000</v>
      </c>
      <c r="F22" s="21">
        <f>'Option Phase'!F12</f>
        <v>0</v>
      </c>
      <c r="G22" s="21">
        <f>'Option Phase'!G12</f>
        <v>0</v>
      </c>
      <c r="H22" s="21">
        <f>'Option Phase'!H12</f>
        <v>0</v>
      </c>
      <c r="I22" s="21">
        <f>'Option Phase'!I12</f>
        <v>0</v>
      </c>
      <c r="J22" s="21">
        <f>'Option Phase'!J12</f>
        <v>0</v>
      </c>
      <c r="K22" s="21">
        <f>'Option Phase'!K12</f>
        <v>0</v>
      </c>
      <c r="L22" s="21">
        <f>'Option Phase'!L12</f>
        <v>0</v>
      </c>
      <c r="M22" s="21">
        <f>'Option Phase'!M12</f>
        <v>0</v>
      </c>
      <c r="N22" s="21">
        <f>'Option Phase'!N12</f>
        <v>0</v>
      </c>
      <c r="O22" s="21">
        <f>'Option Phase'!O12</f>
        <v>0</v>
      </c>
      <c r="P22" s="21">
        <f>'Option Phase'!P12</f>
        <v>0</v>
      </c>
      <c r="Q22" s="21">
        <f>'Option Phase'!Q12</f>
        <v>0</v>
      </c>
      <c r="R22" s="21">
        <f>'Option Phase'!R12</f>
        <v>0</v>
      </c>
      <c r="S22" s="21">
        <f>'Option Phase'!S12</f>
        <v>0</v>
      </c>
      <c r="T22" s="21">
        <f>'Option Phase'!T12</f>
        <v>0</v>
      </c>
      <c r="U22" s="21">
        <f>'Option Phase'!U12</f>
        <v>0</v>
      </c>
      <c r="V22" s="21">
        <f>'Option Phase'!V12</f>
        <v>0</v>
      </c>
      <c r="W22" s="21">
        <f>'Option Phase'!W12</f>
        <v>0</v>
      </c>
      <c r="X22" s="21">
        <f>'Option Phase'!X12</f>
        <v>0</v>
      </c>
      <c r="Y22" s="21">
        <f>'Option Phase'!Y12</f>
        <v>0</v>
      </c>
      <c r="Z22" s="21">
        <f>'Option Phase'!Z12</f>
        <v>0</v>
      </c>
      <c r="AA22" s="21">
        <f>'Option Phase'!AA12</f>
        <v>0</v>
      </c>
      <c r="AB22" s="21">
        <f>'Option Phase'!AB12</f>
        <v>0</v>
      </c>
      <c r="AC22" s="21">
        <f>'Option Phase'!AC12</f>
        <v>0</v>
      </c>
      <c r="AD22" s="21">
        <f>'Option Phase'!AD12</f>
        <v>0</v>
      </c>
      <c r="AE22" s="21">
        <f>'Option Phase'!AE12</f>
        <v>0</v>
      </c>
      <c r="AF22" s="21">
        <f>'Option Phase'!AF12</f>
        <v>0</v>
      </c>
      <c r="AG22" s="21">
        <f>'Option Phase'!AG12</f>
        <v>0</v>
      </c>
      <c r="AH22" s="21">
        <f>'Option Phase'!AH12</f>
        <v>0</v>
      </c>
      <c r="AI22" s="21">
        <f>'Option Phase'!AI12</f>
        <v>0</v>
      </c>
      <c r="AJ22" s="21">
        <f>'Option Phase'!AJ12</f>
        <v>0</v>
      </c>
      <c r="AK22" s="21">
        <f>'Option Phase'!AK12</f>
        <v>0</v>
      </c>
      <c r="AL22" s="21">
        <f>'Option Phase'!AL12</f>
        <v>0</v>
      </c>
      <c r="AM22" s="21">
        <f>'Option Phase'!AM12</f>
        <v>0</v>
      </c>
      <c r="AN22" s="21">
        <f>'Option Phase'!AN12</f>
        <v>0</v>
      </c>
      <c r="AO22" s="21">
        <f>'Option Phase'!AO12</f>
        <v>0</v>
      </c>
      <c r="AP22" s="21">
        <f>'Option Phase'!AP12</f>
        <v>0</v>
      </c>
      <c r="AQ22" s="21">
        <f>'Option Phase'!AQ12</f>
        <v>0</v>
      </c>
      <c r="AR22" s="21">
        <f>'Option Phase'!AR12</f>
        <v>0</v>
      </c>
      <c r="AS22" s="21">
        <f>'Option Phase'!AS12</f>
        <v>0</v>
      </c>
      <c r="AT22" s="21">
        <f>'Option Phase'!AT12</f>
        <v>0</v>
      </c>
      <c r="AU22" s="21">
        <f>'Option Phase'!AU12</f>
        <v>0</v>
      </c>
      <c r="AV22" s="21">
        <f>'Option Phase'!AV12</f>
        <v>0</v>
      </c>
      <c r="AW22" s="21">
        <f>'Option Phase'!AW12</f>
        <v>0</v>
      </c>
      <c r="AX22" s="21">
        <f>'Option Phase'!AX12</f>
        <v>0</v>
      </c>
      <c r="AY22" s="21">
        <f>'Option Phase'!AY12</f>
        <v>0</v>
      </c>
      <c r="AZ22" s="21">
        <f>'Option Phase'!AZ12</f>
        <v>0</v>
      </c>
      <c r="BA22" s="21">
        <f>'Option Phase'!BA12</f>
        <v>0</v>
      </c>
      <c r="BB22" s="21">
        <f>'Option Phase'!BB12</f>
        <v>0</v>
      </c>
      <c r="BC22" s="21">
        <f>'Option Phase'!BC12</f>
        <v>0</v>
      </c>
      <c r="BD22" s="21">
        <f>'Option Phase'!BD12</f>
        <v>0</v>
      </c>
      <c r="BE22" s="21">
        <f>'Option Phase'!BE12</f>
        <v>0</v>
      </c>
      <c r="BF22" s="21">
        <f>'Option Phase'!BF12</f>
        <v>0</v>
      </c>
      <c r="BG22" s="21">
        <f>'Option Phase'!BG12</f>
        <v>0</v>
      </c>
      <c r="BH22" s="21">
        <f>'Option Phase'!BH12</f>
        <v>0</v>
      </c>
      <c r="BI22" s="21">
        <f>'Option Phase'!BI12</f>
        <v>0</v>
      </c>
      <c r="BJ22" s="21">
        <f>'Option Phase'!BJ12</f>
        <v>0</v>
      </c>
      <c r="BK22" s="21">
        <f>'Option Phase'!BK12</f>
        <v>0</v>
      </c>
      <c r="BL22" s="21">
        <f>'Option Phase'!BL12</f>
        <v>0</v>
      </c>
      <c r="BM22" s="21">
        <f>'Option Phase'!BM12</f>
        <v>0</v>
      </c>
      <c r="BN22" s="21">
        <f>'Option Phase'!BN12</f>
        <v>0</v>
      </c>
      <c r="BO22" s="21">
        <f>'Option Phase'!BO12</f>
        <v>0</v>
      </c>
      <c r="BP22" s="21">
        <f>'Option Phase'!BP12</f>
        <v>0</v>
      </c>
      <c r="BQ22" s="21">
        <f>'Option Phase'!BQ12</f>
        <v>0</v>
      </c>
      <c r="BR22" s="21">
        <f>'Option Phase'!BR12</f>
        <v>0</v>
      </c>
      <c r="BS22" s="21">
        <f>'Option Phase'!BS12</f>
        <v>0</v>
      </c>
      <c r="BT22" s="21">
        <f>'Option Phase'!BT12</f>
        <v>0</v>
      </c>
      <c r="BU22" s="21">
        <f>'Option Phase'!BU12</f>
        <v>0</v>
      </c>
      <c r="BV22" s="21">
        <f>'Option Phase'!BV12</f>
        <v>0</v>
      </c>
      <c r="BW22" s="21">
        <f>'Option Phase'!BW12</f>
        <v>0</v>
      </c>
      <c r="BX22" s="21">
        <f>'Option Phase'!BX12</f>
        <v>0</v>
      </c>
      <c r="BY22" s="21">
        <f>'Option Phase'!BY12</f>
        <v>0</v>
      </c>
      <c r="BZ22" s="21">
        <f>'Option Phase'!BZ12</f>
        <v>0</v>
      </c>
      <c r="CA22" s="21">
        <f>'Option Phase'!CA12</f>
        <v>0</v>
      </c>
      <c r="CB22" s="21">
        <f>'Option Phase'!CB12</f>
        <v>0</v>
      </c>
      <c r="CC22" s="21">
        <f>'Option Phase'!CC12</f>
        <v>0</v>
      </c>
      <c r="CD22" s="21">
        <f>'Option Phase'!CD12</f>
        <v>0</v>
      </c>
      <c r="CE22" s="21">
        <f>'Option Phase'!CE12</f>
        <v>0</v>
      </c>
      <c r="CF22" s="21">
        <f>'Option Phase'!CF12</f>
        <v>0</v>
      </c>
      <c r="CG22" s="21">
        <f>'Option Phase'!CG12</f>
        <v>0</v>
      </c>
      <c r="CH22" s="21">
        <f>'Option Phase'!CH12</f>
        <v>0</v>
      </c>
      <c r="CI22" s="21">
        <f>'Option Phase'!CI12</f>
        <v>0</v>
      </c>
      <c r="CJ22" s="21">
        <f>'Option Phase'!CJ12</f>
        <v>0</v>
      </c>
      <c r="CK22" s="21">
        <f>'Option Phase'!CK12</f>
        <v>0</v>
      </c>
      <c r="CL22" s="21">
        <f>'Option Phase'!CL12</f>
        <v>0</v>
      </c>
      <c r="CM22" s="21">
        <f>'Option Phase'!CM12</f>
        <v>0</v>
      </c>
      <c r="CN22" s="21">
        <f>'Option Phase'!CN12</f>
        <v>0</v>
      </c>
      <c r="CO22" s="21">
        <f>'Option Phase'!CO12</f>
        <v>0</v>
      </c>
      <c r="CP22" s="21">
        <f>'Option Phase'!CP12</f>
        <v>0</v>
      </c>
      <c r="CQ22" s="21">
        <f>'Option Phase'!CQ12</f>
        <v>0</v>
      </c>
      <c r="CR22" s="21">
        <f>'Option Phase'!CR12</f>
        <v>0</v>
      </c>
      <c r="CS22" s="21">
        <f>'Option Phase'!CS12</f>
        <v>0</v>
      </c>
      <c r="CT22" s="21">
        <f>'Option Phase'!CT12</f>
        <v>0</v>
      </c>
      <c r="CU22" s="21">
        <f>'Option Phase'!CU12</f>
        <v>0</v>
      </c>
      <c r="CV22" s="21">
        <f>'Option Phase'!CV12</f>
        <v>0</v>
      </c>
      <c r="CW22" s="21">
        <f>'Option Phase'!CW12</f>
        <v>0</v>
      </c>
      <c r="CX22" s="21">
        <f>'Option Phase'!CX12</f>
        <v>0</v>
      </c>
      <c r="CY22" s="21">
        <f>'Option Phase'!CY12</f>
        <v>0</v>
      </c>
      <c r="CZ22" s="21">
        <f>'Option Phase'!CZ12</f>
        <v>0</v>
      </c>
      <c r="DA22" s="21">
        <f>'Option Phase'!DA12</f>
        <v>0</v>
      </c>
      <c r="DB22" s="21">
        <f>'Option Phase'!DB12</f>
        <v>0</v>
      </c>
      <c r="DC22" s="21">
        <f>'Option Phase'!DC12</f>
        <v>0</v>
      </c>
      <c r="DD22" s="21">
        <f>'Option Phase'!DD12</f>
        <v>0</v>
      </c>
      <c r="DE22" s="21">
        <f>'Option Phase'!DE12</f>
        <v>0</v>
      </c>
      <c r="DF22" s="21">
        <f>'Option Phase'!DF12</f>
        <v>0</v>
      </c>
      <c r="DG22" s="21">
        <f>'Option Phase'!DG12</f>
        <v>0</v>
      </c>
      <c r="DH22" s="21">
        <f>'Option Phase'!DH12</f>
        <v>0</v>
      </c>
      <c r="DI22" s="21">
        <f>'Option Phase'!DI12</f>
        <v>0</v>
      </c>
      <c r="DJ22" s="21">
        <f>'Option Phase'!DJ12</f>
        <v>0</v>
      </c>
      <c r="DK22" s="21">
        <f>'Option Phase'!DK12</f>
        <v>0</v>
      </c>
      <c r="DL22" s="21">
        <f>'Option Phase'!DL12</f>
        <v>0</v>
      </c>
      <c r="DM22" s="21">
        <f>'Option Phase'!DM12</f>
        <v>0</v>
      </c>
      <c r="DN22" s="21">
        <f>'Option Phase'!DN12</f>
        <v>0</v>
      </c>
      <c r="DO22" s="21">
        <f>'Option Phase'!DO12</f>
        <v>0</v>
      </c>
      <c r="DP22" s="21">
        <f>'Option Phase'!DP12</f>
        <v>0</v>
      </c>
      <c r="DQ22" s="21">
        <f>'Option Phase'!DQ12</f>
        <v>0</v>
      </c>
      <c r="DR22" s="21">
        <f>'Option Phase'!DR12</f>
        <v>0</v>
      </c>
      <c r="DS22" s="21">
        <f>'Option Phase'!DS12</f>
        <v>0</v>
      </c>
      <c r="DT22" s="21">
        <f>'Option Phase'!DT12</f>
        <v>0</v>
      </c>
      <c r="DU22" s="21">
        <f>'Option Phase'!DU12</f>
        <v>0</v>
      </c>
    </row>
    <row r="23" spans="2:125" s="3" customFormat="1" ht="22.95" customHeight="1">
      <c r="C23" s="3" t="s">
        <v>239</v>
      </c>
      <c r="D23" s="25">
        <f t="shared" si="21"/>
        <v>-20000</v>
      </c>
      <c r="E23" s="21">
        <f>'Option Phase'!E13</f>
        <v>-3333.3333333333335</v>
      </c>
      <c r="F23" s="21">
        <f>'Option Phase'!F13</f>
        <v>-3333.3333333333335</v>
      </c>
      <c r="G23" s="21">
        <f>'Option Phase'!G13</f>
        <v>-3333.3333333333335</v>
      </c>
      <c r="H23" s="21">
        <f>'Option Phase'!H13</f>
        <v>-3333.3333333333335</v>
      </c>
      <c r="I23" s="21">
        <f>'Option Phase'!I13</f>
        <v>-3333.3333333333335</v>
      </c>
      <c r="J23" s="21">
        <f>'Option Phase'!J13</f>
        <v>-3333.3333333333335</v>
      </c>
      <c r="K23" s="21">
        <f>'Option Phase'!K13</f>
        <v>0</v>
      </c>
      <c r="L23" s="21">
        <f>'Option Phase'!L13</f>
        <v>0</v>
      </c>
      <c r="M23" s="21">
        <f>'Option Phase'!M13</f>
        <v>0</v>
      </c>
      <c r="N23" s="21">
        <f>'Option Phase'!N13</f>
        <v>0</v>
      </c>
      <c r="O23" s="21">
        <f>'Option Phase'!O13</f>
        <v>0</v>
      </c>
      <c r="P23" s="21">
        <f>'Option Phase'!P13</f>
        <v>0</v>
      </c>
      <c r="Q23" s="21">
        <f>'Option Phase'!Q13</f>
        <v>0</v>
      </c>
      <c r="R23" s="21">
        <f>'Option Phase'!R13</f>
        <v>0</v>
      </c>
      <c r="S23" s="21">
        <f>'Option Phase'!S13</f>
        <v>0</v>
      </c>
      <c r="T23" s="21">
        <f>'Option Phase'!T13</f>
        <v>0</v>
      </c>
      <c r="U23" s="21">
        <f>'Option Phase'!U13</f>
        <v>0</v>
      </c>
      <c r="V23" s="21">
        <f>'Option Phase'!V13</f>
        <v>0</v>
      </c>
      <c r="W23" s="21">
        <f>'Option Phase'!W13</f>
        <v>0</v>
      </c>
      <c r="X23" s="21">
        <f>'Option Phase'!X13</f>
        <v>0</v>
      </c>
      <c r="Y23" s="21">
        <f>'Option Phase'!Y13</f>
        <v>0</v>
      </c>
      <c r="Z23" s="21">
        <f>'Option Phase'!Z13</f>
        <v>0</v>
      </c>
      <c r="AA23" s="21">
        <f>'Option Phase'!AA13</f>
        <v>0</v>
      </c>
      <c r="AB23" s="21">
        <f>'Option Phase'!AB13</f>
        <v>0</v>
      </c>
      <c r="AC23" s="21">
        <f>'Option Phase'!AC13</f>
        <v>0</v>
      </c>
      <c r="AD23" s="21">
        <f>'Option Phase'!AD13</f>
        <v>0</v>
      </c>
      <c r="AE23" s="21">
        <f>'Option Phase'!AE13</f>
        <v>0</v>
      </c>
      <c r="AF23" s="21">
        <f>'Option Phase'!AF13</f>
        <v>0</v>
      </c>
      <c r="AG23" s="21">
        <f>'Option Phase'!AG13</f>
        <v>0</v>
      </c>
      <c r="AH23" s="21">
        <f>'Option Phase'!AH13</f>
        <v>0</v>
      </c>
      <c r="AI23" s="21">
        <f>'Option Phase'!AI13</f>
        <v>0</v>
      </c>
      <c r="AJ23" s="21">
        <f>'Option Phase'!AJ13</f>
        <v>0</v>
      </c>
      <c r="AK23" s="21">
        <f>'Option Phase'!AK13</f>
        <v>0</v>
      </c>
      <c r="AL23" s="21">
        <f>'Option Phase'!AL13</f>
        <v>0</v>
      </c>
      <c r="AM23" s="21">
        <f>'Option Phase'!AM13</f>
        <v>0</v>
      </c>
      <c r="AN23" s="21">
        <f>'Option Phase'!AN13</f>
        <v>0</v>
      </c>
      <c r="AO23" s="21">
        <f>'Option Phase'!AO13</f>
        <v>0</v>
      </c>
      <c r="AP23" s="21">
        <f>'Option Phase'!AP13</f>
        <v>0</v>
      </c>
      <c r="AQ23" s="21">
        <f>'Option Phase'!AQ13</f>
        <v>0</v>
      </c>
      <c r="AR23" s="21">
        <f>'Option Phase'!AR13</f>
        <v>0</v>
      </c>
      <c r="AS23" s="21">
        <f>'Option Phase'!AS13</f>
        <v>0</v>
      </c>
      <c r="AT23" s="21">
        <f>'Option Phase'!AT13</f>
        <v>0</v>
      </c>
      <c r="AU23" s="21">
        <f>'Option Phase'!AU13</f>
        <v>0</v>
      </c>
      <c r="AV23" s="21">
        <f>'Option Phase'!AV13</f>
        <v>0</v>
      </c>
      <c r="AW23" s="21">
        <f>'Option Phase'!AW13</f>
        <v>0</v>
      </c>
      <c r="AX23" s="21">
        <f>'Option Phase'!AX13</f>
        <v>0</v>
      </c>
      <c r="AY23" s="21">
        <f>'Option Phase'!AY13</f>
        <v>0</v>
      </c>
      <c r="AZ23" s="21">
        <f>'Option Phase'!AZ13</f>
        <v>0</v>
      </c>
      <c r="BA23" s="21">
        <f>'Option Phase'!BA13</f>
        <v>0</v>
      </c>
      <c r="BB23" s="21">
        <f>'Option Phase'!BB13</f>
        <v>0</v>
      </c>
      <c r="BC23" s="21">
        <f>'Option Phase'!BC13</f>
        <v>0</v>
      </c>
      <c r="BD23" s="21">
        <f>'Option Phase'!BD13</f>
        <v>0</v>
      </c>
      <c r="BE23" s="21">
        <f>'Option Phase'!BE13</f>
        <v>0</v>
      </c>
      <c r="BF23" s="21">
        <f>'Option Phase'!BF13</f>
        <v>0</v>
      </c>
      <c r="BG23" s="21">
        <f>'Option Phase'!BG13</f>
        <v>0</v>
      </c>
      <c r="BH23" s="21">
        <f>'Option Phase'!BH13</f>
        <v>0</v>
      </c>
      <c r="BI23" s="21">
        <f>'Option Phase'!BI13</f>
        <v>0</v>
      </c>
      <c r="BJ23" s="21">
        <f>'Option Phase'!BJ13</f>
        <v>0</v>
      </c>
      <c r="BK23" s="21">
        <f>'Option Phase'!BK13</f>
        <v>0</v>
      </c>
      <c r="BL23" s="21">
        <f>'Option Phase'!BL13</f>
        <v>0</v>
      </c>
      <c r="BM23" s="21">
        <f>'Option Phase'!BM13</f>
        <v>0</v>
      </c>
      <c r="BN23" s="21">
        <f>'Option Phase'!BN13</f>
        <v>0</v>
      </c>
      <c r="BO23" s="21">
        <f>'Option Phase'!BO13</f>
        <v>0</v>
      </c>
      <c r="BP23" s="21">
        <f>'Option Phase'!BP13</f>
        <v>0</v>
      </c>
      <c r="BQ23" s="21">
        <f>'Option Phase'!BQ13</f>
        <v>0</v>
      </c>
      <c r="BR23" s="21">
        <f>'Option Phase'!BR13</f>
        <v>0</v>
      </c>
      <c r="BS23" s="21">
        <f>'Option Phase'!BS13</f>
        <v>0</v>
      </c>
      <c r="BT23" s="21">
        <f>'Option Phase'!BT13</f>
        <v>0</v>
      </c>
      <c r="BU23" s="21">
        <f>'Option Phase'!BU13</f>
        <v>0</v>
      </c>
      <c r="BV23" s="21">
        <f>'Option Phase'!BV13</f>
        <v>0</v>
      </c>
      <c r="BW23" s="21">
        <f>'Option Phase'!BW13</f>
        <v>0</v>
      </c>
      <c r="BX23" s="21">
        <f>'Option Phase'!BX13</f>
        <v>0</v>
      </c>
      <c r="BY23" s="21">
        <f>'Option Phase'!BY13</f>
        <v>0</v>
      </c>
      <c r="BZ23" s="21">
        <f>'Option Phase'!BZ13</f>
        <v>0</v>
      </c>
      <c r="CA23" s="21">
        <f>'Option Phase'!CA13</f>
        <v>0</v>
      </c>
      <c r="CB23" s="21">
        <f>'Option Phase'!CB13</f>
        <v>0</v>
      </c>
      <c r="CC23" s="21">
        <f>'Option Phase'!CC13</f>
        <v>0</v>
      </c>
      <c r="CD23" s="21">
        <f>'Option Phase'!CD13</f>
        <v>0</v>
      </c>
      <c r="CE23" s="21">
        <f>'Option Phase'!CE13</f>
        <v>0</v>
      </c>
      <c r="CF23" s="21">
        <f>'Option Phase'!CF13</f>
        <v>0</v>
      </c>
      <c r="CG23" s="21">
        <f>'Option Phase'!CG13</f>
        <v>0</v>
      </c>
      <c r="CH23" s="21">
        <f>'Option Phase'!CH13</f>
        <v>0</v>
      </c>
      <c r="CI23" s="21">
        <f>'Option Phase'!CI13</f>
        <v>0</v>
      </c>
      <c r="CJ23" s="21">
        <f>'Option Phase'!CJ13</f>
        <v>0</v>
      </c>
      <c r="CK23" s="21">
        <f>'Option Phase'!CK13</f>
        <v>0</v>
      </c>
      <c r="CL23" s="21">
        <f>'Option Phase'!CL13</f>
        <v>0</v>
      </c>
      <c r="CM23" s="21">
        <f>'Option Phase'!CM13</f>
        <v>0</v>
      </c>
      <c r="CN23" s="21">
        <f>'Option Phase'!CN13</f>
        <v>0</v>
      </c>
      <c r="CO23" s="21">
        <f>'Option Phase'!CO13</f>
        <v>0</v>
      </c>
      <c r="CP23" s="21">
        <f>'Option Phase'!CP13</f>
        <v>0</v>
      </c>
      <c r="CQ23" s="21">
        <f>'Option Phase'!CQ13</f>
        <v>0</v>
      </c>
      <c r="CR23" s="21">
        <f>'Option Phase'!CR13</f>
        <v>0</v>
      </c>
      <c r="CS23" s="21">
        <f>'Option Phase'!CS13</f>
        <v>0</v>
      </c>
      <c r="CT23" s="21">
        <f>'Option Phase'!CT13</f>
        <v>0</v>
      </c>
      <c r="CU23" s="21">
        <f>'Option Phase'!CU13</f>
        <v>0</v>
      </c>
      <c r="CV23" s="21">
        <f>'Option Phase'!CV13</f>
        <v>0</v>
      </c>
      <c r="CW23" s="21">
        <f>'Option Phase'!CW13</f>
        <v>0</v>
      </c>
      <c r="CX23" s="21">
        <f>'Option Phase'!CX13</f>
        <v>0</v>
      </c>
      <c r="CY23" s="21">
        <f>'Option Phase'!CY13</f>
        <v>0</v>
      </c>
      <c r="CZ23" s="21">
        <f>'Option Phase'!CZ13</f>
        <v>0</v>
      </c>
      <c r="DA23" s="21">
        <f>'Option Phase'!DA13</f>
        <v>0</v>
      </c>
      <c r="DB23" s="21">
        <f>'Option Phase'!DB13</f>
        <v>0</v>
      </c>
      <c r="DC23" s="21">
        <f>'Option Phase'!DC13</f>
        <v>0</v>
      </c>
      <c r="DD23" s="21">
        <f>'Option Phase'!DD13</f>
        <v>0</v>
      </c>
      <c r="DE23" s="21">
        <f>'Option Phase'!DE13</f>
        <v>0</v>
      </c>
      <c r="DF23" s="21">
        <f>'Option Phase'!DF13</f>
        <v>0</v>
      </c>
      <c r="DG23" s="21">
        <f>'Option Phase'!DG13</f>
        <v>0</v>
      </c>
      <c r="DH23" s="21">
        <f>'Option Phase'!DH13</f>
        <v>0</v>
      </c>
      <c r="DI23" s="21">
        <f>'Option Phase'!DI13</f>
        <v>0</v>
      </c>
      <c r="DJ23" s="21">
        <f>'Option Phase'!DJ13</f>
        <v>0</v>
      </c>
      <c r="DK23" s="21">
        <f>'Option Phase'!DK13</f>
        <v>0</v>
      </c>
      <c r="DL23" s="21">
        <f>'Option Phase'!DL13</f>
        <v>0</v>
      </c>
      <c r="DM23" s="21">
        <f>'Option Phase'!DM13</f>
        <v>0</v>
      </c>
      <c r="DN23" s="21">
        <f>'Option Phase'!DN13</f>
        <v>0</v>
      </c>
      <c r="DO23" s="21">
        <f>'Option Phase'!DO13</f>
        <v>0</v>
      </c>
      <c r="DP23" s="21">
        <f>'Option Phase'!DP13</f>
        <v>0</v>
      </c>
      <c r="DQ23" s="21">
        <f>'Option Phase'!DQ13</f>
        <v>0</v>
      </c>
      <c r="DR23" s="21">
        <f>'Option Phase'!DR13</f>
        <v>0</v>
      </c>
      <c r="DS23" s="21">
        <f>'Option Phase'!DS13</f>
        <v>0</v>
      </c>
      <c r="DT23" s="21">
        <f>'Option Phase'!DT13</f>
        <v>0</v>
      </c>
      <c r="DU23" s="21">
        <f>'Option Phase'!DU13</f>
        <v>0</v>
      </c>
    </row>
    <row r="24" spans="2:125" s="3" customFormat="1" ht="22.95" customHeight="1">
      <c r="C24" s="3" t="s">
        <v>240</v>
      </c>
      <c r="D24" s="25">
        <f t="shared" si="21"/>
        <v>75000</v>
      </c>
      <c r="E24" s="21">
        <f>-'Entitlement Phase'!E7</f>
        <v>0</v>
      </c>
      <c r="F24" s="21">
        <f>-'Entitlement Phase'!F7</f>
        <v>0</v>
      </c>
      <c r="G24" s="21">
        <f>-'Entitlement Phase'!G7</f>
        <v>0</v>
      </c>
      <c r="H24" s="21">
        <f>-'Entitlement Phase'!H7</f>
        <v>0</v>
      </c>
      <c r="I24" s="21">
        <f>-'Entitlement Phase'!I7</f>
        <v>0</v>
      </c>
      <c r="J24" s="21">
        <f>-'Entitlement Phase'!J7</f>
        <v>0</v>
      </c>
      <c r="K24" s="21">
        <f>-'Entitlement Phase'!K7</f>
        <v>6250</v>
      </c>
      <c r="L24" s="21">
        <f>-'Entitlement Phase'!L7</f>
        <v>6250</v>
      </c>
      <c r="M24" s="21">
        <f>-'Entitlement Phase'!M7</f>
        <v>6250</v>
      </c>
      <c r="N24" s="21">
        <f>-'Entitlement Phase'!N7</f>
        <v>6250</v>
      </c>
      <c r="O24" s="21">
        <f>-'Entitlement Phase'!O7</f>
        <v>6250</v>
      </c>
      <c r="P24" s="21">
        <f>-'Entitlement Phase'!P7</f>
        <v>6250</v>
      </c>
      <c r="Q24" s="21">
        <f>-'Entitlement Phase'!Q7</f>
        <v>6250</v>
      </c>
      <c r="R24" s="21">
        <f>-'Entitlement Phase'!R7</f>
        <v>6250</v>
      </c>
      <c r="S24" s="21">
        <f>-'Entitlement Phase'!S7</f>
        <v>6250</v>
      </c>
      <c r="T24" s="21">
        <f>-'Entitlement Phase'!T7</f>
        <v>6250</v>
      </c>
      <c r="U24" s="21">
        <f>-'Entitlement Phase'!U7</f>
        <v>6250</v>
      </c>
      <c r="V24" s="21">
        <f>-'Entitlement Phase'!V7</f>
        <v>6250</v>
      </c>
      <c r="W24" s="21">
        <f>-'Entitlement Phase'!W7</f>
        <v>0</v>
      </c>
      <c r="X24" s="21">
        <f>-'Entitlement Phase'!X7</f>
        <v>0</v>
      </c>
      <c r="Y24" s="21">
        <f>-'Entitlement Phase'!Y7</f>
        <v>0</v>
      </c>
      <c r="Z24" s="21">
        <f>-'Entitlement Phase'!Z7</f>
        <v>0</v>
      </c>
      <c r="AA24" s="21">
        <f>-'Entitlement Phase'!AA7</f>
        <v>0</v>
      </c>
      <c r="AB24" s="21">
        <f>-'Entitlement Phase'!AB7</f>
        <v>0</v>
      </c>
      <c r="AC24" s="21">
        <f>-'Entitlement Phase'!AC7</f>
        <v>0</v>
      </c>
      <c r="AD24" s="21">
        <f>-'Entitlement Phase'!AD7</f>
        <v>0</v>
      </c>
      <c r="AE24" s="21">
        <f>-'Entitlement Phase'!AE7</f>
        <v>0</v>
      </c>
      <c r="AF24" s="21">
        <f>-'Entitlement Phase'!AF7</f>
        <v>0</v>
      </c>
      <c r="AG24" s="21">
        <f>-'Entitlement Phase'!AG7</f>
        <v>0</v>
      </c>
      <c r="AH24" s="21">
        <f>-'Entitlement Phase'!AH7</f>
        <v>0</v>
      </c>
      <c r="AI24" s="21">
        <f>-'Entitlement Phase'!AI7</f>
        <v>0</v>
      </c>
      <c r="AJ24" s="21">
        <f>-'Entitlement Phase'!AJ7</f>
        <v>0</v>
      </c>
      <c r="AK24" s="21">
        <f>-'Entitlement Phase'!AK7</f>
        <v>0</v>
      </c>
      <c r="AL24" s="21">
        <f>-'Entitlement Phase'!AL7</f>
        <v>0</v>
      </c>
      <c r="AM24" s="21">
        <f>-'Entitlement Phase'!AM7</f>
        <v>0</v>
      </c>
      <c r="AN24" s="21">
        <f>-'Entitlement Phase'!AN7</f>
        <v>0</v>
      </c>
      <c r="AO24" s="21">
        <f>-'Entitlement Phase'!AO7</f>
        <v>0</v>
      </c>
      <c r="AP24" s="21">
        <f>-'Entitlement Phase'!AP7</f>
        <v>0</v>
      </c>
      <c r="AQ24" s="21">
        <f>-'Entitlement Phase'!AQ7</f>
        <v>0</v>
      </c>
      <c r="AR24" s="21">
        <f>-'Entitlement Phase'!AR7</f>
        <v>0</v>
      </c>
      <c r="AS24" s="21">
        <f>-'Entitlement Phase'!AS7</f>
        <v>0</v>
      </c>
      <c r="AT24" s="21">
        <f>-'Entitlement Phase'!AT7</f>
        <v>0</v>
      </c>
      <c r="AU24" s="21">
        <f>-'Entitlement Phase'!AU7</f>
        <v>0</v>
      </c>
      <c r="AV24" s="21">
        <f>-'Entitlement Phase'!AV7</f>
        <v>0</v>
      </c>
      <c r="AW24" s="21">
        <f>-'Entitlement Phase'!AW7</f>
        <v>0</v>
      </c>
      <c r="AX24" s="21">
        <f>-'Entitlement Phase'!AX7</f>
        <v>0</v>
      </c>
      <c r="AY24" s="21">
        <f>-'Entitlement Phase'!AY7</f>
        <v>0</v>
      </c>
      <c r="AZ24" s="21">
        <f>-'Entitlement Phase'!AZ7</f>
        <v>0</v>
      </c>
      <c r="BA24" s="21">
        <f>-'Entitlement Phase'!BA7</f>
        <v>0</v>
      </c>
      <c r="BB24" s="21">
        <f>-'Entitlement Phase'!BB7</f>
        <v>0</v>
      </c>
      <c r="BC24" s="21">
        <f>-'Entitlement Phase'!BC7</f>
        <v>0</v>
      </c>
      <c r="BD24" s="21">
        <f>-'Entitlement Phase'!BD7</f>
        <v>0</v>
      </c>
      <c r="BE24" s="21">
        <f>-'Entitlement Phase'!BE7</f>
        <v>0</v>
      </c>
      <c r="BF24" s="21">
        <f>-'Entitlement Phase'!BF7</f>
        <v>0</v>
      </c>
      <c r="BG24" s="21">
        <f>-'Entitlement Phase'!BG7</f>
        <v>0</v>
      </c>
      <c r="BH24" s="21">
        <f>-'Entitlement Phase'!BH7</f>
        <v>0</v>
      </c>
      <c r="BI24" s="21">
        <f>-'Entitlement Phase'!BI7</f>
        <v>0</v>
      </c>
      <c r="BJ24" s="21">
        <f>-'Entitlement Phase'!BJ7</f>
        <v>0</v>
      </c>
      <c r="BK24" s="21">
        <f>-'Entitlement Phase'!BK7</f>
        <v>0</v>
      </c>
      <c r="BL24" s="21">
        <f>-'Entitlement Phase'!BL7</f>
        <v>0</v>
      </c>
      <c r="BM24" s="21">
        <f>-'Entitlement Phase'!BM7</f>
        <v>0</v>
      </c>
      <c r="BN24" s="21">
        <f>-'Entitlement Phase'!BN7</f>
        <v>0</v>
      </c>
      <c r="BO24" s="21">
        <f>-'Entitlement Phase'!BO7</f>
        <v>0</v>
      </c>
      <c r="BP24" s="21">
        <f>-'Entitlement Phase'!BP7</f>
        <v>0</v>
      </c>
      <c r="BQ24" s="21">
        <f>-'Entitlement Phase'!BQ7</f>
        <v>0</v>
      </c>
      <c r="BR24" s="21">
        <f>-'Entitlement Phase'!BR7</f>
        <v>0</v>
      </c>
      <c r="BS24" s="21">
        <f>-'Entitlement Phase'!BS7</f>
        <v>0</v>
      </c>
      <c r="BT24" s="21">
        <f>-'Entitlement Phase'!BT7</f>
        <v>0</v>
      </c>
      <c r="BU24" s="21">
        <f>-'Entitlement Phase'!BU7</f>
        <v>0</v>
      </c>
      <c r="BV24" s="21">
        <f>-'Entitlement Phase'!BV7</f>
        <v>0</v>
      </c>
      <c r="BW24" s="21">
        <f>-'Entitlement Phase'!BW7</f>
        <v>0</v>
      </c>
      <c r="BX24" s="21">
        <f>-'Entitlement Phase'!BX7</f>
        <v>0</v>
      </c>
      <c r="BY24" s="21">
        <f>-'Entitlement Phase'!BY7</f>
        <v>0</v>
      </c>
      <c r="BZ24" s="21">
        <f>-'Entitlement Phase'!BZ7</f>
        <v>0</v>
      </c>
      <c r="CA24" s="21">
        <f>-'Entitlement Phase'!CA7</f>
        <v>0</v>
      </c>
      <c r="CB24" s="21">
        <f>-'Entitlement Phase'!CB7</f>
        <v>0</v>
      </c>
      <c r="CC24" s="21">
        <f>-'Entitlement Phase'!CC7</f>
        <v>0</v>
      </c>
      <c r="CD24" s="21">
        <f>-'Entitlement Phase'!CD7</f>
        <v>0</v>
      </c>
      <c r="CE24" s="21">
        <f>-'Entitlement Phase'!CE7</f>
        <v>0</v>
      </c>
      <c r="CF24" s="21">
        <f>-'Entitlement Phase'!CF7</f>
        <v>0</v>
      </c>
      <c r="CG24" s="21">
        <f>-'Entitlement Phase'!CG7</f>
        <v>0</v>
      </c>
      <c r="CH24" s="21">
        <f>-'Entitlement Phase'!CH7</f>
        <v>0</v>
      </c>
      <c r="CI24" s="21">
        <f>-'Entitlement Phase'!CI7</f>
        <v>0</v>
      </c>
      <c r="CJ24" s="21">
        <f>-'Entitlement Phase'!CJ7</f>
        <v>0</v>
      </c>
      <c r="CK24" s="21">
        <f>-'Entitlement Phase'!CK7</f>
        <v>0</v>
      </c>
      <c r="CL24" s="21">
        <f>-'Entitlement Phase'!CL7</f>
        <v>0</v>
      </c>
      <c r="CM24" s="21">
        <f>-'Entitlement Phase'!CM7</f>
        <v>0</v>
      </c>
      <c r="CN24" s="21">
        <f>-'Entitlement Phase'!CN7</f>
        <v>0</v>
      </c>
      <c r="CO24" s="21">
        <f>-'Entitlement Phase'!CO7</f>
        <v>0</v>
      </c>
      <c r="CP24" s="21">
        <f>-'Entitlement Phase'!CP7</f>
        <v>0</v>
      </c>
      <c r="CQ24" s="21">
        <f>-'Entitlement Phase'!CQ7</f>
        <v>0</v>
      </c>
      <c r="CR24" s="21">
        <f>-'Entitlement Phase'!CR7</f>
        <v>0</v>
      </c>
      <c r="CS24" s="21">
        <f>-'Entitlement Phase'!CS7</f>
        <v>0</v>
      </c>
      <c r="CT24" s="21">
        <f>-'Entitlement Phase'!CT7</f>
        <v>0</v>
      </c>
      <c r="CU24" s="21">
        <f>-'Entitlement Phase'!CU7</f>
        <v>0</v>
      </c>
      <c r="CV24" s="21">
        <f>-'Entitlement Phase'!CV7</f>
        <v>0</v>
      </c>
      <c r="CW24" s="21">
        <f>-'Entitlement Phase'!CW7</f>
        <v>0</v>
      </c>
      <c r="CX24" s="21">
        <f>-'Entitlement Phase'!CX7</f>
        <v>0</v>
      </c>
      <c r="CY24" s="21">
        <f>-'Entitlement Phase'!CY7</f>
        <v>0</v>
      </c>
      <c r="CZ24" s="21">
        <f>-'Entitlement Phase'!CZ7</f>
        <v>0</v>
      </c>
      <c r="DA24" s="21">
        <f>-'Entitlement Phase'!DA7</f>
        <v>0</v>
      </c>
      <c r="DB24" s="21">
        <f>-'Entitlement Phase'!DB7</f>
        <v>0</v>
      </c>
      <c r="DC24" s="21">
        <f>-'Entitlement Phase'!DC7</f>
        <v>0</v>
      </c>
      <c r="DD24" s="21">
        <f>-'Entitlement Phase'!DD7</f>
        <v>0</v>
      </c>
      <c r="DE24" s="21">
        <f>-'Entitlement Phase'!DE7</f>
        <v>0</v>
      </c>
      <c r="DF24" s="21">
        <f>-'Entitlement Phase'!DF7</f>
        <v>0</v>
      </c>
      <c r="DG24" s="21">
        <f>-'Entitlement Phase'!DG7</f>
        <v>0</v>
      </c>
      <c r="DH24" s="21">
        <f>-'Entitlement Phase'!DH7</f>
        <v>0</v>
      </c>
      <c r="DI24" s="21">
        <f>-'Entitlement Phase'!DI7</f>
        <v>0</v>
      </c>
      <c r="DJ24" s="21">
        <f>-'Entitlement Phase'!DJ7</f>
        <v>0</v>
      </c>
      <c r="DK24" s="21">
        <f>-'Entitlement Phase'!DK7</f>
        <v>0</v>
      </c>
      <c r="DL24" s="21">
        <f>-'Entitlement Phase'!DL7</f>
        <v>0</v>
      </c>
      <c r="DM24" s="21">
        <f>-'Entitlement Phase'!DM7</f>
        <v>0</v>
      </c>
      <c r="DN24" s="21">
        <f>-'Entitlement Phase'!DN7</f>
        <v>0</v>
      </c>
      <c r="DO24" s="21">
        <f>-'Entitlement Phase'!DO7</f>
        <v>0</v>
      </c>
      <c r="DP24" s="21">
        <f>-'Entitlement Phase'!DP7</f>
        <v>0</v>
      </c>
      <c r="DQ24" s="21">
        <f>-'Entitlement Phase'!DQ7</f>
        <v>0</v>
      </c>
      <c r="DR24" s="21">
        <f>-'Entitlement Phase'!DR7</f>
        <v>0</v>
      </c>
      <c r="DS24" s="21">
        <f>-'Entitlement Phase'!DS7</f>
        <v>0</v>
      </c>
      <c r="DT24" s="21">
        <f>-'Entitlement Phase'!DT7</f>
        <v>0</v>
      </c>
      <c r="DU24" s="21">
        <f>-'Entitlement Phase'!DU7</f>
        <v>0</v>
      </c>
    </row>
    <row r="25" spans="2:125" s="3" customFormat="1" ht="22.95" customHeight="1">
      <c r="C25" s="3" t="s">
        <v>241</v>
      </c>
      <c r="D25" s="25">
        <f t="shared" si="21"/>
        <v>37500</v>
      </c>
      <c r="E25" s="21">
        <f>-'Entitlement Phase'!E8</f>
        <v>0</v>
      </c>
      <c r="F25" s="21">
        <f>-'Entitlement Phase'!F8</f>
        <v>0</v>
      </c>
      <c r="G25" s="21">
        <f>-'Entitlement Phase'!G8</f>
        <v>0</v>
      </c>
      <c r="H25" s="21">
        <f>-'Entitlement Phase'!H8</f>
        <v>0</v>
      </c>
      <c r="I25" s="21">
        <f>-'Entitlement Phase'!I8</f>
        <v>0</v>
      </c>
      <c r="J25" s="21">
        <f>-'Entitlement Phase'!J8</f>
        <v>0</v>
      </c>
      <c r="K25" s="21">
        <f>-'Entitlement Phase'!K8</f>
        <v>0</v>
      </c>
      <c r="L25" s="21">
        <f>-'Entitlement Phase'!L8</f>
        <v>0</v>
      </c>
      <c r="M25" s="21">
        <f>-'Entitlement Phase'!M8</f>
        <v>0</v>
      </c>
      <c r="N25" s="21">
        <f>-'Entitlement Phase'!N8</f>
        <v>0</v>
      </c>
      <c r="O25" s="21">
        <f>-'Entitlement Phase'!O8</f>
        <v>0</v>
      </c>
      <c r="P25" s="21">
        <f>-'Entitlement Phase'!P8</f>
        <v>0</v>
      </c>
      <c r="Q25" s="21">
        <f>-'Entitlement Phase'!Q8</f>
        <v>0</v>
      </c>
      <c r="R25" s="21">
        <f>-'Entitlement Phase'!R8</f>
        <v>0</v>
      </c>
      <c r="S25" s="21">
        <f>-'Entitlement Phase'!S8</f>
        <v>0</v>
      </c>
      <c r="T25" s="21">
        <f>-'Entitlement Phase'!T8</f>
        <v>0</v>
      </c>
      <c r="U25" s="21">
        <f>-'Entitlement Phase'!U8</f>
        <v>0</v>
      </c>
      <c r="V25" s="21">
        <f>-'Entitlement Phase'!V8</f>
        <v>0</v>
      </c>
      <c r="W25" s="21">
        <f>-'Entitlement Phase'!W8</f>
        <v>37500</v>
      </c>
      <c r="X25" s="21">
        <f>-'Entitlement Phase'!X8</f>
        <v>0</v>
      </c>
      <c r="Y25" s="21">
        <f>-'Entitlement Phase'!Y8</f>
        <v>0</v>
      </c>
      <c r="Z25" s="21">
        <f>-'Entitlement Phase'!Z8</f>
        <v>0</v>
      </c>
      <c r="AA25" s="21">
        <f>-'Entitlement Phase'!AA8</f>
        <v>0</v>
      </c>
      <c r="AB25" s="21">
        <f>-'Entitlement Phase'!AB8</f>
        <v>0</v>
      </c>
      <c r="AC25" s="21">
        <f>-'Entitlement Phase'!AC8</f>
        <v>0</v>
      </c>
      <c r="AD25" s="21">
        <f>-'Entitlement Phase'!AD8</f>
        <v>0</v>
      </c>
      <c r="AE25" s="21">
        <f>-'Entitlement Phase'!AE8</f>
        <v>0</v>
      </c>
      <c r="AF25" s="21">
        <f>-'Entitlement Phase'!AF8</f>
        <v>0</v>
      </c>
      <c r="AG25" s="21">
        <f>-'Entitlement Phase'!AG8</f>
        <v>0</v>
      </c>
      <c r="AH25" s="21">
        <f>-'Entitlement Phase'!AH8</f>
        <v>0</v>
      </c>
      <c r="AI25" s="21">
        <f>-'Entitlement Phase'!AI8</f>
        <v>0</v>
      </c>
      <c r="AJ25" s="21">
        <f>-'Entitlement Phase'!AJ8</f>
        <v>0</v>
      </c>
      <c r="AK25" s="21">
        <f>-'Entitlement Phase'!AK8</f>
        <v>0</v>
      </c>
      <c r="AL25" s="21">
        <f>-'Entitlement Phase'!AL8</f>
        <v>0</v>
      </c>
      <c r="AM25" s="21">
        <f>-'Entitlement Phase'!AM8</f>
        <v>0</v>
      </c>
      <c r="AN25" s="21">
        <f>-'Entitlement Phase'!AN8</f>
        <v>0</v>
      </c>
      <c r="AO25" s="21">
        <f>-'Entitlement Phase'!AO8</f>
        <v>0</v>
      </c>
      <c r="AP25" s="21">
        <f>-'Entitlement Phase'!AP8</f>
        <v>0</v>
      </c>
      <c r="AQ25" s="21">
        <f>-'Entitlement Phase'!AQ8</f>
        <v>0</v>
      </c>
      <c r="AR25" s="21">
        <f>-'Entitlement Phase'!AR8</f>
        <v>0</v>
      </c>
      <c r="AS25" s="21">
        <f>-'Entitlement Phase'!AS8</f>
        <v>0</v>
      </c>
      <c r="AT25" s="21">
        <f>-'Entitlement Phase'!AT8</f>
        <v>0</v>
      </c>
      <c r="AU25" s="21">
        <f>-'Entitlement Phase'!AU8</f>
        <v>0</v>
      </c>
      <c r="AV25" s="21">
        <f>-'Entitlement Phase'!AV8</f>
        <v>0</v>
      </c>
      <c r="AW25" s="21">
        <f>-'Entitlement Phase'!AW8</f>
        <v>0</v>
      </c>
      <c r="AX25" s="21">
        <f>-'Entitlement Phase'!AX8</f>
        <v>0</v>
      </c>
      <c r="AY25" s="21">
        <f>-'Entitlement Phase'!AY8</f>
        <v>0</v>
      </c>
      <c r="AZ25" s="21">
        <f>-'Entitlement Phase'!AZ8</f>
        <v>0</v>
      </c>
      <c r="BA25" s="21">
        <f>-'Entitlement Phase'!BA8</f>
        <v>0</v>
      </c>
      <c r="BB25" s="21">
        <f>-'Entitlement Phase'!BB8</f>
        <v>0</v>
      </c>
      <c r="BC25" s="21">
        <f>-'Entitlement Phase'!BC8</f>
        <v>0</v>
      </c>
      <c r="BD25" s="21">
        <f>-'Entitlement Phase'!BD8</f>
        <v>0</v>
      </c>
      <c r="BE25" s="21">
        <f>-'Entitlement Phase'!BE8</f>
        <v>0</v>
      </c>
      <c r="BF25" s="21">
        <f>-'Entitlement Phase'!BF8</f>
        <v>0</v>
      </c>
      <c r="BG25" s="21">
        <f>-'Entitlement Phase'!BG8</f>
        <v>0</v>
      </c>
      <c r="BH25" s="21">
        <f>-'Entitlement Phase'!BH8</f>
        <v>0</v>
      </c>
      <c r="BI25" s="21">
        <f>-'Entitlement Phase'!BI8</f>
        <v>0</v>
      </c>
      <c r="BJ25" s="21">
        <f>-'Entitlement Phase'!BJ8</f>
        <v>0</v>
      </c>
      <c r="BK25" s="21">
        <f>-'Entitlement Phase'!BK8</f>
        <v>0</v>
      </c>
      <c r="BL25" s="21">
        <f>-'Entitlement Phase'!BL8</f>
        <v>0</v>
      </c>
      <c r="BM25" s="21">
        <f>-'Entitlement Phase'!BM8</f>
        <v>0</v>
      </c>
      <c r="BN25" s="21">
        <f>-'Entitlement Phase'!BN8</f>
        <v>0</v>
      </c>
      <c r="BO25" s="21">
        <f>-'Entitlement Phase'!BO8</f>
        <v>0</v>
      </c>
      <c r="BP25" s="21">
        <f>-'Entitlement Phase'!BP8</f>
        <v>0</v>
      </c>
      <c r="BQ25" s="21">
        <f>-'Entitlement Phase'!BQ8</f>
        <v>0</v>
      </c>
      <c r="BR25" s="21">
        <f>-'Entitlement Phase'!BR8</f>
        <v>0</v>
      </c>
      <c r="BS25" s="21">
        <f>-'Entitlement Phase'!BS8</f>
        <v>0</v>
      </c>
      <c r="BT25" s="21">
        <f>-'Entitlement Phase'!BT8</f>
        <v>0</v>
      </c>
      <c r="BU25" s="21">
        <f>-'Entitlement Phase'!BU8</f>
        <v>0</v>
      </c>
      <c r="BV25" s="21">
        <f>-'Entitlement Phase'!BV8</f>
        <v>0</v>
      </c>
      <c r="BW25" s="21">
        <f>-'Entitlement Phase'!BW8</f>
        <v>0</v>
      </c>
      <c r="BX25" s="21">
        <f>-'Entitlement Phase'!BX8</f>
        <v>0</v>
      </c>
      <c r="BY25" s="21">
        <f>-'Entitlement Phase'!BY8</f>
        <v>0</v>
      </c>
      <c r="BZ25" s="21">
        <f>-'Entitlement Phase'!BZ8</f>
        <v>0</v>
      </c>
      <c r="CA25" s="21">
        <f>-'Entitlement Phase'!CA8</f>
        <v>0</v>
      </c>
      <c r="CB25" s="21">
        <f>-'Entitlement Phase'!CB8</f>
        <v>0</v>
      </c>
      <c r="CC25" s="21">
        <f>-'Entitlement Phase'!CC8</f>
        <v>0</v>
      </c>
      <c r="CD25" s="21">
        <f>-'Entitlement Phase'!CD8</f>
        <v>0</v>
      </c>
      <c r="CE25" s="21">
        <f>-'Entitlement Phase'!CE8</f>
        <v>0</v>
      </c>
      <c r="CF25" s="21">
        <f>-'Entitlement Phase'!CF8</f>
        <v>0</v>
      </c>
      <c r="CG25" s="21">
        <f>-'Entitlement Phase'!CG8</f>
        <v>0</v>
      </c>
      <c r="CH25" s="21">
        <f>-'Entitlement Phase'!CH8</f>
        <v>0</v>
      </c>
      <c r="CI25" s="21">
        <f>-'Entitlement Phase'!CI8</f>
        <v>0</v>
      </c>
      <c r="CJ25" s="21">
        <f>-'Entitlement Phase'!CJ8</f>
        <v>0</v>
      </c>
      <c r="CK25" s="21">
        <f>-'Entitlement Phase'!CK8</f>
        <v>0</v>
      </c>
      <c r="CL25" s="21">
        <f>-'Entitlement Phase'!CL8</f>
        <v>0</v>
      </c>
      <c r="CM25" s="21">
        <f>-'Entitlement Phase'!CM8</f>
        <v>0</v>
      </c>
      <c r="CN25" s="21">
        <f>-'Entitlement Phase'!CN8</f>
        <v>0</v>
      </c>
      <c r="CO25" s="21">
        <f>-'Entitlement Phase'!CO8</f>
        <v>0</v>
      </c>
      <c r="CP25" s="21">
        <f>-'Entitlement Phase'!CP8</f>
        <v>0</v>
      </c>
      <c r="CQ25" s="21">
        <f>-'Entitlement Phase'!CQ8</f>
        <v>0</v>
      </c>
      <c r="CR25" s="21">
        <f>-'Entitlement Phase'!CR8</f>
        <v>0</v>
      </c>
      <c r="CS25" s="21">
        <f>-'Entitlement Phase'!CS8</f>
        <v>0</v>
      </c>
      <c r="CT25" s="21">
        <f>-'Entitlement Phase'!CT8</f>
        <v>0</v>
      </c>
      <c r="CU25" s="21">
        <f>-'Entitlement Phase'!CU8</f>
        <v>0</v>
      </c>
      <c r="CV25" s="21">
        <f>-'Entitlement Phase'!CV8</f>
        <v>0</v>
      </c>
      <c r="CW25" s="21">
        <f>-'Entitlement Phase'!CW8</f>
        <v>0</v>
      </c>
      <c r="CX25" s="21">
        <f>-'Entitlement Phase'!CX8</f>
        <v>0</v>
      </c>
      <c r="CY25" s="21">
        <f>-'Entitlement Phase'!CY8</f>
        <v>0</v>
      </c>
      <c r="CZ25" s="21">
        <f>-'Entitlement Phase'!CZ8</f>
        <v>0</v>
      </c>
      <c r="DA25" s="21">
        <f>-'Entitlement Phase'!DA8</f>
        <v>0</v>
      </c>
      <c r="DB25" s="21">
        <f>-'Entitlement Phase'!DB8</f>
        <v>0</v>
      </c>
      <c r="DC25" s="21">
        <f>-'Entitlement Phase'!DC8</f>
        <v>0</v>
      </c>
      <c r="DD25" s="21">
        <f>-'Entitlement Phase'!DD8</f>
        <v>0</v>
      </c>
      <c r="DE25" s="21">
        <f>-'Entitlement Phase'!DE8</f>
        <v>0</v>
      </c>
      <c r="DF25" s="21">
        <f>-'Entitlement Phase'!DF8</f>
        <v>0</v>
      </c>
      <c r="DG25" s="21">
        <f>-'Entitlement Phase'!DG8</f>
        <v>0</v>
      </c>
      <c r="DH25" s="21">
        <f>-'Entitlement Phase'!DH8</f>
        <v>0</v>
      </c>
      <c r="DI25" s="21">
        <f>-'Entitlement Phase'!DI8</f>
        <v>0</v>
      </c>
      <c r="DJ25" s="21">
        <f>-'Entitlement Phase'!DJ8</f>
        <v>0</v>
      </c>
      <c r="DK25" s="21">
        <f>-'Entitlement Phase'!DK8</f>
        <v>0</v>
      </c>
      <c r="DL25" s="21">
        <f>-'Entitlement Phase'!DL8</f>
        <v>0</v>
      </c>
      <c r="DM25" s="21">
        <f>-'Entitlement Phase'!DM8</f>
        <v>0</v>
      </c>
      <c r="DN25" s="21">
        <f>-'Entitlement Phase'!DN8</f>
        <v>0</v>
      </c>
      <c r="DO25" s="21">
        <f>-'Entitlement Phase'!DO8</f>
        <v>0</v>
      </c>
      <c r="DP25" s="21">
        <f>-'Entitlement Phase'!DP8</f>
        <v>0</v>
      </c>
      <c r="DQ25" s="21">
        <f>-'Entitlement Phase'!DQ8</f>
        <v>0</v>
      </c>
      <c r="DR25" s="21">
        <f>-'Entitlement Phase'!DR8</f>
        <v>0</v>
      </c>
      <c r="DS25" s="21">
        <f>-'Entitlement Phase'!DS8</f>
        <v>0</v>
      </c>
      <c r="DT25" s="21">
        <f>-'Entitlement Phase'!DT8</f>
        <v>0</v>
      </c>
      <c r="DU25" s="21">
        <f>-'Entitlement Phase'!DU8</f>
        <v>0</v>
      </c>
    </row>
    <row r="26" spans="2:125" s="3" customFormat="1" ht="22.95" customHeight="1">
      <c r="C26" s="3" t="s">
        <v>242</v>
      </c>
      <c r="D26" s="25">
        <f t="shared" si="21"/>
        <v>1350000</v>
      </c>
      <c r="E26" s="21">
        <f>'Development Phase'!E38</f>
        <v>0</v>
      </c>
      <c r="F26" s="21">
        <f>'Development Phase'!F38</f>
        <v>0</v>
      </c>
      <c r="G26" s="21">
        <f>'Development Phase'!G38</f>
        <v>0</v>
      </c>
      <c r="H26" s="21">
        <f>'Development Phase'!H38</f>
        <v>0</v>
      </c>
      <c r="I26" s="21">
        <f>'Development Phase'!I38</f>
        <v>0</v>
      </c>
      <c r="J26" s="21">
        <f>'Development Phase'!J38</f>
        <v>0</v>
      </c>
      <c r="K26" s="21">
        <f>'Development Phase'!K38</f>
        <v>0</v>
      </c>
      <c r="L26" s="21">
        <f>'Development Phase'!L38</f>
        <v>0</v>
      </c>
      <c r="M26" s="21">
        <f>'Development Phase'!M38</f>
        <v>0</v>
      </c>
      <c r="N26" s="21">
        <f>'Development Phase'!N38</f>
        <v>0</v>
      </c>
      <c r="O26" s="21">
        <f>'Development Phase'!O38</f>
        <v>0</v>
      </c>
      <c r="P26" s="21">
        <f>'Development Phase'!P38</f>
        <v>0</v>
      </c>
      <c r="Q26" s="21">
        <f>'Development Phase'!Q38</f>
        <v>0</v>
      </c>
      <c r="R26" s="21">
        <f>'Development Phase'!R38</f>
        <v>0</v>
      </c>
      <c r="S26" s="21">
        <f>'Development Phase'!S38</f>
        <v>0</v>
      </c>
      <c r="T26" s="21">
        <f>'Development Phase'!T38</f>
        <v>0</v>
      </c>
      <c r="U26" s="21">
        <f>'Development Phase'!U38</f>
        <v>0</v>
      </c>
      <c r="V26" s="21">
        <f>'Development Phase'!V38</f>
        <v>0</v>
      </c>
      <c r="W26" s="21">
        <f>'Development Phase'!W38</f>
        <v>0</v>
      </c>
      <c r="X26" s="21">
        <f>'Development Phase'!X38</f>
        <v>0</v>
      </c>
      <c r="Y26" s="21">
        <f>'Development Phase'!Y38</f>
        <v>0</v>
      </c>
      <c r="Z26" s="21">
        <f>'Development Phase'!Z38</f>
        <v>0</v>
      </c>
      <c r="AA26" s="21">
        <f>'Development Phase'!AA38</f>
        <v>0</v>
      </c>
      <c r="AB26" s="21">
        <f>'Development Phase'!AB38</f>
        <v>0</v>
      </c>
      <c r="AC26" s="21">
        <f>'Development Phase'!AC38</f>
        <v>1350000</v>
      </c>
      <c r="AD26" s="21">
        <f>'Development Phase'!AD38</f>
        <v>0</v>
      </c>
      <c r="AE26" s="21">
        <f>'Development Phase'!AE38</f>
        <v>0</v>
      </c>
      <c r="AF26" s="21">
        <f>'Development Phase'!AF38</f>
        <v>0</v>
      </c>
      <c r="AG26" s="21">
        <f>'Development Phase'!AG38</f>
        <v>0</v>
      </c>
      <c r="AH26" s="21">
        <f>'Development Phase'!AH38</f>
        <v>0</v>
      </c>
      <c r="AI26" s="21">
        <f>'Development Phase'!AI38</f>
        <v>0</v>
      </c>
      <c r="AJ26" s="21">
        <f>'Development Phase'!AJ38</f>
        <v>0</v>
      </c>
      <c r="AK26" s="21">
        <f>'Development Phase'!AK38</f>
        <v>0</v>
      </c>
      <c r="AL26" s="21">
        <f>'Development Phase'!AL38</f>
        <v>0</v>
      </c>
      <c r="AM26" s="21">
        <f>'Development Phase'!AM38</f>
        <v>0</v>
      </c>
      <c r="AN26" s="21">
        <f>'Development Phase'!AN38</f>
        <v>0</v>
      </c>
      <c r="AO26" s="21">
        <f>'Development Phase'!AO38</f>
        <v>0</v>
      </c>
      <c r="AP26" s="21">
        <f>'Development Phase'!AP38</f>
        <v>0</v>
      </c>
      <c r="AQ26" s="21">
        <f>'Development Phase'!AQ38</f>
        <v>0</v>
      </c>
      <c r="AR26" s="21">
        <f>'Development Phase'!AR38</f>
        <v>0</v>
      </c>
      <c r="AS26" s="21">
        <f>'Development Phase'!AS38</f>
        <v>0</v>
      </c>
      <c r="AT26" s="21">
        <f>'Development Phase'!AT38</f>
        <v>0</v>
      </c>
      <c r="AU26" s="21">
        <f>'Development Phase'!AU38</f>
        <v>0</v>
      </c>
      <c r="AV26" s="21">
        <f>'Development Phase'!AV38</f>
        <v>0</v>
      </c>
      <c r="AW26" s="21">
        <f>'Development Phase'!AW38</f>
        <v>0</v>
      </c>
      <c r="AX26" s="21">
        <f>'Development Phase'!AX38</f>
        <v>0</v>
      </c>
      <c r="AY26" s="21">
        <f>'Development Phase'!AY38</f>
        <v>0</v>
      </c>
      <c r="AZ26" s="21">
        <f>'Development Phase'!AZ38</f>
        <v>0</v>
      </c>
      <c r="BA26" s="21">
        <f>'Development Phase'!BA38</f>
        <v>0</v>
      </c>
      <c r="BB26" s="21">
        <f>'Development Phase'!BB38</f>
        <v>0</v>
      </c>
      <c r="BC26" s="21">
        <f>'Development Phase'!BC38</f>
        <v>0</v>
      </c>
      <c r="BD26" s="21">
        <f>'Development Phase'!BD38</f>
        <v>0</v>
      </c>
      <c r="BE26" s="21">
        <f>'Development Phase'!BE38</f>
        <v>0</v>
      </c>
      <c r="BF26" s="21">
        <f>'Development Phase'!BF38</f>
        <v>0</v>
      </c>
      <c r="BG26" s="21">
        <f>'Development Phase'!BG38</f>
        <v>0</v>
      </c>
      <c r="BH26" s="21">
        <f>'Development Phase'!BH38</f>
        <v>0</v>
      </c>
      <c r="BI26" s="21">
        <f>'Development Phase'!BI38</f>
        <v>0</v>
      </c>
      <c r="BJ26" s="21">
        <f>'Development Phase'!BJ38</f>
        <v>0</v>
      </c>
      <c r="BK26" s="21">
        <f>'Development Phase'!BK38</f>
        <v>0</v>
      </c>
      <c r="BL26" s="21">
        <f>'Development Phase'!BL38</f>
        <v>0</v>
      </c>
      <c r="BM26" s="21">
        <f>'Development Phase'!BM38</f>
        <v>0</v>
      </c>
      <c r="BN26" s="21">
        <f>'Development Phase'!BN38</f>
        <v>0</v>
      </c>
      <c r="BO26" s="21">
        <f>'Development Phase'!BO38</f>
        <v>0</v>
      </c>
      <c r="BP26" s="21">
        <f>'Development Phase'!BP38</f>
        <v>0</v>
      </c>
      <c r="BQ26" s="21">
        <f>'Development Phase'!BQ38</f>
        <v>0</v>
      </c>
      <c r="BR26" s="21">
        <f>'Development Phase'!BR38</f>
        <v>0</v>
      </c>
      <c r="BS26" s="21">
        <f>'Development Phase'!BS38</f>
        <v>0</v>
      </c>
      <c r="BT26" s="21">
        <f>'Development Phase'!BT38</f>
        <v>0</v>
      </c>
      <c r="BU26" s="21">
        <f>'Development Phase'!BU38</f>
        <v>0</v>
      </c>
      <c r="BV26" s="21">
        <f>'Development Phase'!BV38</f>
        <v>0</v>
      </c>
      <c r="BW26" s="21">
        <f>'Development Phase'!BW38</f>
        <v>0</v>
      </c>
      <c r="BX26" s="21">
        <f>'Development Phase'!BX38</f>
        <v>0</v>
      </c>
      <c r="BY26" s="21">
        <f>'Development Phase'!BY38</f>
        <v>0</v>
      </c>
      <c r="BZ26" s="21">
        <f>'Development Phase'!BZ38</f>
        <v>0</v>
      </c>
      <c r="CA26" s="21">
        <f>'Development Phase'!CA38</f>
        <v>0</v>
      </c>
      <c r="CB26" s="21">
        <f>'Development Phase'!CB38</f>
        <v>0</v>
      </c>
      <c r="CC26" s="21">
        <f>'Development Phase'!CC38</f>
        <v>0</v>
      </c>
      <c r="CD26" s="21">
        <f>'Development Phase'!CD38</f>
        <v>0</v>
      </c>
      <c r="CE26" s="21">
        <f>'Development Phase'!CE38</f>
        <v>0</v>
      </c>
      <c r="CF26" s="21">
        <f>'Development Phase'!CF38</f>
        <v>0</v>
      </c>
      <c r="CG26" s="21">
        <f>'Development Phase'!CG38</f>
        <v>0</v>
      </c>
      <c r="CH26" s="21">
        <f>'Development Phase'!CH38</f>
        <v>0</v>
      </c>
      <c r="CI26" s="21">
        <f>'Development Phase'!CI38</f>
        <v>0</v>
      </c>
      <c r="CJ26" s="21">
        <f>'Development Phase'!CJ38</f>
        <v>0</v>
      </c>
      <c r="CK26" s="21">
        <f>'Development Phase'!CK38</f>
        <v>0</v>
      </c>
      <c r="CL26" s="21">
        <f>'Development Phase'!CL38</f>
        <v>0</v>
      </c>
      <c r="CM26" s="21">
        <f>'Development Phase'!CM38</f>
        <v>0</v>
      </c>
      <c r="CN26" s="21">
        <f>'Development Phase'!CN38</f>
        <v>0</v>
      </c>
      <c r="CO26" s="21">
        <f>'Development Phase'!CO38</f>
        <v>0</v>
      </c>
      <c r="CP26" s="21">
        <f>'Development Phase'!CP38</f>
        <v>0</v>
      </c>
      <c r="CQ26" s="21">
        <f>'Development Phase'!CQ38</f>
        <v>0</v>
      </c>
      <c r="CR26" s="21">
        <f>'Development Phase'!CR38</f>
        <v>0</v>
      </c>
      <c r="CS26" s="21">
        <f>'Development Phase'!CS38</f>
        <v>0</v>
      </c>
      <c r="CT26" s="21">
        <f>'Development Phase'!CT38</f>
        <v>0</v>
      </c>
      <c r="CU26" s="21">
        <f>'Development Phase'!CU38</f>
        <v>0</v>
      </c>
      <c r="CV26" s="21">
        <f>'Development Phase'!CV38</f>
        <v>0</v>
      </c>
      <c r="CW26" s="21">
        <f>'Development Phase'!CW38</f>
        <v>0</v>
      </c>
      <c r="CX26" s="21">
        <f>'Development Phase'!CX38</f>
        <v>0</v>
      </c>
      <c r="CY26" s="21">
        <f>'Development Phase'!CY38</f>
        <v>0</v>
      </c>
      <c r="CZ26" s="21">
        <f>'Development Phase'!CZ38</f>
        <v>0</v>
      </c>
      <c r="DA26" s="21">
        <f>'Development Phase'!DA38</f>
        <v>0</v>
      </c>
      <c r="DB26" s="21">
        <f>'Development Phase'!DB38</f>
        <v>0</v>
      </c>
      <c r="DC26" s="21">
        <f>'Development Phase'!DC38</f>
        <v>0</v>
      </c>
      <c r="DD26" s="21">
        <f>'Development Phase'!DD38</f>
        <v>0</v>
      </c>
      <c r="DE26" s="21">
        <f>'Development Phase'!DE38</f>
        <v>0</v>
      </c>
      <c r="DF26" s="21">
        <f>'Development Phase'!DF38</f>
        <v>0</v>
      </c>
      <c r="DG26" s="21">
        <f>'Development Phase'!DG38</f>
        <v>0</v>
      </c>
      <c r="DH26" s="21">
        <f>'Development Phase'!DH38</f>
        <v>0</v>
      </c>
      <c r="DI26" s="21">
        <f>'Development Phase'!DI38</f>
        <v>0</v>
      </c>
      <c r="DJ26" s="21">
        <f>'Development Phase'!DJ38</f>
        <v>0</v>
      </c>
      <c r="DK26" s="21">
        <f>'Development Phase'!DK38</f>
        <v>0</v>
      </c>
      <c r="DL26" s="21">
        <f>'Development Phase'!DL38</f>
        <v>0</v>
      </c>
      <c r="DM26" s="21">
        <f>'Development Phase'!DM38</f>
        <v>0</v>
      </c>
      <c r="DN26" s="21">
        <f>'Development Phase'!DN38</f>
        <v>0</v>
      </c>
      <c r="DO26" s="21">
        <f>'Development Phase'!DO38</f>
        <v>0</v>
      </c>
      <c r="DP26" s="21">
        <f>'Development Phase'!DP38</f>
        <v>0</v>
      </c>
      <c r="DQ26" s="21">
        <f>'Development Phase'!DQ38</f>
        <v>0</v>
      </c>
      <c r="DR26" s="21">
        <f>'Development Phase'!DR38</f>
        <v>0</v>
      </c>
      <c r="DS26" s="21">
        <f>'Development Phase'!DS38</f>
        <v>0</v>
      </c>
      <c r="DT26" s="21">
        <f>'Development Phase'!DT38</f>
        <v>0</v>
      </c>
      <c r="DU26" s="21">
        <f>'Development Phase'!DU38</f>
        <v>0</v>
      </c>
    </row>
    <row r="27" spans="2:125" s="3" customFormat="1" ht="22.95" customHeight="1">
      <c r="C27" s="3" t="s">
        <v>243</v>
      </c>
      <c r="D27" s="25">
        <f t="shared" si="21"/>
        <v>236432.8125</v>
      </c>
      <c r="E27" s="21">
        <f>'Development Phase'!E42</f>
        <v>0</v>
      </c>
      <c r="F27" s="21">
        <f>'Development Phase'!F42</f>
        <v>0</v>
      </c>
      <c r="G27" s="21">
        <f>'Development Phase'!G42</f>
        <v>0</v>
      </c>
      <c r="H27" s="21">
        <f>'Development Phase'!H42</f>
        <v>0</v>
      </c>
      <c r="I27" s="21">
        <f>'Development Phase'!I42</f>
        <v>0</v>
      </c>
      <c r="J27" s="21">
        <f>'Development Phase'!J42</f>
        <v>0</v>
      </c>
      <c r="K27" s="21">
        <f>'Development Phase'!K42</f>
        <v>0</v>
      </c>
      <c r="L27" s="21">
        <f>'Development Phase'!L42</f>
        <v>0</v>
      </c>
      <c r="M27" s="21">
        <f>'Development Phase'!M42</f>
        <v>0</v>
      </c>
      <c r="N27" s="21">
        <f>'Development Phase'!N42</f>
        <v>0</v>
      </c>
      <c r="O27" s="21">
        <f>'Development Phase'!O42</f>
        <v>0</v>
      </c>
      <c r="P27" s="21">
        <f>'Development Phase'!P42</f>
        <v>0</v>
      </c>
      <c r="Q27" s="21">
        <f>'Development Phase'!Q42</f>
        <v>0</v>
      </c>
      <c r="R27" s="21">
        <f>'Development Phase'!R42</f>
        <v>0</v>
      </c>
      <c r="S27" s="21">
        <f>'Development Phase'!S42</f>
        <v>0</v>
      </c>
      <c r="T27" s="21">
        <f>'Development Phase'!T42</f>
        <v>0</v>
      </c>
      <c r="U27" s="21">
        <f>'Development Phase'!U42</f>
        <v>0</v>
      </c>
      <c r="V27" s="21">
        <f>'Development Phase'!V42</f>
        <v>0</v>
      </c>
      <c r="W27" s="21">
        <f>'Development Phase'!W42</f>
        <v>0</v>
      </c>
      <c r="X27" s="21">
        <f>'Development Phase'!X42</f>
        <v>0</v>
      </c>
      <c r="Y27" s="21">
        <f>'Development Phase'!Y42</f>
        <v>0</v>
      </c>
      <c r="Z27" s="21">
        <f>'Development Phase'!Z42</f>
        <v>0</v>
      </c>
      <c r="AA27" s="21">
        <f>'Development Phase'!AA42</f>
        <v>0</v>
      </c>
      <c r="AB27" s="21">
        <f>'Development Phase'!AB42</f>
        <v>0</v>
      </c>
      <c r="AC27" s="21">
        <f>'Development Phase'!AC42</f>
        <v>0</v>
      </c>
      <c r="AD27" s="21">
        <f>'Development Phase'!AD42</f>
        <v>0</v>
      </c>
      <c r="AE27" s="21">
        <f>'Development Phase'!AE42</f>
        <v>0</v>
      </c>
      <c r="AF27" s="21">
        <f>'Development Phase'!AF42</f>
        <v>9851.3671875</v>
      </c>
      <c r="AG27" s="21">
        <f>'Development Phase'!AG42</f>
        <v>9851.3671875</v>
      </c>
      <c r="AH27" s="21">
        <f>'Development Phase'!AH42</f>
        <v>9851.3671875</v>
      </c>
      <c r="AI27" s="21">
        <f>'Development Phase'!AI42</f>
        <v>9851.3671875</v>
      </c>
      <c r="AJ27" s="21">
        <f>'Development Phase'!AJ42</f>
        <v>9851.3671875</v>
      </c>
      <c r="AK27" s="21">
        <f>'Development Phase'!AK42</f>
        <v>9851.3671875</v>
      </c>
      <c r="AL27" s="21">
        <f>'Development Phase'!AL42</f>
        <v>9851.3671875</v>
      </c>
      <c r="AM27" s="21">
        <f>'Development Phase'!AM42</f>
        <v>9851.3671875</v>
      </c>
      <c r="AN27" s="21">
        <f>'Development Phase'!AN42</f>
        <v>9851.3671875</v>
      </c>
      <c r="AO27" s="21">
        <f>'Development Phase'!AO42</f>
        <v>9851.3671875</v>
      </c>
      <c r="AP27" s="21">
        <f>'Development Phase'!AP42</f>
        <v>9851.3671875</v>
      </c>
      <c r="AQ27" s="21">
        <f>'Development Phase'!AQ42</f>
        <v>9851.3671875</v>
      </c>
      <c r="AR27" s="21">
        <f>'Development Phase'!AR42</f>
        <v>9851.3671875</v>
      </c>
      <c r="AS27" s="21">
        <f>'Development Phase'!AS42</f>
        <v>9851.3671875</v>
      </c>
      <c r="AT27" s="21">
        <f>'Development Phase'!AT42</f>
        <v>9851.3671875</v>
      </c>
      <c r="AU27" s="21">
        <f>'Development Phase'!AU42</f>
        <v>9851.3671875</v>
      </c>
      <c r="AV27" s="21">
        <f>'Development Phase'!AV42</f>
        <v>9851.3671875</v>
      </c>
      <c r="AW27" s="21">
        <f>'Development Phase'!AW42</f>
        <v>9851.3671875</v>
      </c>
      <c r="AX27" s="21">
        <f>'Development Phase'!AX42</f>
        <v>9851.3671875</v>
      </c>
      <c r="AY27" s="21">
        <f>'Development Phase'!AY42</f>
        <v>9851.3671875</v>
      </c>
      <c r="AZ27" s="21">
        <f>'Development Phase'!AZ42</f>
        <v>9851.3671875</v>
      </c>
      <c r="BA27" s="21">
        <f>'Development Phase'!BA42</f>
        <v>9851.3671875</v>
      </c>
      <c r="BB27" s="21">
        <f>'Development Phase'!BB42</f>
        <v>9851.3671875</v>
      </c>
      <c r="BC27" s="21">
        <f>'Development Phase'!BC42</f>
        <v>9851.3671875</v>
      </c>
      <c r="BD27" s="21">
        <f>'Development Phase'!BD42</f>
        <v>0</v>
      </c>
      <c r="BE27" s="21">
        <f>'Development Phase'!BE42</f>
        <v>0</v>
      </c>
      <c r="BF27" s="21">
        <f>'Development Phase'!BF42</f>
        <v>0</v>
      </c>
      <c r="BG27" s="21">
        <f>'Development Phase'!BG42</f>
        <v>0</v>
      </c>
      <c r="BH27" s="21">
        <f>'Development Phase'!BH42</f>
        <v>0</v>
      </c>
      <c r="BI27" s="21">
        <f>'Development Phase'!BI42</f>
        <v>0</v>
      </c>
      <c r="BJ27" s="21">
        <f>'Development Phase'!BJ42</f>
        <v>0</v>
      </c>
      <c r="BK27" s="21">
        <f>'Development Phase'!BK42</f>
        <v>0</v>
      </c>
      <c r="BL27" s="21">
        <f>'Development Phase'!BL42</f>
        <v>0</v>
      </c>
      <c r="BM27" s="21">
        <f>'Development Phase'!BM42</f>
        <v>0</v>
      </c>
      <c r="BN27" s="21">
        <f>'Development Phase'!BN42</f>
        <v>0</v>
      </c>
      <c r="BO27" s="21">
        <f>'Development Phase'!BO42</f>
        <v>0</v>
      </c>
      <c r="BP27" s="21">
        <f>'Development Phase'!BP42</f>
        <v>0</v>
      </c>
      <c r="BQ27" s="21">
        <f>'Development Phase'!BQ42</f>
        <v>0</v>
      </c>
      <c r="BR27" s="21">
        <f>'Development Phase'!BR42</f>
        <v>0</v>
      </c>
      <c r="BS27" s="21">
        <f>'Development Phase'!BS42</f>
        <v>0</v>
      </c>
      <c r="BT27" s="21">
        <f>'Development Phase'!BT42</f>
        <v>0</v>
      </c>
      <c r="BU27" s="21">
        <f>'Development Phase'!BU42</f>
        <v>0</v>
      </c>
      <c r="BV27" s="21">
        <f>'Development Phase'!BV42</f>
        <v>0</v>
      </c>
      <c r="BW27" s="21">
        <f>'Development Phase'!BW42</f>
        <v>0</v>
      </c>
      <c r="BX27" s="21">
        <f>'Development Phase'!BX42</f>
        <v>0</v>
      </c>
      <c r="BY27" s="21">
        <f>'Development Phase'!BY42</f>
        <v>0</v>
      </c>
      <c r="BZ27" s="21">
        <f>'Development Phase'!BZ42</f>
        <v>0</v>
      </c>
      <c r="CA27" s="21">
        <f>'Development Phase'!CA42</f>
        <v>0</v>
      </c>
      <c r="CB27" s="21">
        <f>'Development Phase'!CB42</f>
        <v>0</v>
      </c>
      <c r="CC27" s="21">
        <f>'Development Phase'!CC42</f>
        <v>0</v>
      </c>
      <c r="CD27" s="21">
        <f>'Development Phase'!CD42</f>
        <v>0</v>
      </c>
      <c r="CE27" s="21">
        <f>'Development Phase'!CE42</f>
        <v>0</v>
      </c>
      <c r="CF27" s="21">
        <f>'Development Phase'!CF42</f>
        <v>0</v>
      </c>
      <c r="CG27" s="21">
        <f>'Development Phase'!CG42</f>
        <v>0</v>
      </c>
      <c r="CH27" s="21">
        <f>'Development Phase'!CH42</f>
        <v>0</v>
      </c>
      <c r="CI27" s="21">
        <f>'Development Phase'!CI42</f>
        <v>0</v>
      </c>
      <c r="CJ27" s="21">
        <f>'Development Phase'!CJ42</f>
        <v>0</v>
      </c>
      <c r="CK27" s="21">
        <f>'Development Phase'!CK42</f>
        <v>0</v>
      </c>
      <c r="CL27" s="21">
        <f>'Development Phase'!CL42</f>
        <v>0</v>
      </c>
      <c r="CM27" s="21">
        <f>'Development Phase'!CM42</f>
        <v>0</v>
      </c>
      <c r="CN27" s="21">
        <f>'Development Phase'!CN42</f>
        <v>0</v>
      </c>
      <c r="CO27" s="21">
        <f>'Development Phase'!CO42</f>
        <v>0</v>
      </c>
      <c r="CP27" s="21">
        <f>'Development Phase'!CP42</f>
        <v>0</v>
      </c>
      <c r="CQ27" s="21">
        <f>'Development Phase'!CQ42</f>
        <v>0</v>
      </c>
      <c r="CR27" s="21">
        <f>'Development Phase'!CR42</f>
        <v>0</v>
      </c>
      <c r="CS27" s="21">
        <f>'Development Phase'!CS42</f>
        <v>0</v>
      </c>
      <c r="CT27" s="21">
        <f>'Development Phase'!CT42</f>
        <v>0</v>
      </c>
      <c r="CU27" s="21">
        <f>'Development Phase'!CU42</f>
        <v>0</v>
      </c>
      <c r="CV27" s="21">
        <f>'Development Phase'!CV42</f>
        <v>0</v>
      </c>
      <c r="CW27" s="21">
        <f>'Development Phase'!CW42</f>
        <v>0</v>
      </c>
      <c r="CX27" s="21">
        <f>'Development Phase'!CX42</f>
        <v>0</v>
      </c>
      <c r="CY27" s="21">
        <f>'Development Phase'!CY42</f>
        <v>0</v>
      </c>
      <c r="CZ27" s="21">
        <f>'Development Phase'!CZ42</f>
        <v>0</v>
      </c>
      <c r="DA27" s="21">
        <f>'Development Phase'!DA42</f>
        <v>0</v>
      </c>
      <c r="DB27" s="21">
        <f>'Development Phase'!DB42</f>
        <v>0</v>
      </c>
      <c r="DC27" s="21">
        <f>'Development Phase'!DC42</f>
        <v>0</v>
      </c>
      <c r="DD27" s="21">
        <f>'Development Phase'!DD42</f>
        <v>0</v>
      </c>
      <c r="DE27" s="21">
        <f>'Development Phase'!DE42</f>
        <v>0</v>
      </c>
      <c r="DF27" s="21">
        <f>'Development Phase'!DF42</f>
        <v>0</v>
      </c>
      <c r="DG27" s="21">
        <f>'Development Phase'!DG42</f>
        <v>0</v>
      </c>
      <c r="DH27" s="21">
        <f>'Development Phase'!DH42</f>
        <v>0</v>
      </c>
      <c r="DI27" s="21">
        <f>'Development Phase'!DI42</f>
        <v>0</v>
      </c>
      <c r="DJ27" s="21">
        <f>'Development Phase'!DJ42</f>
        <v>0</v>
      </c>
      <c r="DK27" s="21">
        <f>'Development Phase'!DK42</f>
        <v>0</v>
      </c>
      <c r="DL27" s="21">
        <f>'Development Phase'!DL42</f>
        <v>0</v>
      </c>
      <c r="DM27" s="21">
        <f>'Development Phase'!DM42</f>
        <v>0</v>
      </c>
      <c r="DN27" s="21">
        <f>'Development Phase'!DN42</f>
        <v>0</v>
      </c>
      <c r="DO27" s="21">
        <f>'Development Phase'!DO42</f>
        <v>0</v>
      </c>
      <c r="DP27" s="21">
        <f>'Development Phase'!DP42</f>
        <v>0</v>
      </c>
      <c r="DQ27" s="21">
        <f>'Development Phase'!DQ42</f>
        <v>0</v>
      </c>
      <c r="DR27" s="21">
        <f>'Development Phase'!DR42</f>
        <v>0</v>
      </c>
      <c r="DS27" s="21">
        <f>'Development Phase'!DS42</f>
        <v>0</v>
      </c>
      <c r="DT27" s="21">
        <f>'Development Phase'!DT42</f>
        <v>0</v>
      </c>
      <c r="DU27" s="21">
        <f>'Development Phase'!DU42</f>
        <v>0</v>
      </c>
    </row>
    <row r="28" spans="2:125" s="3" customFormat="1" ht="22.95" customHeight="1">
      <c r="C28" s="3" t="s">
        <v>230</v>
      </c>
      <c r="D28" s="25">
        <f t="shared" si="21"/>
        <v>1342119.1819464038</v>
      </c>
      <c r="E28" s="21">
        <f>'Development Phase'!E34</f>
        <v>0</v>
      </c>
      <c r="F28" s="21">
        <f>'Development Phase'!F34</f>
        <v>0</v>
      </c>
      <c r="G28" s="21">
        <f>'Development Phase'!G34</f>
        <v>0</v>
      </c>
      <c r="H28" s="21">
        <f>'Development Phase'!H34</f>
        <v>0</v>
      </c>
      <c r="I28" s="21">
        <f>'Development Phase'!I34</f>
        <v>0</v>
      </c>
      <c r="J28" s="21">
        <f>'Development Phase'!J34</f>
        <v>0</v>
      </c>
      <c r="K28" s="21">
        <f>'Development Phase'!K34</f>
        <v>0</v>
      </c>
      <c r="L28" s="21">
        <f>'Development Phase'!L34</f>
        <v>0</v>
      </c>
      <c r="M28" s="21">
        <f>'Development Phase'!M34</f>
        <v>0</v>
      </c>
      <c r="N28" s="21">
        <f>'Development Phase'!N34</f>
        <v>0</v>
      </c>
      <c r="O28" s="21">
        <f>'Development Phase'!O34</f>
        <v>0</v>
      </c>
      <c r="P28" s="21">
        <f>'Development Phase'!P34</f>
        <v>0</v>
      </c>
      <c r="Q28" s="21">
        <f>'Development Phase'!Q34</f>
        <v>0</v>
      </c>
      <c r="R28" s="21">
        <f>'Development Phase'!R34</f>
        <v>0</v>
      </c>
      <c r="S28" s="21">
        <f>'Development Phase'!S34</f>
        <v>0</v>
      </c>
      <c r="T28" s="21">
        <f>'Development Phase'!T34</f>
        <v>0</v>
      </c>
      <c r="U28" s="21">
        <f>'Development Phase'!U34</f>
        <v>0</v>
      </c>
      <c r="V28" s="21">
        <f>'Development Phase'!V34</f>
        <v>0</v>
      </c>
      <c r="W28" s="21">
        <f>'Development Phase'!W34</f>
        <v>0</v>
      </c>
      <c r="X28" s="21">
        <f>'Development Phase'!X34</f>
        <v>0</v>
      </c>
      <c r="Y28" s="21">
        <f>'Development Phase'!Y34</f>
        <v>0</v>
      </c>
      <c r="Z28" s="21">
        <f>'Development Phase'!Z34</f>
        <v>0</v>
      </c>
      <c r="AA28" s="21">
        <f>'Development Phase'!AA34</f>
        <v>0</v>
      </c>
      <c r="AB28" s="21">
        <f>'Development Phase'!AB34</f>
        <v>0</v>
      </c>
      <c r="AC28" s="21">
        <f>'Development Phase'!AC34</f>
        <v>0</v>
      </c>
      <c r="AD28" s="21">
        <f>'Development Phase'!AD34</f>
        <v>0</v>
      </c>
      <c r="AE28" s="21">
        <f>'Development Phase'!AE34</f>
        <v>0</v>
      </c>
      <c r="AF28" s="21">
        <f>'Development Phase'!AF34</f>
        <v>0</v>
      </c>
      <c r="AG28" s="21">
        <f>'Development Phase'!AG34</f>
        <v>0</v>
      </c>
      <c r="AH28" s="21">
        <f>'Development Phase'!AH34</f>
        <v>0</v>
      </c>
      <c r="AI28" s="21">
        <f>'Development Phase'!AI34</f>
        <v>0</v>
      </c>
      <c r="AJ28" s="21">
        <f>'Development Phase'!AJ34</f>
        <v>0</v>
      </c>
      <c r="AK28" s="21">
        <f>'Development Phase'!AK34</f>
        <v>0</v>
      </c>
      <c r="AL28" s="21">
        <f>'Development Phase'!AL34</f>
        <v>0</v>
      </c>
      <c r="AM28" s="21">
        <f>'Development Phase'!AM34</f>
        <v>0</v>
      </c>
      <c r="AN28" s="21">
        <f>'Development Phase'!AN34</f>
        <v>0</v>
      </c>
      <c r="AO28" s="21">
        <f>'Development Phase'!AO34</f>
        <v>0</v>
      </c>
      <c r="AP28" s="21">
        <f>'Development Phase'!AP34</f>
        <v>0</v>
      </c>
      <c r="AQ28" s="21">
        <f>'Development Phase'!AQ34</f>
        <v>0</v>
      </c>
      <c r="AR28" s="21">
        <f>'Development Phase'!AR34</f>
        <v>0</v>
      </c>
      <c r="AS28" s="21">
        <f>'Development Phase'!AS34</f>
        <v>0</v>
      </c>
      <c r="AT28" s="21">
        <f>'Development Phase'!AT34</f>
        <v>0</v>
      </c>
      <c r="AU28" s="21">
        <f>'Development Phase'!AU34</f>
        <v>0</v>
      </c>
      <c r="AV28" s="21">
        <f>'Development Phase'!AV34</f>
        <v>0</v>
      </c>
      <c r="AW28" s="21">
        <f>'Development Phase'!AW34</f>
        <v>0</v>
      </c>
      <c r="AX28" s="21">
        <f>'Development Phase'!AX34</f>
        <v>11184.32651622003</v>
      </c>
      <c r="AY28" s="21">
        <f>'Development Phase'!AY34</f>
        <v>11184.32651622003</v>
      </c>
      <c r="AZ28" s="21">
        <f>'Development Phase'!AZ34</f>
        <v>11184.32651622003</v>
      </c>
      <c r="BA28" s="21">
        <f>'Development Phase'!BA34</f>
        <v>11184.32651622003</v>
      </c>
      <c r="BB28" s="21">
        <f>'Development Phase'!BB34</f>
        <v>11184.32651622003</v>
      </c>
      <c r="BC28" s="21">
        <f>'Development Phase'!BC34</f>
        <v>11184.32651622003</v>
      </c>
      <c r="BD28" s="21">
        <f>'Development Phase'!BD34</f>
        <v>454829.27832628123</v>
      </c>
      <c r="BE28" s="21">
        <f>'Development Phase'!BE34</f>
        <v>74562.176774800188</v>
      </c>
      <c r="BF28" s="21">
        <f>'Development Phase'!BF34</f>
        <v>74562.176774800188</v>
      </c>
      <c r="BG28" s="21">
        <f>'Development Phase'!BG34</f>
        <v>74562.176774800188</v>
      </c>
      <c r="BH28" s="21">
        <f>'Development Phase'!BH34</f>
        <v>74562.176774800188</v>
      </c>
      <c r="BI28" s="21">
        <f>'Development Phase'!BI34</f>
        <v>74562.176774800188</v>
      </c>
      <c r="BJ28" s="21">
        <f>'Development Phase'!BJ34</f>
        <v>74562.176774800188</v>
      </c>
      <c r="BK28" s="21">
        <f>'Development Phase'!BK34</f>
        <v>74562.176774800188</v>
      </c>
      <c r="BL28" s="21">
        <f>'Development Phase'!BL34</f>
        <v>74562.176774800188</v>
      </c>
      <c r="BM28" s="21">
        <f>'Development Phase'!BM34</f>
        <v>74562.176774800188</v>
      </c>
      <c r="BN28" s="21">
        <f>'Development Phase'!BN34</f>
        <v>74562.176774800188</v>
      </c>
      <c r="BO28" s="21">
        <f>'Development Phase'!BO34</f>
        <v>74562.176774800188</v>
      </c>
      <c r="BP28" s="21">
        <f>'Development Phase'!BP34</f>
        <v>0</v>
      </c>
      <c r="BQ28" s="21">
        <f>'Development Phase'!BQ34</f>
        <v>0</v>
      </c>
      <c r="BR28" s="21">
        <f>'Development Phase'!BR34</f>
        <v>0</v>
      </c>
      <c r="BS28" s="21">
        <f>'Development Phase'!BS34</f>
        <v>0</v>
      </c>
      <c r="BT28" s="21">
        <f>'Development Phase'!BT34</f>
        <v>0</v>
      </c>
      <c r="BU28" s="21">
        <f>'Development Phase'!BU34</f>
        <v>0</v>
      </c>
      <c r="BV28" s="21">
        <f>'Development Phase'!BV34</f>
        <v>0</v>
      </c>
      <c r="BW28" s="21">
        <f>'Development Phase'!BW34</f>
        <v>0</v>
      </c>
      <c r="BX28" s="21">
        <f>'Development Phase'!BX34</f>
        <v>0</v>
      </c>
      <c r="BY28" s="21">
        <f>'Development Phase'!BY34</f>
        <v>0</v>
      </c>
      <c r="BZ28" s="21">
        <f>'Development Phase'!BZ34</f>
        <v>0</v>
      </c>
      <c r="CA28" s="21">
        <f>'Development Phase'!CA34</f>
        <v>0</v>
      </c>
      <c r="CB28" s="21">
        <f>'Development Phase'!CB34</f>
        <v>0</v>
      </c>
      <c r="CC28" s="21">
        <f>'Development Phase'!CC34</f>
        <v>0</v>
      </c>
      <c r="CD28" s="21">
        <f>'Development Phase'!CD34</f>
        <v>0</v>
      </c>
      <c r="CE28" s="21">
        <f>'Development Phase'!CE34</f>
        <v>0</v>
      </c>
      <c r="CF28" s="21">
        <f>'Development Phase'!CF34</f>
        <v>0</v>
      </c>
      <c r="CG28" s="21">
        <f>'Development Phase'!CG34</f>
        <v>0</v>
      </c>
      <c r="CH28" s="21">
        <f>'Development Phase'!CH34</f>
        <v>0</v>
      </c>
      <c r="CI28" s="21">
        <f>'Development Phase'!CI34</f>
        <v>0</v>
      </c>
      <c r="CJ28" s="21">
        <f>'Development Phase'!CJ34</f>
        <v>0</v>
      </c>
      <c r="CK28" s="21">
        <f>'Development Phase'!CK34</f>
        <v>0</v>
      </c>
      <c r="CL28" s="21">
        <f>'Development Phase'!CL34</f>
        <v>0</v>
      </c>
      <c r="CM28" s="21">
        <f>'Development Phase'!CM34</f>
        <v>0</v>
      </c>
      <c r="CN28" s="21">
        <f>'Development Phase'!CN34</f>
        <v>0</v>
      </c>
      <c r="CO28" s="21">
        <f>'Development Phase'!CO34</f>
        <v>0</v>
      </c>
      <c r="CP28" s="21">
        <f>'Development Phase'!CP34</f>
        <v>0</v>
      </c>
      <c r="CQ28" s="21">
        <f>'Development Phase'!CQ34</f>
        <v>0</v>
      </c>
      <c r="CR28" s="21">
        <f>'Development Phase'!CR34</f>
        <v>0</v>
      </c>
      <c r="CS28" s="21">
        <f>'Development Phase'!CS34</f>
        <v>0</v>
      </c>
      <c r="CT28" s="21">
        <f>'Development Phase'!CT34</f>
        <v>0</v>
      </c>
      <c r="CU28" s="21">
        <f>'Development Phase'!CU34</f>
        <v>0</v>
      </c>
      <c r="CV28" s="21">
        <f>'Development Phase'!CV34</f>
        <v>0</v>
      </c>
      <c r="CW28" s="21">
        <f>'Development Phase'!CW34</f>
        <v>0</v>
      </c>
      <c r="CX28" s="21">
        <f>'Development Phase'!CX34</f>
        <v>0</v>
      </c>
      <c r="CY28" s="21">
        <f>'Development Phase'!CY34</f>
        <v>0</v>
      </c>
      <c r="CZ28" s="21">
        <f>'Development Phase'!CZ34</f>
        <v>0</v>
      </c>
      <c r="DA28" s="21">
        <f>'Development Phase'!DA34</f>
        <v>0</v>
      </c>
      <c r="DB28" s="21">
        <f>'Development Phase'!DB34</f>
        <v>0</v>
      </c>
      <c r="DC28" s="21">
        <f>'Development Phase'!DC34</f>
        <v>0</v>
      </c>
      <c r="DD28" s="21">
        <f>'Development Phase'!DD34</f>
        <v>0</v>
      </c>
      <c r="DE28" s="21">
        <f>'Development Phase'!DE34</f>
        <v>0</v>
      </c>
      <c r="DF28" s="21">
        <f>'Development Phase'!DF34</f>
        <v>0</v>
      </c>
      <c r="DG28" s="21">
        <f>'Development Phase'!DG34</f>
        <v>0</v>
      </c>
      <c r="DH28" s="21">
        <f>'Development Phase'!DH34</f>
        <v>0</v>
      </c>
      <c r="DI28" s="21">
        <f>'Development Phase'!DI34</f>
        <v>0</v>
      </c>
      <c r="DJ28" s="21">
        <f>'Development Phase'!DJ34</f>
        <v>0</v>
      </c>
      <c r="DK28" s="21">
        <f>'Development Phase'!DK34</f>
        <v>0</v>
      </c>
      <c r="DL28" s="21">
        <f>'Development Phase'!DL34</f>
        <v>0</v>
      </c>
      <c r="DM28" s="21">
        <f>'Development Phase'!DM34</f>
        <v>0</v>
      </c>
      <c r="DN28" s="21">
        <f>'Development Phase'!DN34</f>
        <v>0</v>
      </c>
      <c r="DO28" s="21">
        <f>'Development Phase'!DO34</f>
        <v>0</v>
      </c>
      <c r="DP28" s="21">
        <f>'Development Phase'!DP34</f>
        <v>0</v>
      </c>
      <c r="DQ28" s="21">
        <f>'Development Phase'!DQ34</f>
        <v>0</v>
      </c>
      <c r="DR28" s="21">
        <f>'Development Phase'!DR34</f>
        <v>0</v>
      </c>
      <c r="DS28" s="21">
        <f>'Development Phase'!DS34</f>
        <v>0</v>
      </c>
      <c r="DT28" s="21">
        <f>'Development Phase'!DT34</f>
        <v>0</v>
      </c>
      <c r="DU28" s="21">
        <f>'Development Phase'!DU34</f>
        <v>0</v>
      </c>
    </row>
    <row r="29" spans="2:125" s="3" customFormat="1" ht="22.95" customHeight="1">
      <c r="C29" s="3" t="s">
        <v>244</v>
      </c>
      <c r="D29" s="25">
        <f t="shared" si="21"/>
        <v>1267500</v>
      </c>
      <c r="E29" s="21">
        <f>'Operational Phase'!E15</f>
        <v>0</v>
      </c>
      <c r="F29" s="21">
        <f>'Operational Phase'!F15</f>
        <v>0</v>
      </c>
      <c r="G29" s="21">
        <f>'Operational Phase'!G15</f>
        <v>0</v>
      </c>
      <c r="H29" s="21">
        <f>'Operational Phase'!H15</f>
        <v>0</v>
      </c>
      <c r="I29" s="21">
        <f>'Operational Phase'!I15</f>
        <v>0</v>
      </c>
      <c r="J29" s="21">
        <f>'Operational Phase'!J15</f>
        <v>0</v>
      </c>
      <c r="K29" s="21">
        <f>'Operational Phase'!K15</f>
        <v>0</v>
      </c>
      <c r="L29" s="21">
        <f>'Operational Phase'!L15</f>
        <v>0</v>
      </c>
      <c r="M29" s="21">
        <f>'Operational Phase'!M15</f>
        <v>0</v>
      </c>
      <c r="N29" s="21">
        <f>'Operational Phase'!N15</f>
        <v>0</v>
      </c>
      <c r="O29" s="21">
        <f>'Operational Phase'!O15</f>
        <v>0</v>
      </c>
      <c r="P29" s="21">
        <f>'Operational Phase'!P15</f>
        <v>0</v>
      </c>
      <c r="Q29" s="21">
        <f>'Operational Phase'!Q15</f>
        <v>0</v>
      </c>
      <c r="R29" s="21">
        <f>'Operational Phase'!R15</f>
        <v>0</v>
      </c>
      <c r="S29" s="21">
        <f>'Operational Phase'!S15</f>
        <v>0</v>
      </c>
      <c r="T29" s="21">
        <f>'Operational Phase'!T15</f>
        <v>0</v>
      </c>
      <c r="U29" s="21">
        <f>'Operational Phase'!U15</f>
        <v>0</v>
      </c>
      <c r="V29" s="21">
        <f>'Operational Phase'!V15</f>
        <v>0</v>
      </c>
      <c r="W29" s="21">
        <f>'Operational Phase'!W15</f>
        <v>0</v>
      </c>
      <c r="X29" s="21">
        <f>'Operational Phase'!X15</f>
        <v>0</v>
      </c>
      <c r="Y29" s="21">
        <f>'Operational Phase'!Y15</f>
        <v>0</v>
      </c>
      <c r="Z29" s="21">
        <f>'Operational Phase'!Z15</f>
        <v>0</v>
      </c>
      <c r="AA29" s="21">
        <f>'Operational Phase'!AA15</f>
        <v>0</v>
      </c>
      <c r="AB29" s="21">
        <f>'Operational Phase'!AB15</f>
        <v>0</v>
      </c>
      <c r="AC29" s="21">
        <f>'Operational Phase'!AC15</f>
        <v>0</v>
      </c>
      <c r="AD29" s="21">
        <f>'Operational Phase'!AD15</f>
        <v>0</v>
      </c>
      <c r="AE29" s="21">
        <f>'Operational Phase'!AE15</f>
        <v>0</v>
      </c>
      <c r="AF29" s="21">
        <f>'Operational Phase'!AF15</f>
        <v>0</v>
      </c>
      <c r="AG29" s="21">
        <f>'Operational Phase'!AG15</f>
        <v>0</v>
      </c>
      <c r="AH29" s="21">
        <f>'Operational Phase'!AH15</f>
        <v>0</v>
      </c>
      <c r="AI29" s="21">
        <f>'Operational Phase'!AI15</f>
        <v>0</v>
      </c>
      <c r="AJ29" s="21">
        <f>'Operational Phase'!AJ15</f>
        <v>0</v>
      </c>
      <c r="AK29" s="21">
        <f>'Operational Phase'!AK15</f>
        <v>0</v>
      </c>
      <c r="AL29" s="21">
        <f>'Operational Phase'!AL15</f>
        <v>0</v>
      </c>
      <c r="AM29" s="21">
        <f>'Operational Phase'!AM15</f>
        <v>0</v>
      </c>
      <c r="AN29" s="21">
        <f>'Operational Phase'!AN15</f>
        <v>0</v>
      </c>
      <c r="AO29" s="21">
        <f>'Operational Phase'!AO15</f>
        <v>0</v>
      </c>
      <c r="AP29" s="21">
        <f>'Operational Phase'!AP15</f>
        <v>0</v>
      </c>
      <c r="AQ29" s="21">
        <f>'Operational Phase'!AQ15</f>
        <v>0</v>
      </c>
      <c r="AR29" s="21">
        <f>'Operational Phase'!AR15</f>
        <v>0</v>
      </c>
      <c r="AS29" s="21">
        <f>'Operational Phase'!AS15</f>
        <v>0</v>
      </c>
      <c r="AT29" s="21">
        <f>'Operational Phase'!AT15</f>
        <v>0</v>
      </c>
      <c r="AU29" s="21">
        <f>'Operational Phase'!AU15</f>
        <v>0</v>
      </c>
      <c r="AV29" s="21">
        <f>'Operational Phase'!AV15</f>
        <v>0</v>
      </c>
      <c r="AW29" s="21">
        <f>'Operational Phase'!AW15</f>
        <v>0</v>
      </c>
      <c r="AX29" s="21">
        <f>'Operational Phase'!AX15</f>
        <v>0</v>
      </c>
      <c r="AY29" s="21">
        <f>'Operational Phase'!AY15</f>
        <v>0</v>
      </c>
      <c r="AZ29" s="21">
        <f>'Operational Phase'!AZ15</f>
        <v>0</v>
      </c>
      <c r="BA29" s="21">
        <f>'Operational Phase'!BA15</f>
        <v>0</v>
      </c>
      <c r="BB29" s="21">
        <f>'Operational Phase'!BB15</f>
        <v>0</v>
      </c>
      <c r="BC29" s="21">
        <f>'Operational Phase'!BC15</f>
        <v>0</v>
      </c>
      <c r="BD29" s="21">
        <f>'Operational Phase'!BD15</f>
        <v>8750.0000000000018</v>
      </c>
      <c r="BE29" s="21">
        <f>'Operational Phase'!BE15</f>
        <v>10000</v>
      </c>
      <c r="BF29" s="21">
        <f>'Operational Phase'!BF15</f>
        <v>11250</v>
      </c>
      <c r="BG29" s="21">
        <f>'Operational Phase'!BG15</f>
        <v>12500</v>
      </c>
      <c r="BH29" s="21">
        <f>'Operational Phase'!BH15</f>
        <v>13749.999999999998</v>
      </c>
      <c r="BI29" s="21">
        <f>'Operational Phase'!BI15</f>
        <v>14999.999999999998</v>
      </c>
      <c r="BJ29" s="21">
        <f>'Operational Phase'!BJ15</f>
        <v>16249.999999999996</v>
      </c>
      <c r="BK29" s="21">
        <f>'Operational Phase'!BK15</f>
        <v>17499.999999999996</v>
      </c>
      <c r="BL29" s="21">
        <f>'Operational Phase'!BL15</f>
        <v>18749.999999999996</v>
      </c>
      <c r="BM29" s="21">
        <f>'Operational Phase'!BM15</f>
        <v>19999.999999999996</v>
      </c>
      <c r="BN29" s="21">
        <f>'Operational Phase'!BN15</f>
        <v>21250</v>
      </c>
      <c r="BO29" s="21">
        <f>'Operational Phase'!BO15</f>
        <v>22500</v>
      </c>
      <c r="BP29" s="21">
        <f>'Operational Phase'!BP15</f>
        <v>22500</v>
      </c>
      <c r="BQ29" s="21">
        <f>'Operational Phase'!BQ15</f>
        <v>22500</v>
      </c>
      <c r="BR29" s="21">
        <f>'Operational Phase'!BR15</f>
        <v>22500</v>
      </c>
      <c r="BS29" s="21">
        <f>'Operational Phase'!BS15</f>
        <v>22500</v>
      </c>
      <c r="BT29" s="21">
        <f>'Operational Phase'!BT15</f>
        <v>22500</v>
      </c>
      <c r="BU29" s="21">
        <f>'Operational Phase'!BU15</f>
        <v>22500</v>
      </c>
      <c r="BV29" s="21">
        <f>'Operational Phase'!BV15</f>
        <v>22500</v>
      </c>
      <c r="BW29" s="21">
        <f>'Operational Phase'!BW15</f>
        <v>22500</v>
      </c>
      <c r="BX29" s="21">
        <f>'Operational Phase'!BX15</f>
        <v>22500</v>
      </c>
      <c r="BY29" s="21">
        <f>'Operational Phase'!BY15</f>
        <v>22500</v>
      </c>
      <c r="BZ29" s="21">
        <f>'Operational Phase'!BZ15</f>
        <v>22500</v>
      </c>
      <c r="CA29" s="21">
        <f>'Operational Phase'!CA15</f>
        <v>22500</v>
      </c>
      <c r="CB29" s="21">
        <f>'Operational Phase'!CB15</f>
        <v>22500</v>
      </c>
      <c r="CC29" s="21">
        <f>'Operational Phase'!CC15</f>
        <v>22500</v>
      </c>
      <c r="CD29" s="21">
        <f>'Operational Phase'!CD15</f>
        <v>22500</v>
      </c>
      <c r="CE29" s="21">
        <f>'Operational Phase'!CE15</f>
        <v>22500</v>
      </c>
      <c r="CF29" s="21">
        <f>'Operational Phase'!CF15</f>
        <v>22500</v>
      </c>
      <c r="CG29" s="21">
        <f>'Operational Phase'!CG15</f>
        <v>22500</v>
      </c>
      <c r="CH29" s="21">
        <f>'Operational Phase'!CH15</f>
        <v>22500</v>
      </c>
      <c r="CI29" s="21">
        <f>'Operational Phase'!CI15</f>
        <v>22500</v>
      </c>
      <c r="CJ29" s="21">
        <f>'Operational Phase'!CJ15</f>
        <v>22500</v>
      </c>
      <c r="CK29" s="21">
        <f>'Operational Phase'!CK15</f>
        <v>22500</v>
      </c>
      <c r="CL29" s="21">
        <f>'Operational Phase'!CL15</f>
        <v>22500</v>
      </c>
      <c r="CM29" s="21">
        <f>'Operational Phase'!CM15</f>
        <v>22500</v>
      </c>
      <c r="CN29" s="21">
        <f>'Operational Phase'!CN15</f>
        <v>22500</v>
      </c>
      <c r="CO29" s="21">
        <f>'Operational Phase'!CO15</f>
        <v>22500</v>
      </c>
      <c r="CP29" s="21">
        <f>'Operational Phase'!CP15</f>
        <v>22500</v>
      </c>
      <c r="CQ29" s="21">
        <f>'Operational Phase'!CQ15</f>
        <v>22500</v>
      </c>
      <c r="CR29" s="21">
        <f>'Operational Phase'!CR15</f>
        <v>22500</v>
      </c>
      <c r="CS29" s="21">
        <f>'Operational Phase'!CS15</f>
        <v>22500</v>
      </c>
      <c r="CT29" s="21">
        <f>'Operational Phase'!CT15</f>
        <v>22500</v>
      </c>
      <c r="CU29" s="21">
        <f>'Operational Phase'!CU15</f>
        <v>22500</v>
      </c>
      <c r="CV29" s="21">
        <f>'Operational Phase'!CV15</f>
        <v>22500</v>
      </c>
      <c r="CW29" s="21">
        <f>'Operational Phase'!CW15</f>
        <v>22500</v>
      </c>
      <c r="CX29" s="21">
        <f>'Operational Phase'!CX15</f>
        <v>22500</v>
      </c>
      <c r="CY29" s="21">
        <f>'Operational Phase'!CY15</f>
        <v>22500</v>
      </c>
      <c r="CZ29" s="21">
        <f>'Operational Phase'!CZ15</f>
        <v>22500</v>
      </c>
      <c r="DA29" s="21">
        <f>'Operational Phase'!DA15</f>
        <v>22500</v>
      </c>
      <c r="DB29" s="21">
        <f>'Operational Phase'!DB15</f>
        <v>22500</v>
      </c>
      <c r="DC29" s="21">
        <f>'Operational Phase'!DC15</f>
        <v>22500</v>
      </c>
      <c r="DD29" s="21">
        <f>'Operational Phase'!DD15</f>
        <v>22500</v>
      </c>
      <c r="DE29" s="21">
        <f>'Operational Phase'!DE15</f>
        <v>22500</v>
      </c>
      <c r="DF29" s="21">
        <f>'Operational Phase'!DF15</f>
        <v>22500</v>
      </c>
      <c r="DG29" s="21">
        <f>'Operational Phase'!DG15</f>
        <v>22500</v>
      </c>
      <c r="DH29" s="21">
        <f>'Operational Phase'!DH15</f>
        <v>22500</v>
      </c>
      <c r="DI29" s="21">
        <f>'Operational Phase'!DI15</f>
        <v>22500</v>
      </c>
      <c r="DJ29" s="21">
        <f>'Operational Phase'!DJ15</f>
        <v>22500</v>
      </c>
      <c r="DK29" s="21">
        <f>'Operational Phase'!DK15</f>
        <v>22500</v>
      </c>
      <c r="DL29" s="21">
        <f>'Operational Phase'!DL15</f>
        <v>0</v>
      </c>
      <c r="DM29" s="21">
        <f>'Operational Phase'!DM15</f>
        <v>0</v>
      </c>
      <c r="DN29" s="21">
        <f>'Operational Phase'!DN15</f>
        <v>0</v>
      </c>
      <c r="DO29" s="21">
        <f>'Operational Phase'!DO15</f>
        <v>0</v>
      </c>
      <c r="DP29" s="21">
        <f>'Operational Phase'!DP15</f>
        <v>0</v>
      </c>
      <c r="DQ29" s="21">
        <f>'Operational Phase'!DQ15</f>
        <v>0</v>
      </c>
      <c r="DR29" s="21">
        <f>'Operational Phase'!DR15</f>
        <v>0</v>
      </c>
      <c r="DS29" s="21">
        <f>'Operational Phase'!DS15</f>
        <v>0</v>
      </c>
      <c r="DT29" s="21">
        <f>'Operational Phase'!DT15</f>
        <v>0</v>
      </c>
      <c r="DU29" s="21">
        <f>'Operational Phase'!DU15</f>
        <v>0</v>
      </c>
    </row>
    <row r="30" spans="2:125" s="3" customFormat="1" ht="22.95" customHeight="1">
      <c r="C30" s="3" t="s">
        <v>245</v>
      </c>
      <c r="D30" s="25">
        <f t="shared" si="21"/>
        <v>-945000</v>
      </c>
      <c r="E30" s="21">
        <f>'Operational Phase'!E16</f>
        <v>0</v>
      </c>
      <c r="F30" s="21">
        <f>'Operational Phase'!F16</f>
        <v>0</v>
      </c>
      <c r="G30" s="21">
        <f>'Operational Phase'!G16</f>
        <v>0</v>
      </c>
      <c r="H30" s="21">
        <f>'Operational Phase'!H16</f>
        <v>0</v>
      </c>
      <c r="I30" s="21">
        <f>'Operational Phase'!I16</f>
        <v>0</v>
      </c>
      <c r="J30" s="21">
        <f>'Operational Phase'!J16</f>
        <v>0</v>
      </c>
      <c r="K30" s="21">
        <f>'Operational Phase'!K16</f>
        <v>0</v>
      </c>
      <c r="L30" s="21">
        <f>'Operational Phase'!L16</f>
        <v>0</v>
      </c>
      <c r="M30" s="21">
        <f>'Operational Phase'!M16</f>
        <v>0</v>
      </c>
      <c r="N30" s="21">
        <f>'Operational Phase'!N16</f>
        <v>0</v>
      </c>
      <c r="O30" s="21">
        <f>'Operational Phase'!O16</f>
        <v>0</v>
      </c>
      <c r="P30" s="21">
        <f>'Operational Phase'!P16</f>
        <v>0</v>
      </c>
      <c r="Q30" s="21">
        <f>'Operational Phase'!Q16</f>
        <v>0</v>
      </c>
      <c r="R30" s="21">
        <f>'Operational Phase'!R16</f>
        <v>0</v>
      </c>
      <c r="S30" s="21">
        <f>'Operational Phase'!S16</f>
        <v>0</v>
      </c>
      <c r="T30" s="21">
        <f>'Operational Phase'!T16</f>
        <v>0</v>
      </c>
      <c r="U30" s="21">
        <f>'Operational Phase'!U16</f>
        <v>0</v>
      </c>
      <c r="V30" s="21">
        <f>'Operational Phase'!V16</f>
        <v>0</v>
      </c>
      <c r="W30" s="21">
        <f>'Operational Phase'!W16</f>
        <v>0</v>
      </c>
      <c r="X30" s="21">
        <f>'Operational Phase'!X16</f>
        <v>0</v>
      </c>
      <c r="Y30" s="21">
        <f>'Operational Phase'!Y16</f>
        <v>0</v>
      </c>
      <c r="Z30" s="21">
        <f>'Operational Phase'!Z16</f>
        <v>0</v>
      </c>
      <c r="AA30" s="21">
        <f>'Operational Phase'!AA16</f>
        <v>0</v>
      </c>
      <c r="AB30" s="21">
        <f>'Operational Phase'!AB16</f>
        <v>0</v>
      </c>
      <c r="AC30" s="21">
        <f>'Operational Phase'!AC16</f>
        <v>0</v>
      </c>
      <c r="AD30" s="21">
        <f>'Operational Phase'!AD16</f>
        <v>0</v>
      </c>
      <c r="AE30" s="21">
        <f>'Operational Phase'!AE16</f>
        <v>0</v>
      </c>
      <c r="AF30" s="21">
        <f>'Operational Phase'!AF16</f>
        <v>0</v>
      </c>
      <c r="AG30" s="21">
        <f>'Operational Phase'!AG16</f>
        <v>0</v>
      </c>
      <c r="AH30" s="21">
        <f>'Operational Phase'!AH16</f>
        <v>0</v>
      </c>
      <c r="AI30" s="21">
        <f>'Operational Phase'!AI16</f>
        <v>0</v>
      </c>
      <c r="AJ30" s="21">
        <f>'Operational Phase'!AJ16</f>
        <v>0</v>
      </c>
      <c r="AK30" s="21">
        <f>'Operational Phase'!AK16</f>
        <v>0</v>
      </c>
      <c r="AL30" s="21">
        <f>'Operational Phase'!AL16</f>
        <v>0</v>
      </c>
      <c r="AM30" s="21">
        <f>'Operational Phase'!AM16</f>
        <v>0</v>
      </c>
      <c r="AN30" s="21">
        <f>'Operational Phase'!AN16</f>
        <v>0</v>
      </c>
      <c r="AO30" s="21">
        <f>'Operational Phase'!AO16</f>
        <v>0</v>
      </c>
      <c r="AP30" s="21">
        <f>'Operational Phase'!AP16</f>
        <v>0</v>
      </c>
      <c r="AQ30" s="21">
        <f>'Operational Phase'!AQ16</f>
        <v>0</v>
      </c>
      <c r="AR30" s="21">
        <f>'Operational Phase'!AR16</f>
        <v>0</v>
      </c>
      <c r="AS30" s="21">
        <f>'Operational Phase'!AS16</f>
        <v>0</v>
      </c>
      <c r="AT30" s="21">
        <f>'Operational Phase'!AT16</f>
        <v>0</v>
      </c>
      <c r="AU30" s="21">
        <f>'Operational Phase'!AU16</f>
        <v>0</v>
      </c>
      <c r="AV30" s="21">
        <f>'Operational Phase'!AV16</f>
        <v>0</v>
      </c>
      <c r="AW30" s="21">
        <f>'Operational Phase'!AW16</f>
        <v>0</v>
      </c>
      <c r="AX30" s="21">
        <f>'Operational Phase'!AX16</f>
        <v>0</v>
      </c>
      <c r="AY30" s="21">
        <f>'Operational Phase'!AY16</f>
        <v>0</v>
      </c>
      <c r="AZ30" s="21">
        <f>'Operational Phase'!AZ16</f>
        <v>0</v>
      </c>
      <c r="BA30" s="21">
        <f>'Operational Phase'!BA16</f>
        <v>0</v>
      </c>
      <c r="BB30" s="21">
        <f>'Operational Phase'!BB16</f>
        <v>0</v>
      </c>
      <c r="BC30" s="21">
        <f>'Operational Phase'!BC16</f>
        <v>0</v>
      </c>
      <c r="BD30" s="21">
        <f>'Operational Phase'!BD16</f>
        <v>-15750</v>
      </c>
      <c r="BE30" s="21">
        <f>'Operational Phase'!BE16</f>
        <v>-15750</v>
      </c>
      <c r="BF30" s="21">
        <f>'Operational Phase'!BF16</f>
        <v>-15750</v>
      </c>
      <c r="BG30" s="21">
        <f>'Operational Phase'!BG16</f>
        <v>-15750</v>
      </c>
      <c r="BH30" s="21">
        <f>'Operational Phase'!BH16</f>
        <v>-15750</v>
      </c>
      <c r="BI30" s="21">
        <f>'Operational Phase'!BI16</f>
        <v>-15750</v>
      </c>
      <c r="BJ30" s="21">
        <f>'Operational Phase'!BJ16</f>
        <v>-15750</v>
      </c>
      <c r="BK30" s="21">
        <f>'Operational Phase'!BK16</f>
        <v>-15750</v>
      </c>
      <c r="BL30" s="21">
        <f>'Operational Phase'!BL16</f>
        <v>-15750</v>
      </c>
      <c r="BM30" s="21">
        <f>'Operational Phase'!BM16</f>
        <v>-15750</v>
      </c>
      <c r="BN30" s="21">
        <f>'Operational Phase'!BN16</f>
        <v>-15750</v>
      </c>
      <c r="BO30" s="21">
        <f>'Operational Phase'!BO16</f>
        <v>-15750</v>
      </c>
      <c r="BP30" s="21">
        <f>'Operational Phase'!BP16</f>
        <v>-15750</v>
      </c>
      <c r="BQ30" s="21">
        <f>'Operational Phase'!BQ16</f>
        <v>-15750</v>
      </c>
      <c r="BR30" s="21">
        <f>'Operational Phase'!BR16</f>
        <v>-15750</v>
      </c>
      <c r="BS30" s="21">
        <f>'Operational Phase'!BS16</f>
        <v>-15750</v>
      </c>
      <c r="BT30" s="21">
        <f>'Operational Phase'!BT16</f>
        <v>-15750</v>
      </c>
      <c r="BU30" s="21">
        <f>'Operational Phase'!BU16</f>
        <v>-15750</v>
      </c>
      <c r="BV30" s="21">
        <f>'Operational Phase'!BV16</f>
        <v>-15750</v>
      </c>
      <c r="BW30" s="21">
        <f>'Operational Phase'!BW16</f>
        <v>-15750</v>
      </c>
      <c r="BX30" s="21">
        <f>'Operational Phase'!BX16</f>
        <v>-15750</v>
      </c>
      <c r="BY30" s="21">
        <f>'Operational Phase'!BY16</f>
        <v>-15750</v>
      </c>
      <c r="BZ30" s="21">
        <f>'Operational Phase'!BZ16</f>
        <v>-15750</v>
      </c>
      <c r="CA30" s="21">
        <f>'Operational Phase'!CA16</f>
        <v>-15750</v>
      </c>
      <c r="CB30" s="21">
        <f>'Operational Phase'!CB16</f>
        <v>-15750</v>
      </c>
      <c r="CC30" s="21">
        <f>'Operational Phase'!CC16</f>
        <v>-15750</v>
      </c>
      <c r="CD30" s="21">
        <f>'Operational Phase'!CD16</f>
        <v>-15750</v>
      </c>
      <c r="CE30" s="21">
        <f>'Operational Phase'!CE16</f>
        <v>-15750</v>
      </c>
      <c r="CF30" s="21">
        <f>'Operational Phase'!CF16</f>
        <v>-15750</v>
      </c>
      <c r="CG30" s="21">
        <f>'Operational Phase'!CG16</f>
        <v>-15750</v>
      </c>
      <c r="CH30" s="21">
        <f>'Operational Phase'!CH16</f>
        <v>-15750</v>
      </c>
      <c r="CI30" s="21">
        <f>'Operational Phase'!CI16</f>
        <v>-15750</v>
      </c>
      <c r="CJ30" s="21">
        <f>'Operational Phase'!CJ16</f>
        <v>-15750</v>
      </c>
      <c r="CK30" s="21">
        <f>'Operational Phase'!CK16</f>
        <v>-15750</v>
      </c>
      <c r="CL30" s="21">
        <f>'Operational Phase'!CL16</f>
        <v>-15750</v>
      </c>
      <c r="CM30" s="21">
        <f>'Operational Phase'!CM16</f>
        <v>-15750</v>
      </c>
      <c r="CN30" s="21">
        <f>'Operational Phase'!CN16</f>
        <v>-15750</v>
      </c>
      <c r="CO30" s="21">
        <f>'Operational Phase'!CO16</f>
        <v>-15750</v>
      </c>
      <c r="CP30" s="21">
        <f>'Operational Phase'!CP16</f>
        <v>-15750</v>
      </c>
      <c r="CQ30" s="21">
        <f>'Operational Phase'!CQ16</f>
        <v>-15750</v>
      </c>
      <c r="CR30" s="21">
        <f>'Operational Phase'!CR16</f>
        <v>-15750</v>
      </c>
      <c r="CS30" s="21">
        <f>'Operational Phase'!CS16</f>
        <v>-15750</v>
      </c>
      <c r="CT30" s="21">
        <f>'Operational Phase'!CT16</f>
        <v>-15750</v>
      </c>
      <c r="CU30" s="21">
        <f>'Operational Phase'!CU16</f>
        <v>-15750</v>
      </c>
      <c r="CV30" s="21">
        <f>'Operational Phase'!CV16</f>
        <v>-15750</v>
      </c>
      <c r="CW30" s="21">
        <f>'Operational Phase'!CW16</f>
        <v>-15750</v>
      </c>
      <c r="CX30" s="21">
        <f>'Operational Phase'!CX16</f>
        <v>-15750</v>
      </c>
      <c r="CY30" s="21">
        <f>'Operational Phase'!CY16</f>
        <v>-15750</v>
      </c>
      <c r="CZ30" s="21">
        <f>'Operational Phase'!CZ16</f>
        <v>-15750</v>
      </c>
      <c r="DA30" s="21">
        <f>'Operational Phase'!DA16</f>
        <v>-15750</v>
      </c>
      <c r="DB30" s="21">
        <f>'Operational Phase'!DB16</f>
        <v>-15750</v>
      </c>
      <c r="DC30" s="21">
        <f>'Operational Phase'!DC16</f>
        <v>-15750</v>
      </c>
      <c r="DD30" s="21">
        <f>'Operational Phase'!DD16</f>
        <v>-15750</v>
      </c>
      <c r="DE30" s="21">
        <f>'Operational Phase'!DE16</f>
        <v>-15750</v>
      </c>
      <c r="DF30" s="21">
        <f>'Operational Phase'!DF16</f>
        <v>-15750</v>
      </c>
      <c r="DG30" s="21">
        <f>'Operational Phase'!DG16</f>
        <v>-15750</v>
      </c>
      <c r="DH30" s="21">
        <f>'Operational Phase'!DH16</f>
        <v>-15750</v>
      </c>
      <c r="DI30" s="21">
        <f>'Operational Phase'!DI16</f>
        <v>-15750</v>
      </c>
      <c r="DJ30" s="21">
        <f>'Operational Phase'!DJ16</f>
        <v>-15750</v>
      </c>
      <c r="DK30" s="21">
        <f>'Operational Phase'!DK16</f>
        <v>-15750</v>
      </c>
      <c r="DL30" s="21">
        <f>'Operational Phase'!DL16</f>
        <v>0</v>
      </c>
      <c r="DM30" s="21">
        <f>'Operational Phase'!DM16</f>
        <v>0</v>
      </c>
      <c r="DN30" s="21">
        <f>'Operational Phase'!DN16</f>
        <v>0</v>
      </c>
      <c r="DO30" s="21">
        <f>'Operational Phase'!DO16</f>
        <v>0</v>
      </c>
      <c r="DP30" s="21">
        <f>'Operational Phase'!DP16</f>
        <v>0</v>
      </c>
      <c r="DQ30" s="21">
        <f>'Operational Phase'!DQ16</f>
        <v>0</v>
      </c>
      <c r="DR30" s="21">
        <f>'Operational Phase'!DR16</f>
        <v>0</v>
      </c>
      <c r="DS30" s="21">
        <f>'Operational Phase'!DS16</f>
        <v>0</v>
      </c>
      <c r="DT30" s="21">
        <f>'Operational Phase'!DT16</f>
        <v>0</v>
      </c>
      <c r="DU30" s="21">
        <f>'Operational Phase'!DU16</f>
        <v>0</v>
      </c>
    </row>
    <row r="31" spans="2:125" s="3" customFormat="1" ht="22.95" customHeight="1">
      <c r="B31" s="3" t="s">
        <v>246</v>
      </c>
      <c r="C31" s="26" t="s">
        <v>237</v>
      </c>
      <c r="D31" s="27">
        <f t="shared" si="21"/>
        <v>3393551.9944464052</v>
      </c>
      <c r="E31" s="28">
        <f t="shared" ref="E31:AJ31" si="22">SUM(E22:E30)</f>
        <v>46666.666666666664</v>
      </c>
      <c r="F31" s="28">
        <f t="shared" si="22"/>
        <v>-3333.3333333333335</v>
      </c>
      <c r="G31" s="28">
        <f t="shared" si="22"/>
        <v>-3333.3333333333335</v>
      </c>
      <c r="H31" s="28">
        <f t="shared" si="22"/>
        <v>-3333.3333333333335</v>
      </c>
      <c r="I31" s="28">
        <f t="shared" si="22"/>
        <v>-3333.3333333333335</v>
      </c>
      <c r="J31" s="28">
        <f t="shared" si="22"/>
        <v>-3333.3333333333335</v>
      </c>
      <c r="K31" s="28">
        <f t="shared" si="22"/>
        <v>6250</v>
      </c>
      <c r="L31" s="28">
        <f t="shared" si="22"/>
        <v>6250</v>
      </c>
      <c r="M31" s="28">
        <f t="shared" si="22"/>
        <v>6250</v>
      </c>
      <c r="N31" s="28">
        <f t="shared" si="22"/>
        <v>6250</v>
      </c>
      <c r="O31" s="28">
        <f t="shared" si="22"/>
        <v>6250</v>
      </c>
      <c r="P31" s="28">
        <f t="shared" si="22"/>
        <v>6250</v>
      </c>
      <c r="Q31" s="28">
        <f t="shared" si="22"/>
        <v>6250</v>
      </c>
      <c r="R31" s="28">
        <f t="shared" si="22"/>
        <v>6250</v>
      </c>
      <c r="S31" s="28">
        <f t="shared" si="22"/>
        <v>6250</v>
      </c>
      <c r="T31" s="28">
        <f t="shared" si="22"/>
        <v>6250</v>
      </c>
      <c r="U31" s="28">
        <f t="shared" si="22"/>
        <v>6250</v>
      </c>
      <c r="V31" s="28">
        <f t="shared" si="22"/>
        <v>6250</v>
      </c>
      <c r="W31" s="28">
        <f t="shared" si="22"/>
        <v>37500</v>
      </c>
      <c r="X31" s="28">
        <f t="shared" si="22"/>
        <v>0</v>
      </c>
      <c r="Y31" s="28">
        <f t="shared" si="22"/>
        <v>0</v>
      </c>
      <c r="Z31" s="28">
        <f t="shared" si="22"/>
        <v>0</v>
      </c>
      <c r="AA31" s="28">
        <f t="shared" si="22"/>
        <v>0</v>
      </c>
      <c r="AB31" s="28">
        <f t="shared" si="22"/>
        <v>0</v>
      </c>
      <c r="AC31" s="28">
        <f t="shared" si="22"/>
        <v>1350000</v>
      </c>
      <c r="AD31" s="28">
        <f t="shared" si="22"/>
        <v>0</v>
      </c>
      <c r="AE31" s="28">
        <f t="shared" si="22"/>
        <v>0</v>
      </c>
      <c r="AF31" s="28">
        <f t="shared" si="22"/>
        <v>9851.3671875</v>
      </c>
      <c r="AG31" s="28">
        <f t="shared" si="22"/>
        <v>9851.3671875</v>
      </c>
      <c r="AH31" s="28">
        <f t="shared" si="22"/>
        <v>9851.3671875</v>
      </c>
      <c r="AI31" s="28">
        <f t="shared" si="22"/>
        <v>9851.3671875</v>
      </c>
      <c r="AJ31" s="28">
        <f t="shared" si="22"/>
        <v>9851.3671875</v>
      </c>
      <c r="AK31" s="28">
        <f t="shared" ref="AK31:BP31" si="23">SUM(AK22:AK30)</f>
        <v>9851.3671875</v>
      </c>
      <c r="AL31" s="28">
        <f t="shared" si="23"/>
        <v>9851.3671875</v>
      </c>
      <c r="AM31" s="28">
        <f t="shared" si="23"/>
        <v>9851.3671875</v>
      </c>
      <c r="AN31" s="28">
        <f t="shared" si="23"/>
        <v>9851.3671875</v>
      </c>
      <c r="AO31" s="28">
        <f t="shared" si="23"/>
        <v>9851.3671875</v>
      </c>
      <c r="AP31" s="28">
        <f t="shared" si="23"/>
        <v>9851.3671875</v>
      </c>
      <c r="AQ31" s="28">
        <f t="shared" si="23"/>
        <v>9851.3671875</v>
      </c>
      <c r="AR31" s="28">
        <f t="shared" si="23"/>
        <v>9851.3671875</v>
      </c>
      <c r="AS31" s="28">
        <f t="shared" si="23"/>
        <v>9851.3671875</v>
      </c>
      <c r="AT31" s="28">
        <f t="shared" si="23"/>
        <v>9851.3671875</v>
      </c>
      <c r="AU31" s="28">
        <f t="shared" si="23"/>
        <v>9851.3671875</v>
      </c>
      <c r="AV31" s="28">
        <f t="shared" si="23"/>
        <v>9851.3671875</v>
      </c>
      <c r="AW31" s="28">
        <f t="shared" si="23"/>
        <v>9851.3671875</v>
      </c>
      <c r="AX31" s="28">
        <f t="shared" si="23"/>
        <v>21035.69370372003</v>
      </c>
      <c r="AY31" s="28">
        <f t="shared" si="23"/>
        <v>21035.69370372003</v>
      </c>
      <c r="AZ31" s="28">
        <f t="shared" si="23"/>
        <v>21035.69370372003</v>
      </c>
      <c r="BA31" s="28">
        <f t="shared" si="23"/>
        <v>21035.69370372003</v>
      </c>
      <c r="BB31" s="28">
        <f t="shared" si="23"/>
        <v>21035.69370372003</v>
      </c>
      <c r="BC31" s="28">
        <f t="shared" si="23"/>
        <v>21035.69370372003</v>
      </c>
      <c r="BD31" s="28">
        <f t="shared" si="23"/>
        <v>447829.27832628123</v>
      </c>
      <c r="BE31" s="28">
        <f t="shared" si="23"/>
        <v>68812.176774800188</v>
      </c>
      <c r="BF31" s="28">
        <f t="shared" si="23"/>
        <v>70062.176774800188</v>
      </c>
      <c r="BG31" s="28">
        <f t="shared" si="23"/>
        <v>71312.176774800188</v>
      </c>
      <c r="BH31" s="28">
        <f t="shared" si="23"/>
        <v>72562.176774800188</v>
      </c>
      <c r="BI31" s="28">
        <f t="shared" si="23"/>
        <v>73812.176774800188</v>
      </c>
      <c r="BJ31" s="28">
        <f t="shared" si="23"/>
        <v>75062.176774800188</v>
      </c>
      <c r="BK31" s="28">
        <f t="shared" si="23"/>
        <v>76312.176774800188</v>
      </c>
      <c r="BL31" s="28">
        <f t="shared" si="23"/>
        <v>77562.176774800188</v>
      </c>
      <c r="BM31" s="28">
        <f t="shared" si="23"/>
        <v>78812.176774800188</v>
      </c>
      <c r="BN31" s="28">
        <f t="shared" si="23"/>
        <v>80062.176774800188</v>
      </c>
      <c r="BO31" s="28">
        <f t="shared" si="23"/>
        <v>81312.176774800188</v>
      </c>
      <c r="BP31" s="28">
        <f t="shared" si="23"/>
        <v>6750</v>
      </c>
      <c r="BQ31" s="28">
        <f t="shared" ref="BQ31:CV31" si="24">SUM(BQ22:BQ30)</f>
        <v>6750</v>
      </c>
      <c r="BR31" s="28">
        <f t="shared" si="24"/>
        <v>6750</v>
      </c>
      <c r="BS31" s="28">
        <f t="shared" si="24"/>
        <v>6750</v>
      </c>
      <c r="BT31" s="28">
        <f t="shared" si="24"/>
        <v>6750</v>
      </c>
      <c r="BU31" s="28">
        <f t="shared" si="24"/>
        <v>6750</v>
      </c>
      <c r="BV31" s="28">
        <f t="shared" si="24"/>
        <v>6750</v>
      </c>
      <c r="BW31" s="28">
        <f t="shared" si="24"/>
        <v>6750</v>
      </c>
      <c r="BX31" s="28">
        <f t="shared" si="24"/>
        <v>6750</v>
      </c>
      <c r="BY31" s="28">
        <f t="shared" si="24"/>
        <v>6750</v>
      </c>
      <c r="BZ31" s="28">
        <f t="shared" si="24"/>
        <v>6750</v>
      </c>
      <c r="CA31" s="28">
        <f t="shared" si="24"/>
        <v>6750</v>
      </c>
      <c r="CB31" s="28">
        <f t="shared" si="24"/>
        <v>6750</v>
      </c>
      <c r="CC31" s="28">
        <f t="shared" si="24"/>
        <v>6750</v>
      </c>
      <c r="CD31" s="28">
        <f t="shared" si="24"/>
        <v>6750</v>
      </c>
      <c r="CE31" s="28">
        <f t="shared" si="24"/>
        <v>6750</v>
      </c>
      <c r="CF31" s="28">
        <f t="shared" si="24"/>
        <v>6750</v>
      </c>
      <c r="CG31" s="28">
        <f t="shared" si="24"/>
        <v>6750</v>
      </c>
      <c r="CH31" s="28">
        <f t="shared" si="24"/>
        <v>6750</v>
      </c>
      <c r="CI31" s="28">
        <f t="shared" si="24"/>
        <v>6750</v>
      </c>
      <c r="CJ31" s="28">
        <f t="shared" si="24"/>
        <v>6750</v>
      </c>
      <c r="CK31" s="28">
        <f t="shared" si="24"/>
        <v>6750</v>
      </c>
      <c r="CL31" s="28">
        <f t="shared" si="24"/>
        <v>6750</v>
      </c>
      <c r="CM31" s="28">
        <f t="shared" si="24"/>
        <v>6750</v>
      </c>
      <c r="CN31" s="28">
        <f t="shared" si="24"/>
        <v>6750</v>
      </c>
      <c r="CO31" s="28">
        <f t="shared" si="24"/>
        <v>6750</v>
      </c>
      <c r="CP31" s="28">
        <f t="shared" si="24"/>
        <v>6750</v>
      </c>
      <c r="CQ31" s="28">
        <f t="shared" si="24"/>
        <v>6750</v>
      </c>
      <c r="CR31" s="28">
        <f t="shared" si="24"/>
        <v>6750</v>
      </c>
      <c r="CS31" s="28">
        <f t="shared" si="24"/>
        <v>6750</v>
      </c>
      <c r="CT31" s="28">
        <f t="shared" si="24"/>
        <v>6750</v>
      </c>
      <c r="CU31" s="28">
        <f t="shared" si="24"/>
        <v>6750</v>
      </c>
      <c r="CV31" s="28">
        <f t="shared" si="24"/>
        <v>6750</v>
      </c>
      <c r="CW31" s="28">
        <f t="shared" ref="CW31:DU31" si="25">SUM(CW22:CW30)</f>
        <v>6750</v>
      </c>
      <c r="CX31" s="28">
        <f t="shared" si="25"/>
        <v>6750</v>
      </c>
      <c r="CY31" s="28">
        <f t="shared" si="25"/>
        <v>6750</v>
      </c>
      <c r="CZ31" s="28">
        <f t="shared" si="25"/>
        <v>6750</v>
      </c>
      <c r="DA31" s="28">
        <f t="shared" si="25"/>
        <v>6750</v>
      </c>
      <c r="DB31" s="28">
        <f t="shared" si="25"/>
        <v>6750</v>
      </c>
      <c r="DC31" s="28">
        <f t="shared" si="25"/>
        <v>6750</v>
      </c>
      <c r="DD31" s="28">
        <f t="shared" si="25"/>
        <v>6750</v>
      </c>
      <c r="DE31" s="28">
        <f t="shared" si="25"/>
        <v>6750</v>
      </c>
      <c r="DF31" s="28">
        <f t="shared" si="25"/>
        <v>6750</v>
      </c>
      <c r="DG31" s="28">
        <f t="shared" si="25"/>
        <v>6750</v>
      </c>
      <c r="DH31" s="28">
        <f t="shared" si="25"/>
        <v>6750</v>
      </c>
      <c r="DI31" s="28">
        <f t="shared" si="25"/>
        <v>6750</v>
      </c>
      <c r="DJ31" s="28">
        <f t="shared" si="25"/>
        <v>6750</v>
      </c>
      <c r="DK31" s="28">
        <f t="shared" si="25"/>
        <v>6750</v>
      </c>
      <c r="DL31" s="28">
        <f t="shared" si="25"/>
        <v>0</v>
      </c>
      <c r="DM31" s="28">
        <f t="shared" si="25"/>
        <v>0</v>
      </c>
      <c r="DN31" s="28">
        <f t="shared" si="25"/>
        <v>0</v>
      </c>
      <c r="DO31" s="28">
        <f t="shared" si="25"/>
        <v>0</v>
      </c>
      <c r="DP31" s="28">
        <f t="shared" si="25"/>
        <v>0</v>
      </c>
      <c r="DQ31" s="28">
        <f t="shared" si="25"/>
        <v>0</v>
      </c>
      <c r="DR31" s="28">
        <f t="shared" si="25"/>
        <v>0</v>
      </c>
      <c r="DS31" s="28">
        <f t="shared" si="25"/>
        <v>0</v>
      </c>
      <c r="DT31" s="28">
        <f t="shared" si="25"/>
        <v>0</v>
      </c>
      <c r="DU31" s="28">
        <f t="shared" si="25"/>
        <v>0</v>
      </c>
    </row>
    <row r="32" spans="2:125" s="3" customFormat="1" ht="22.95" customHeight="1">
      <c r="C32" s="31" t="s">
        <v>234</v>
      </c>
      <c r="D32" s="32">
        <f>-MIN(E32:DU32)</f>
        <v>-29999.999999999989</v>
      </c>
      <c r="E32" s="33">
        <f>E31</f>
        <v>46666.666666666664</v>
      </c>
      <c r="F32" s="33">
        <f t="shared" ref="F32:AK32" si="26">F31+E32</f>
        <v>43333.333333333328</v>
      </c>
      <c r="G32" s="33">
        <f t="shared" si="26"/>
        <v>39999.999999999993</v>
      </c>
      <c r="H32" s="33">
        <f t="shared" si="26"/>
        <v>36666.666666666657</v>
      </c>
      <c r="I32" s="33">
        <f t="shared" si="26"/>
        <v>33333.333333333321</v>
      </c>
      <c r="J32" s="33">
        <f t="shared" si="26"/>
        <v>29999.999999999989</v>
      </c>
      <c r="K32" s="33">
        <f t="shared" si="26"/>
        <v>36249.999999999985</v>
      </c>
      <c r="L32" s="33">
        <f t="shared" si="26"/>
        <v>42499.999999999985</v>
      </c>
      <c r="M32" s="33">
        <f t="shared" si="26"/>
        <v>48749.999999999985</v>
      </c>
      <c r="N32" s="33">
        <f t="shared" si="26"/>
        <v>54999.999999999985</v>
      </c>
      <c r="O32" s="33">
        <f t="shared" si="26"/>
        <v>61249.999999999985</v>
      </c>
      <c r="P32" s="33">
        <f t="shared" si="26"/>
        <v>67499.999999999985</v>
      </c>
      <c r="Q32" s="33">
        <f t="shared" si="26"/>
        <v>73749.999999999985</v>
      </c>
      <c r="R32" s="33">
        <f t="shared" si="26"/>
        <v>79999.999999999985</v>
      </c>
      <c r="S32" s="33">
        <f t="shared" si="26"/>
        <v>86249.999999999985</v>
      </c>
      <c r="T32" s="33">
        <f t="shared" si="26"/>
        <v>92499.999999999985</v>
      </c>
      <c r="U32" s="33">
        <f t="shared" si="26"/>
        <v>98749.999999999985</v>
      </c>
      <c r="V32" s="33">
        <f t="shared" si="26"/>
        <v>104999.99999999999</v>
      </c>
      <c r="W32" s="33">
        <f t="shared" si="26"/>
        <v>142500</v>
      </c>
      <c r="X32" s="33">
        <f t="shared" si="26"/>
        <v>142500</v>
      </c>
      <c r="Y32" s="33">
        <f t="shared" si="26"/>
        <v>142500</v>
      </c>
      <c r="Z32" s="33">
        <f t="shared" si="26"/>
        <v>142500</v>
      </c>
      <c r="AA32" s="33">
        <f t="shared" si="26"/>
        <v>142500</v>
      </c>
      <c r="AB32" s="33">
        <f t="shared" si="26"/>
        <v>142500</v>
      </c>
      <c r="AC32" s="33">
        <f t="shared" si="26"/>
        <v>1492500</v>
      </c>
      <c r="AD32" s="33">
        <f t="shared" si="26"/>
        <v>1492500</v>
      </c>
      <c r="AE32" s="33">
        <f t="shared" si="26"/>
        <v>1492500</v>
      </c>
      <c r="AF32" s="33">
        <f t="shared" si="26"/>
        <v>1502351.3671875</v>
      </c>
      <c r="AG32" s="33">
        <f t="shared" si="26"/>
        <v>1512202.734375</v>
      </c>
      <c r="AH32" s="33">
        <f t="shared" si="26"/>
        <v>1522054.1015625</v>
      </c>
      <c r="AI32" s="33">
        <f t="shared" si="26"/>
        <v>1531905.46875</v>
      </c>
      <c r="AJ32" s="33">
        <f t="shared" si="26"/>
        <v>1541756.8359375</v>
      </c>
      <c r="AK32" s="33">
        <f t="shared" si="26"/>
        <v>1551608.203125</v>
      </c>
      <c r="AL32" s="33">
        <f t="shared" ref="AL32:BQ32" si="27">AL31+AK32</f>
        <v>1561459.5703125</v>
      </c>
      <c r="AM32" s="33">
        <f t="shared" si="27"/>
        <v>1571310.9375</v>
      </c>
      <c r="AN32" s="33">
        <f t="shared" si="27"/>
        <v>1581162.3046875</v>
      </c>
      <c r="AO32" s="33">
        <f t="shared" si="27"/>
        <v>1591013.671875</v>
      </c>
      <c r="AP32" s="33">
        <f t="shared" si="27"/>
        <v>1600865.0390625</v>
      </c>
      <c r="AQ32" s="33">
        <f t="shared" si="27"/>
        <v>1610716.40625</v>
      </c>
      <c r="AR32" s="33">
        <f t="shared" si="27"/>
        <v>1620567.7734375</v>
      </c>
      <c r="AS32" s="33">
        <f t="shared" si="27"/>
        <v>1630419.140625</v>
      </c>
      <c r="AT32" s="33">
        <f t="shared" si="27"/>
        <v>1640270.5078125</v>
      </c>
      <c r="AU32" s="33">
        <f t="shared" si="27"/>
        <v>1650121.875</v>
      </c>
      <c r="AV32" s="33">
        <f t="shared" si="27"/>
        <v>1659973.2421875</v>
      </c>
      <c r="AW32" s="33">
        <f t="shared" si="27"/>
        <v>1669824.609375</v>
      </c>
      <c r="AX32" s="33">
        <f t="shared" si="27"/>
        <v>1690860.3030787201</v>
      </c>
      <c r="AY32" s="33">
        <f t="shared" si="27"/>
        <v>1711895.9967824402</v>
      </c>
      <c r="AZ32" s="33">
        <f t="shared" si="27"/>
        <v>1732931.6904861603</v>
      </c>
      <c r="BA32" s="33">
        <f t="shared" si="27"/>
        <v>1753967.3841898805</v>
      </c>
      <c r="BB32" s="33">
        <f t="shared" si="27"/>
        <v>1775003.0778936006</v>
      </c>
      <c r="BC32" s="33">
        <f t="shared" si="27"/>
        <v>1796038.7715973207</v>
      </c>
      <c r="BD32" s="33">
        <f t="shared" si="27"/>
        <v>2243868.049923602</v>
      </c>
      <c r="BE32" s="33">
        <f t="shared" si="27"/>
        <v>2312680.2266984023</v>
      </c>
      <c r="BF32" s="33">
        <f t="shared" si="27"/>
        <v>2382742.4034732026</v>
      </c>
      <c r="BG32" s="33">
        <f t="shared" si="27"/>
        <v>2454054.5802480029</v>
      </c>
      <c r="BH32" s="33">
        <f t="shared" si="27"/>
        <v>2526616.7570228032</v>
      </c>
      <c r="BI32" s="33">
        <f t="shared" si="27"/>
        <v>2600428.9337976035</v>
      </c>
      <c r="BJ32" s="33">
        <f t="shared" si="27"/>
        <v>2675491.1105724038</v>
      </c>
      <c r="BK32" s="33">
        <f t="shared" si="27"/>
        <v>2751803.2873472041</v>
      </c>
      <c r="BL32" s="33">
        <f t="shared" si="27"/>
        <v>2829365.4641220043</v>
      </c>
      <c r="BM32" s="33">
        <f t="shared" si="27"/>
        <v>2908177.6408968046</v>
      </c>
      <c r="BN32" s="33">
        <f t="shared" si="27"/>
        <v>2988239.8176716049</v>
      </c>
      <c r="BO32" s="33">
        <f t="shared" si="27"/>
        <v>3069551.9944464052</v>
      </c>
      <c r="BP32" s="33">
        <f t="shared" si="27"/>
        <v>3076301.9944464052</v>
      </c>
      <c r="BQ32" s="33">
        <f t="shared" si="27"/>
        <v>3083051.9944464052</v>
      </c>
      <c r="BR32" s="33">
        <f t="shared" ref="BR32:CW32" si="28">BR31+BQ32</f>
        <v>3089801.9944464052</v>
      </c>
      <c r="BS32" s="33">
        <f t="shared" si="28"/>
        <v>3096551.9944464052</v>
      </c>
      <c r="BT32" s="33">
        <f t="shared" si="28"/>
        <v>3103301.9944464052</v>
      </c>
      <c r="BU32" s="33">
        <f t="shared" si="28"/>
        <v>3110051.9944464052</v>
      </c>
      <c r="BV32" s="33">
        <f t="shared" si="28"/>
        <v>3116801.9944464052</v>
      </c>
      <c r="BW32" s="33">
        <f t="shared" si="28"/>
        <v>3123551.9944464052</v>
      </c>
      <c r="BX32" s="33">
        <f t="shared" si="28"/>
        <v>3130301.9944464052</v>
      </c>
      <c r="BY32" s="33">
        <f t="shared" si="28"/>
        <v>3137051.9944464052</v>
      </c>
      <c r="BZ32" s="33">
        <f t="shared" si="28"/>
        <v>3143801.9944464052</v>
      </c>
      <c r="CA32" s="33">
        <f t="shared" si="28"/>
        <v>3150551.9944464052</v>
      </c>
      <c r="CB32" s="33">
        <f t="shared" si="28"/>
        <v>3157301.9944464052</v>
      </c>
      <c r="CC32" s="33">
        <f t="shared" si="28"/>
        <v>3164051.9944464052</v>
      </c>
      <c r="CD32" s="33">
        <f t="shared" si="28"/>
        <v>3170801.9944464052</v>
      </c>
      <c r="CE32" s="33">
        <f t="shared" si="28"/>
        <v>3177551.9944464052</v>
      </c>
      <c r="CF32" s="33">
        <f t="shared" si="28"/>
        <v>3184301.9944464052</v>
      </c>
      <c r="CG32" s="33">
        <f t="shared" si="28"/>
        <v>3191051.9944464052</v>
      </c>
      <c r="CH32" s="33">
        <f t="shared" si="28"/>
        <v>3197801.9944464052</v>
      </c>
      <c r="CI32" s="33">
        <f t="shared" si="28"/>
        <v>3204551.9944464052</v>
      </c>
      <c r="CJ32" s="33">
        <f t="shared" si="28"/>
        <v>3211301.9944464052</v>
      </c>
      <c r="CK32" s="33">
        <f t="shared" si="28"/>
        <v>3218051.9944464052</v>
      </c>
      <c r="CL32" s="33">
        <f t="shared" si="28"/>
        <v>3224801.9944464052</v>
      </c>
      <c r="CM32" s="33">
        <f t="shared" si="28"/>
        <v>3231551.9944464052</v>
      </c>
      <c r="CN32" s="33">
        <f t="shared" si="28"/>
        <v>3238301.9944464052</v>
      </c>
      <c r="CO32" s="33">
        <f t="shared" si="28"/>
        <v>3245051.9944464052</v>
      </c>
      <c r="CP32" s="33">
        <f t="shared" si="28"/>
        <v>3251801.9944464052</v>
      </c>
      <c r="CQ32" s="33">
        <f t="shared" si="28"/>
        <v>3258551.9944464052</v>
      </c>
      <c r="CR32" s="33">
        <f t="shared" si="28"/>
        <v>3265301.9944464052</v>
      </c>
      <c r="CS32" s="33">
        <f t="shared" si="28"/>
        <v>3272051.9944464052</v>
      </c>
      <c r="CT32" s="33">
        <f t="shared" si="28"/>
        <v>3278801.9944464052</v>
      </c>
      <c r="CU32" s="33">
        <f t="shared" si="28"/>
        <v>3285551.9944464052</v>
      </c>
      <c r="CV32" s="33">
        <f t="shared" si="28"/>
        <v>3292301.9944464052</v>
      </c>
      <c r="CW32" s="33">
        <f t="shared" si="28"/>
        <v>3299051.9944464052</v>
      </c>
      <c r="CX32" s="33">
        <f t="shared" ref="CX32:DU32" si="29">CX31+CW32</f>
        <v>3305801.9944464052</v>
      </c>
      <c r="CY32" s="33">
        <f t="shared" si="29"/>
        <v>3312551.9944464052</v>
      </c>
      <c r="CZ32" s="33">
        <f t="shared" si="29"/>
        <v>3319301.9944464052</v>
      </c>
      <c r="DA32" s="33">
        <f t="shared" si="29"/>
        <v>3326051.9944464052</v>
      </c>
      <c r="DB32" s="33">
        <f t="shared" si="29"/>
        <v>3332801.9944464052</v>
      </c>
      <c r="DC32" s="33">
        <f t="shared" si="29"/>
        <v>3339551.9944464052</v>
      </c>
      <c r="DD32" s="33">
        <f t="shared" si="29"/>
        <v>3346301.9944464052</v>
      </c>
      <c r="DE32" s="33">
        <f t="shared" si="29"/>
        <v>3353051.9944464052</v>
      </c>
      <c r="DF32" s="33">
        <f t="shared" si="29"/>
        <v>3359801.9944464052</v>
      </c>
      <c r="DG32" s="33">
        <f t="shared" si="29"/>
        <v>3366551.9944464052</v>
      </c>
      <c r="DH32" s="33">
        <f t="shared" si="29"/>
        <v>3373301.9944464052</v>
      </c>
      <c r="DI32" s="33">
        <f t="shared" si="29"/>
        <v>3380051.9944464052</v>
      </c>
      <c r="DJ32" s="33">
        <f t="shared" si="29"/>
        <v>3386801.9944464052</v>
      </c>
      <c r="DK32" s="33">
        <f t="shared" si="29"/>
        <v>3393551.9944464052</v>
      </c>
      <c r="DL32" s="33">
        <f t="shared" si="29"/>
        <v>3393551.9944464052</v>
      </c>
      <c r="DM32" s="33">
        <f t="shared" si="29"/>
        <v>3393551.9944464052</v>
      </c>
      <c r="DN32" s="33">
        <f t="shared" si="29"/>
        <v>3393551.9944464052</v>
      </c>
      <c r="DO32" s="33">
        <f t="shared" si="29"/>
        <v>3393551.9944464052</v>
      </c>
      <c r="DP32" s="33">
        <f t="shared" si="29"/>
        <v>3393551.9944464052</v>
      </c>
      <c r="DQ32" s="33">
        <f t="shared" si="29"/>
        <v>3393551.9944464052</v>
      </c>
      <c r="DR32" s="33">
        <f t="shared" si="29"/>
        <v>3393551.9944464052</v>
      </c>
      <c r="DS32" s="33">
        <f t="shared" si="29"/>
        <v>3393551.9944464052</v>
      </c>
      <c r="DT32" s="33">
        <f t="shared" si="29"/>
        <v>3393551.9944464052</v>
      </c>
      <c r="DU32" s="33">
        <f t="shared" si="29"/>
        <v>3393551.9944464052</v>
      </c>
    </row>
    <row r="33" spans="3:125" s="3" customFormat="1" ht="22.95" customHeight="1">
      <c r="C33" s="29" t="s">
        <v>235</v>
      </c>
      <c r="D33" s="87" t="s">
        <v>247</v>
      </c>
    </row>
    <row r="34" spans="3:125" s="3" customFormat="1" ht="22.95" customHeight="1">
      <c r="C34" s="30" t="s">
        <v>236</v>
      </c>
      <c r="D34" s="88" t="s">
        <v>247</v>
      </c>
    </row>
    <row r="35" spans="3:125" s="3" customFormat="1" ht="22.95" customHeight="1">
      <c r="C35" s="60"/>
      <c r="D35" s="24"/>
    </row>
    <row r="36" spans="3:125" s="3" customFormat="1" ht="22.95" customHeight="1">
      <c r="C36" s="60" t="s">
        <v>248</v>
      </c>
      <c r="D36" s="24"/>
    </row>
    <row r="37" spans="3:125" s="3" customFormat="1" ht="22.95" customHeight="1">
      <c r="C37" s="26" t="s">
        <v>249</v>
      </c>
      <c r="D37" s="27">
        <f>SUM(E37:DU37)</f>
        <v>1706250</v>
      </c>
      <c r="E37" s="28">
        <f>'Entitlement Phase'!E11</f>
        <v>0</v>
      </c>
      <c r="F37" s="28">
        <f>'Entitlement Phase'!F11</f>
        <v>0</v>
      </c>
      <c r="G37" s="28">
        <f>'Entitlement Phase'!G11</f>
        <v>0</v>
      </c>
      <c r="H37" s="28">
        <f>'Entitlement Phase'!H11</f>
        <v>0</v>
      </c>
      <c r="I37" s="28">
        <f>'Entitlement Phase'!I11</f>
        <v>0</v>
      </c>
      <c r="J37" s="28">
        <f>'Entitlement Phase'!J11</f>
        <v>0</v>
      </c>
      <c r="K37" s="28">
        <f>'Entitlement Phase'!K11</f>
        <v>-318750</v>
      </c>
      <c r="L37" s="28">
        <f>'Entitlement Phase'!L11</f>
        <v>-318750</v>
      </c>
      <c r="M37" s="28">
        <f>'Entitlement Phase'!M11</f>
        <v>-318750</v>
      </c>
      <c r="N37" s="28">
        <f>'Entitlement Phase'!N11</f>
        <v>-318750</v>
      </c>
      <c r="O37" s="28">
        <f>'Entitlement Phase'!O11</f>
        <v>-318750</v>
      </c>
      <c r="P37" s="28">
        <f>'Entitlement Phase'!P11</f>
        <v>-318750</v>
      </c>
      <c r="Q37" s="28">
        <f>'Entitlement Phase'!Q11</f>
        <v>-318750</v>
      </c>
      <c r="R37" s="28">
        <f>'Entitlement Phase'!R11</f>
        <v>-318750</v>
      </c>
      <c r="S37" s="28">
        <f>'Entitlement Phase'!S11</f>
        <v>-318750</v>
      </c>
      <c r="T37" s="28">
        <f>'Entitlement Phase'!T11</f>
        <v>-318750</v>
      </c>
      <c r="U37" s="28">
        <f>'Entitlement Phase'!U11</f>
        <v>-318750</v>
      </c>
      <c r="V37" s="28">
        <f>'Entitlement Phase'!V11</f>
        <v>-318750</v>
      </c>
      <c r="W37" s="28">
        <f>'Entitlement Phase'!W11</f>
        <v>-37500</v>
      </c>
      <c r="X37" s="28">
        <f>'Entitlement Phase'!X11</f>
        <v>0</v>
      </c>
      <c r="Y37" s="28">
        <f>'Entitlement Phase'!Y11</f>
        <v>0</v>
      </c>
      <c r="Z37" s="28">
        <f>'Entitlement Phase'!Z11</f>
        <v>0</v>
      </c>
      <c r="AA37" s="28">
        <f>'Entitlement Phase'!AA11</f>
        <v>0</v>
      </c>
      <c r="AB37" s="28">
        <f>'Entitlement Phase'!AB11</f>
        <v>0</v>
      </c>
      <c r="AC37" s="28">
        <f>'Entitlement Phase'!AC11</f>
        <v>5568750</v>
      </c>
      <c r="AD37" s="28">
        <f>'Entitlement Phase'!AD11</f>
        <v>0</v>
      </c>
      <c r="AE37" s="28">
        <f>'Entitlement Phase'!AE11</f>
        <v>0</v>
      </c>
      <c r="AF37" s="28">
        <f>'Entitlement Phase'!AF11</f>
        <v>0</v>
      </c>
      <c r="AG37" s="28">
        <f>'Entitlement Phase'!AG11</f>
        <v>0</v>
      </c>
      <c r="AH37" s="28">
        <f>'Entitlement Phase'!AH11</f>
        <v>0</v>
      </c>
      <c r="AI37" s="28">
        <f>'Entitlement Phase'!AI11</f>
        <v>0</v>
      </c>
      <c r="AJ37" s="28">
        <f>'Entitlement Phase'!AJ11</f>
        <v>0</v>
      </c>
      <c r="AK37" s="28">
        <f>'Entitlement Phase'!AK11</f>
        <v>0</v>
      </c>
      <c r="AL37" s="28">
        <f>'Entitlement Phase'!AL11</f>
        <v>0</v>
      </c>
      <c r="AM37" s="28">
        <f>'Entitlement Phase'!AM11</f>
        <v>0</v>
      </c>
      <c r="AN37" s="28">
        <f>'Entitlement Phase'!AN11</f>
        <v>0</v>
      </c>
      <c r="AO37" s="28">
        <f>'Entitlement Phase'!AO11</f>
        <v>0</v>
      </c>
      <c r="AP37" s="28">
        <f>'Entitlement Phase'!AP11</f>
        <v>0</v>
      </c>
      <c r="AQ37" s="28">
        <f>'Entitlement Phase'!AQ11</f>
        <v>0</v>
      </c>
      <c r="AR37" s="28">
        <f>'Entitlement Phase'!AR11</f>
        <v>0</v>
      </c>
      <c r="AS37" s="28">
        <f>'Entitlement Phase'!AS11</f>
        <v>0</v>
      </c>
      <c r="AT37" s="28">
        <f>'Entitlement Phase'!AT11</f>
        <v>0</v>
      </c>
      <c r="AU37" s="28">
        <f>'Entitlement Phase'!AU11</f>
        <v>0</v>
      </c>
      <c r="AV37" s="28">
        <f>'Entitlement Phase'!AV11</f>
        <v>0</v>
      </c>
      <c r="AW37" s="28">
        <f>'Entitlement Phase'!AW11</f>
        <v>0</v>
      </c>
      <c r="AX37" s="28">
        <f>'Entitlement Phase'!AX11</f>
        <v>0</v>
      </c>
      <c r="AY37" s="28">
        <f>'Entitlement Phase'!AY11</f>
        <v>0</v>
      </c>
      <c r="AZ37" s="28">
        <f>'Entitlement Phase'!AZ11</f>
        <v>0</v>
      </c>
      <c r="BA37" s="28">
        <f>'Entitlement Phase'!BA11</f>
        <v>0</v>
      </c>
      <c r="BB37" s="28">
        <f>'Entitlement Phase'!BB11</f>
        <v>0</v>
      </c>
      <c r="BC37" s="28">
        <f>'Entitlement Phase'!BC11</f>
        <v>0</v>
      </c>
      <c r="BD37" s="28">
        <f>'Entitlement Phase'!BD11</f>
        <v>0</v>
      </c>
      <c r="BE37" s="28">
        <f>'Entitlement Phase'!BE11</f>
        <v>0</v>
      </c>
      <c r="BF37" s="28">
        <f>'Entitlement Phase'!BF11</f>
        <v>0</v>
      </c>
      <c r="BG37" s="28">
        <f>'Entitlement Phase'!BG11</f>
        <v>0</v>
      </c>
      <c r="BH37" s="28">
        <f>'Entitlement Phase'!BH11</f>
        <v>0</v>
      </c>
      <c r="BI37" s="28">
        <f>'Entitlement Phase'!BI11</f>
        <v>0</v>
      </c>
      <c r="BJ37" s="28">
        <f>'Entitlement Phase'!BJ11</f>
        <v>0</v>
      </c>
      <c r="BK37" s="28">
        <f>'Entitlement Phase'!BK11</f>
        <v>0</v>
      </c>
      <c r="BL37" s="28">
        <f>'Entitlement Phase'!BL11</f>
        <v>0</v>
      </c>
      <c r="BM37" s="28">
        <f>'Entitlement Phase'!BM11</f>
        <v>0</v>
      </c>
      <c r="BN37" s="28">
        <f>'Entitlement Phase'!BN11</f>
        <v>0</v>
      </c>
      <c r="BO37" s="28">
        <f>'Entitlement Phase'!BO11</f>
        <v>0</v>
      </c>
      <c r="BP37" s="28">
        <f>'Entitlement Phase'!BP11</f>
        <v>0</v>
      </c>
      <c r="BQ37" s="28">
        <f>'Entitlement Phase'!BQ11</f>
        <v>0</v>
      </c>
      <c r="BR37" s="28">
        <f>'Entitlement Phase'!BR11</f>
        <v>0</v>
      </c>
      <c r="BS37" s="28">
        <f>'Entitlement Phase'!BS11</f>
        <v>0</v>
      </c>
      <c r="BT37" s="28">
        <f>'Entitlement Phase'!BT11</f>
        <v>0</v>
      </c>
      <c r="BU37" s="28">
        <f>'Entitlement Phase'!BU11</f>
        <v>0</v>
      </c>
      <c r="BV37" s="28">
        <f>'Entitlement Phase'!BV11</f>
        <v>0</v>
      </c>
      <c r="BW37" s="28">
        <f>'Entitlement Phase'!BW11</f>
        <v>0</v>
      </c>
      <c r="BX37" s="28">
        <f>'Entitlement Phase'!BX11</f>
        <v>0</v>
      </c>
      <c r="BY37" s="28">
        <f>'Entitlement Phase'!BY11</f>
        <v>0</v>
      </c>
      <c r="BZ37" s="28">
        <f>'Entitlement Phase'!BZ11</f>
        <v>0</v>
      </c>
      <c r="CA37" s="28">
        <f>'Entitlement Phase'!CA11</f>
        <v>0</v>
      </c>
      <c r="CB37" s="28">
        <f>'Entitlement Phase'!CB11</f>
        <v>0</v>
      </c>
      <c r="CC37" s="28">
        <f>'Entitlement Phase'!CC11</f>
        <v>0</v>
      </c>
      <c r="CD37" s="28">
        <f>'Entitlement Phase'!CD11</f>
        <v>0</v>
      </c>
      <c r="CE37" s="28">
        <f>'Entitlement Phase'!CE11</f>
        <v>0</v>
      </c>
      <c r="CF37" s="28">
        <f>'Entitlement Phase'!CF11</f>
        <v>0</v>
      </c>
      <c r="CG37" s="28">
        <f>'Entitlement Phase'!CG11</f>
        <v>0</v>
      </c>
      <c r="CH37" s="28">
        <f>'Entitlement Phase'!CH11</f>
        <v>0</v>
      </c>
      <c r="CI37" s="28">
        <f>'Entitlement Phase'!CI11</f>
        <v>0</v>
      </c>
      <c r="CJ37" s="28">
        <f>'Entitlement Phase'!CJ11</f>
        <v>0</v>
      </c>
      <c r="CK37" s="28">
        <f>'Entitlement Phase'!CK11</f>
        <v>0</v>
      </c>
      <c r="CL37" s="28">
        <f>'Entitlement Phase'!CL11</f>
        <v>0</v>
      </c>
      <c r="CM37" s="28">
        <f>'Entitlement Phase'!CM11</f>
        <v>0</v>
      </c>
      <c r="CN37" s="28">
        <f>'Entitlement Phase'!CN11</f>
        <v>0</v>
      </c>
      <c r="CO37" s="28">
        <f>'Entitlement Phase'!CO11</f>
        <v>0</v>
      </c>
      <c r="CP37" s="28">
        <f>'Entitlement Phase'!CP11</f>
        <v>0</v>
      </c>
      <c r="CQ37" s="28">
        <f>'Entitlement Phase'!CQ11</f>
        <v>0</v>
      </c>
      <c r="CR37" s="28">
        <f>'Entitlement Phase'!CR11</f>
        <v>0</v>
      </c>
      <c r="CS37" s="28">
        <f>'Entitlement Phase'!CS11</f>
        <v>0</v>
      </c>
      <c r="CT37" s="28">
        <f>'Entitlement Phase'!CT11</f>
        <v>0</v>
      </c>
      <c r="CU37" s="28">
        <f>'Entitlement Phase'!CU11</f>
        <v>0</v>
      </c>
      <c r="CV37" s="28">
        <f>'Entitlement Phase'!CV11</f>
        <v>0</v>
      </c>
      <c r="CW37" s="28">
        <f>'Entitlement Phase'!CW11</f>
        <v>0</v>
      </c>
      <c r="CX37" s="28">
        <f>'Entitlement Phase'!CX11</f>
        <v>0</v>
      </c>
      <c r="CY37" s="28">
        <f>'Entitlement Phase'!CY11</f>
        <v>0</v>
      </c>
      <c r="CZ37" s="28">
        <f>'Entitlement Phase'!CZ11</f>
        <v>0</v>
      </c>
      <c r="DA37" s="28">
        <f>'Entitlement Phase'!DA11</f>
        <v>0</v>
      </c>
      <c r="DB37" s="28">
        <f>'Entitlement Phase'!DB11</f>
        <v>0</v>
      </c>
      <c r="DC37" s="28">
        <f>'Entitlement Phase'!DC11</f>
        <v>0</v>
      </c>
      <c r="DD37" s="28">
        <f>'Entitlement Phase'!DD11</f>
        <v>0</v>
      </c>
      <c r="DE37" s="28">
        <f>'Entitlement Phase'!DE11</f>
        <v>0</v>
      </c>
      <c r="DF37" s="28">
        <f>'Entitlement Phase'!DF11</f>
        <v>0</v>
      </c>
      <c r="DG37" s="28">
        <f>'Entitlement Phase'!DG11</f>
        <v>0</v>
      </c>
      <c r="DH37" s="28">
        <f>'Entitlement Phase'!DH11</f>
        <v>0</v>
      </c>
      <c r="DI37" s="28">
        <f>'Entitlement Phase'!DI11</f>
        <v>0</v>
      </c>
      <c r="DJ37" s="28">
        <f>'Entitlement Phase'!DJ11</f>
        <v>0</v>
      </c>
      <c r="DK37" s="28">
        <f>'Entitlement Phase'!DK11</f>
        <v>0</v>
      </c>
      <c r="DL37" s="28">
        <f>'Entitlement Phase'!DL11</f>
        <v>0</v>
      </c>
      <c r="DM37" s="28">
        <f>'Entitlement Phase'!DM11</f>
        <v>0</v>
      </c>
      <c r="DN37" s="28">
        <f>'Entitlement Phase'!DN11</f>
        <v>0</v>
      </c>
      <c r="DO37" s="28">
        <f>'Entitlement Phase'!DO11</f>
        <v>0</v>
      </c>
      <c r="DP37" s="28">
        <f>'Entitlement Phase'!DP11</f>
        <v>0</v>
      </c>
      <c r="DQ37" s="28">
        <f>'Entitlement Phase'!DQ11</f>
        <v>0</v>
      </c>
      <c r="DR37" s="28">
        <f>'Entitlement Phase'!DR11</f>
        <v>0</v>
      </c>
      <c r="DS37" s="28">
        <f>'Entitlement Phase'!DS11</f>
        <v>0</v>
      </c>
      <c r="DT37" s="28">
        <f>'Entitlement Phase'!DT11</f>
        <v>0</v>
      </c>
      <c r="DU37" s="28">
        <f>'Entitlement Phase'!DU11</f>
        <v>0</v>
      </c>
    </row>
    <row r="38" spans="3:125" s="3" customFormat="1" ht="22.95" customHeight="1">
      <c r="C38" s="31" t="s">
        <v>234</v>
      </c>
      <c r="D38" s="32">
        <f>-MIN(E38:DU38)</f>
        <v>3862500</v>
      </c>
      <c r="E38" s="33">
        <f>E37</f>
        <v>0</v>
      </c>
      <c r="F38" s="33">
        <f t="shared" ref="F38:AK38" si="30">F37+E38</f>
        <v>0</v>
      </c>
      <c r="G38" s="33">
        <f t="shared" si="30"/>
        <v>0</v>
      </c>
      <c r="H38" s="33">
        <f t="shared" si="30"/>
        <v>0</v>
      </c>
      <c r="I38" s="33">
        <f t="shared" si="30"/>
        <v>0</v>
      </c>
      <c r="J38" s="33">
        <f t="shared" si="30"/>
        <v>0</v>
      </c>
      <c r="K38" s="33">
        <f t="shared" si="30"/>
        <v>-318750</v>
      </c>
      <c r="L38" s="33">
        <f t="shared" si="30"/>
        <v>-637500</v>
      </c>
      <c r="M38" s="33">
        <f t="shared" si="30"/>
        <v>-956250</v>
      </c>
      <c r="N38" s="33">
        <f t="shared" si="30"/>
        <v>-1275000</v>
      </c>
      <c r="O38" s="33">
        <f t="shared" si="30"/>
        <v>-1593750</v>
      </c>
      <c r="P38" s="33">
        <f t="shared" si="30"/>
        <v>-1912500</v>
      </c>
      <c r="Q38" s="33">
        <f t="shared" si="30"/>
        <v>-2231250</v>
      </c>
      <c r="R38" s="33">
        <f t="shared" si="30"/>
        <v>-2550000</v>
      </c>
      <c r="S38" s="33">
        <f t="shared" si="30"/>
        <v>-2868750</v>
      </c>
      <c r="T38" s="33">
        <f t="shared" si="30"/>
        <v>-3187500</v>
      </c>
      <c r="U38" s="33">
        <f t="shared" si="30"/>
        <v>-3506250</v>
      </c>
      <c r="V38" s="33">
        <f t="shared" si="30"/>
        <v>-3825000</v>
      </c>
      <c r="W38" s="33">
        <f t="shared" si="30"/>
        <v>-3862500</v>
      </c>
      <c r="X38" s="33">
        <f t="shared" si="30"/>
        <v>-3862500</v>
      </c>
      <c r="Y38" s="33">
        <f t="shared" si="30"/>
        <v>-3862500</v>
      </c>
      <c r="Z38" s="33">
        <f t="shared" si="30"/>
        <v>-3862500</v>
      </c>
      <c r="AA38" s="33">
        <f t="shared" si="30"/>
        <v>-3862500</v>
      </c>
      <c r="AB38" s="33">
        <f t="shared" si="30"/>
        <v>-3862500</v>
      </c>
      <c r="AC38" s="33">
        <f t="shared" si="30"/>
        <v>1706250</v>
      </c>
      <c r="AD38" s="33">
        <f t="shared" si="30"/>
        <v>1706250</v>
      </c>
      <c r="AE38" s="33">
        <f t="shared" si="30"/>
        <v>1706250</v>
      </c>
      <c r="AF38" s="33">
        <f t="shared" si="30"/>
        <v>1706250</v>
      </c>
      <c r="AG38" s="33">
        <f t="shared" si="30"/>
        <v>1706250</v>
      </c>
      <c r="AH38" s="33">
        <f t="shared" si="30"/>
        <v>1706250</v>
      </c>
      <c r="AI38" s="33">
        <f t="shared" si="30"/>
        <v>1706250</v>
      </c>
      <c r="AJ38" s="33">
        <f t="shared" si="30"/>
        <v>1706250</v>
      </c>
      <c r="AK38" s="33">
        <f t="shared" si="30"/>
        <v>1706250</v>
      </c>
      <c r="AL38" s="33">
        <f t="shared" ref="AL38:BQ38" si="31">AL37+AK38</f>
        <v>1706250</v>
      </c>
      <c r="AM38" s="33">
        <f t="shared" si="31"/>
        <v>1706250</v>
      </c>
      <c r="AN38" s="33">
        <f t="shared" si="31"/>
        <v>1706250</v>
      </c>
      <c r="AO38" s="33">
        <f t="shared" si="31"/>
        <v>1706250</v>
      </c>
      <c r="AP38" s="33">
        <f t="shared" si="31"/>
        <v>1706250</v>
      </c>
      <c r="AQ38" s="33">
        <f t="shared" si="31"/>
        <v>1706250</v>
      </c>
      <c r="AR38" s="33">
        <f t="shared" si="31"/>
        <v>1706250</v>
      </c>
      <c r="AS38" s="33">
        <f t="shared" si="31"/>
        <v>1706250</v>
      </c>
      <c r="AT38" s="33">
        <f t="shared" si="31"/>
        <v>1706250</v>
      </c>
      <c r="AU38" s="33">
        <f t="shared" si="31"/>
        <v>1706250</v>
      </c>
      <c r="AV38" s="33">
        <f t="shared" si="31"/>
        <v>1706250</v>
      </c>
      <c r="AW38" s="33">
        <f t="shared" si="31"/>
        <v>1706250</v>
      </c>
      <c r="AX38" s="33">
        <f t="shared" si="31"/>
        <v>1706250</v>
      </c>
      <c r="AY38" s="33">
        <f t="shared" si="31"/>
        <v>1706250</v>
      </c>
      <c r="AZ38" s="33">
        <f t="shared" si="31"/>
        <v>1706250</v>
      </c>
      <c r="BA38" s="33">
        <f t="shared" si="31"/>
        <v>1706250</v>
      </c>
      <c r="BB38" s="33">
        <f t="shared" si="31"/>
        <v>1706250</v>
      </c>
      <c r="BC38" s="33">
        <f t="shared" si="31"/>
        <v>1706250</v>
      </c>
      <c r="BD38" s="33">
        <f t="shared" si="31"/>
        <v>1706250</v>
      </c>
      <c r="BE38" s="33">
        <f t="shared" si="31"/>
        <v>1706250</v>
      </c>
      <c r="BF38" s="33">
        <f t="shared" si="31"/>
        <v>1706250</v>
      </c>
      <c r="BG38" s="33">
        <f t="shared" si="31"/>
        <v>1706250</v>
      </c>
      <c r="BH38" s="33">
        <f t="shared" si="31"/>
        <v>1706250</v>
      </c>
      <c r="BI38" s="33">
        <f t="shared" si="31"/>
        <v>1706250</v>
      </c>
      <c r="BJ38" s="33">
        <f t="shared" si="31"/>
        <v>1706250</v>
      </c>
      <c r="BK38" s="33">
        <f t="shared" si="31"/>
        <v>1706250</v>
      </c>
      <c r="BL38" s="33">
        <f t="shared" si="31"/>
        <v>1706250</v>
      </c>
      <c r="BM38" s="33">
        <f t="shared" si="31"/>
        <v>1706250</v>
      </c>
      <c r="BN38" s="33">
        <f t="shared" si="31"/>
        <v>1706250</v>
      </c>
      <c r="BO38" s="33">
        <f t="shared" si="31"/>
        <v>1706250</v>
      </c>
      <c r="BP38" s="33">
        <f t="shared" si="31"/>
        <v>1706250</v>
      </c>
      <c r="BQ38" s="33">
        <f t="shared" si="31"/>
        <v>1706250</v>
      </c>
      <c r="BR38" s="33">
        <f t="shared" ref="BR38:CW38" si="32">BR37+BQ38</f>
        <v>1706250</v>
      </c>
      <c r="BS38" s="33">
        <f t="shared" si="32"/>
        <v>1706250</v>
      </c>
      <c r="BT38" s="33">
        <f t="shared" si="32"/>
        <v>1706250</v>
      </c>
      <c r="BU38" s="33">
        <f t="shared" si="32"/>
        <v>1706250</v>
      </c>
      <c r="BV38" s="33">
        <f t="shared" si="32"/>
        <v>1706250</v>
      </c>
      <c r="BW38" s="33">
        <f t="shared" si="32"/>
        <v>1706250</v>
      </c>
      <c r="BX38" s="33">
        <f t="shared" si="32"/>
        <v>1706250</v>
      </c>
      <c r="BY38" s="33">
        <f t="shared" si="32"/>
        <v>1706250</v>
      </c>
      <c r="BZ38" s="33">
        <f t="shared" si="32"/>
        <v>1706250</v>
      </c>
      <c r="CA38" s="33">
        <f t="shared" si="32"/>
        <v>1706250</v>
      </c>
      <c r="CB38" s="33">
        <f t="shared" si="32"/>
        <v>1706250</v>
      </c>
      <c r="CC38" s="33">
        <f t="shared" si="32"/>
        <v>1706250</v>
      </c>
      <c r="CD38" s="33">
        <f t="shared" si="32"/>
        <v>1706250</v>
      </c>
      <c r="CE38" s="33">
        <f t="shared" si="32"/>
        <v>1706250</v>
      </c>
      <c r="CF38" s="33">
        <f t="shared" si="32"/>
        <v>1706250</v>
      </c>
      <c r="CG38" s="33">
        <f t="shared" si="32"/>
        <v>1706250</v>
      </c>
      <c r="CH38" s="33">
        <f t="shared" si="32"/>
        <v>1706250</v>
      </c>
      <c r="CI38" s="33">
        <f t="shared" si="32"/>
        <v>1706250</v>
      </c>
      <c r="CJ38" s="33">
        <f t="shared" si="32"/>
        <v>1706250</v>
      </c>
      <c r="CK38" s="33">
        <f t="shared" si="32"/>
        <v>1706250</v>
      </c>
      <c r="CL38" s="33">
        <f t="shared" si="32"/>
        <v>1706250</v>
      </c>
      <c r="CM38" s="33">
        <f t="shared" si="32"/>
        <v>1706250</v>
      </c>
      <c r="CN38" s="33">
        <f t="shared" si="32"/>
        <v>1706250</v>
      </c>
      <c r="CO38" s="33">
        <f t="shared" si="32"/>
        <v>1706250</v>
      </c>
      <c r="CP38" s="33">
        <f t="shared" si="32"/>
        <v>1706250</v>
      </c>
      <c r="CQ38" s="33">
        <f t="shared" si="32"/>
        <v>1706250</v>
      </c>
      <c r="CR38" s="33">
        <f t="shared" si="32"/>
        <v>1706250</v>
      </c>
      <c r="CS38" s="33">
        <f t="shared" si="32"/>
        <v>1706250</v>
      </c>
      <c r="CT38" s="33">
        <f t="shared" si="32"/>
        <v>1706250</v>
      </c>
      <c r="CU38" s="33">
        <f t="shared" si="32"/>
        <v>1706250</v>
      </c>
      <c r="CV38" s="33">
        <f t="shared" si="32"/>
        <v>1706250</v>
      </c>
      <c r="CW38" s="33">
        <f t="shared" si="32"/>
        <v>1706250</v>
      </c>
      <c r="CX38" s="33">
        <f t="shared" ref="CX38:DU38" si="33">CX37+CW38</f>
        <v>1706250</v>
      </c>
      <c r="CY38" s="33">
        <f t="shared" si="33"/>
        <v>1706250</v>
      </c>
      <c r="CZ38" s="33">
        <f t="shared" si="33"/>
        <v>1706250</v>
      </c>
      <c r="DA38" s="33">
        <f t="shared" si="33"/>
        <v>1706250</v>
      </c>
      <c r="DB38" s="33">
        <f t="shared" si="33"/>
        <v>1706250</v>
      </c>
      <c r="DC38" s="33">
        <f t="shared" si="33"/>
        <v>1706250</v>
      </c>
      <c r="DD38" s="33">
        <f t="shared" si="33"/>
        <v>1706250</v>
      </c>
      <c r="DE38" s="33">
        <f t="shared" si="33"/>
        <v>1706250</v>
      </c>
      <c r="DF38" s="33">
        <f t="shared" si="33"/>
        <v>1706250</v>
      </c>
      <c r="DG38" s="33">
        <f t="shared" si="33"/>
        <v>1706250</v>
      </c>
      <c r="DH38" s="33">
        <f t="shared" si="33"/>
        <v>1706250</v>
      </c>
      <c r="DI38" s="33">
        <f t="shared" si="33"/>
        <v>1706250</v>
      </c>
      <c r="DJ38" s="33">
        <f t="shared" si="33"/>
        <v>1706250</v>
      </c>
      <c r="DK38" s="33">
        <f t="shared" si="33"/>
        <v>1706250</v>
      </c>
      <c r="DL38" s="33">
        <f t="shared" si="33"/>
        <v>1706250</v>
      </c>
      <c r="DM38" s="33">
        <f t="shared" si="33"/>
        <v>1706250</v>
      </c>
      <c r="DN38" s="33">
        <f t="shared" si="33"/>
        <v>1706250</v>
      </c>
      <c r="DO38" s="33">
        <f t="shared" si="33"/>
        <v>1706250</v>
      </c>
      <c r="DP38" s="33">
        <f t="shared" si="33"/>
        <v>1706250</v>
      </c>
      <c r="DQ38" s="33">
        <f t="shared" si="33"/>
        <v>1706250</v>
      </c>
      <c r="DR38" s="33">
        <f t="shared" si="33"/>
        <v>1706250</v>
      </c>
      <c r="DS38" s="33">
        <f t="shared" si="33"/>
        <v>1706250</v>
      </c>
      <c r="DT38" s="33">
        <f t="shared" si="33"/>
        <v>1706250</v>
      </c>
      <c r="DU38" s="33">
        <f t="shared" si="33"/>
        <v>1706250</v>
      </c>
    </row>
    <row r="39" spans="3:125" s="3" customFormat="1" ht="22.95" customHeight="1">
      <c r="C39" s="29" t="s">
        <v>235</v>
      </c>
      <c r="D39" s="87">
        <f>'Entitlement Phase'!D13</f>
        <v>0.41443851590156544</v>
      </c>
    </row>
    <row r="40" spans="3:125" s="3" customFormat="1" ht="22.95" customHeight="1">
      <c r="C40" s="30" t="s">
        <v>236</v>
      </c>
      <c r="D40" s="88">
        <f>'Entitlement Phase'!D14</f>
        <v>1.441747572815534</v>
      </c>
    </row>
    <row r="41" spans="3:125" s="3" customFormat="1" ht="22.95" customHeight="1">
      <c r="C41" s="60"/>
      <c r="D41" s="24"/>
    </row>
    <row r="42" spans="3:125" s="3" customFormat="1" ht="22.95" customHeight="1">
      <c r="C42" s="60" t="s">
        <v>250</v>
      </c>
      <c r="D42" s="24"/>
    </row>
    <row r="43" spans="3:125" s="3" customFormat="1" ht="22.95" customHeight="1">
      <c r="C43" s="26" t="s">
        <v>251</v>
      </c>
      <c r="D43" s="27">
        <f>SUM(E43:DU43)</f>
        <v>56340456.948607169</v>
      </c>
      <c r="E43" s="28">
        <f>'Development Phase'!E27</f>
        <v>0</v>
      </c>
      <c r="F43" s="28">
        <f>'Development Phase'!F27</f>
        <v>0</v>
      </c>
      <c r="G43" s="28">
        <f>'Development Phase'!G27</f>
        <v>0</v>
      </c>
      <c r="H43" s="28">
        <f>'Development Phase'!H27</f>
        <v>0</v>
      </c>
      <c r="I43" s="28">
        <f>'Development Phase'!I27</f>
        <v>0</v>
      </c>
      <c r="J43" s="28">
        <f>'Development Phase'!J27</f>
        <v>0</v>
      </c>
      <c r="K43" s="28">
        <f>'Development Phase'!K27</f>
        <v>0</v>
      </c>
      <c r="L43" s="28">
        <f>'Development Phase'!L27</f>
        <v>0</v>
      </c>
      <c r="M43" s="28">
        <f>'Development Phase'!M27</f>
        <v>0</v>
      </c>
      <c r="N43" s="28">
        <f>'Development Phase'!N27</f>
        <v>0</v>
      </c>
      <c r="O43" s="28">
        <f>'Development Phase'!O27</f>
        <v>0</v>
      </c>
      <c r="P43" s="28">
        <f>'Development Phase'!P27</f>
        <v>0</v>
      </c>
      <c r="Q43" s="28">
        <f>'Development Phase'!Q27</f>
        <v>0</v>
      </c>
      <c r="R43" s="28">
        <f>'Development Phase'!R27</f>
        <v>0</v>
      </c>
      <c r="S43" s="28">
        <f>'Development Phase'!S27</f>
        <v>0</v>
      </c>
      <c r="T43" s="28">
        <f>'Development Phase'!T27</f>
        <v>0</v>
      </c>
      <c r="U43" s="28">
        <f>'Development Phase'!U27</f>
        <v>0</v>
      </c>
      <c r="V43" s="28">
        <f>'Development Phase'!V27</f>
        <v>0</v>
      </c>
      <c r="W43" s="28">
        <f>'Development Phase'!W27</f>
        <v>0</v>
      </c>
      <c r="X43" s="28">
        <f>'Development Phase'!X27</f>
        <v>0</v>
      </c>
      <c r="Y43" s="28">
        <f>'Development Phase'!Y27</f>
        <v>0</v>
      </c>
      <c r="Z43" s="28">
        <f>'Development Phase'!Z27</f>
        <v>0</v>
      </c>
      <c r="AA43" s="28">
        <f>'Development Phase'!AA27</f>
        <v>0</v>
      </c>
      <c r="AB43" s="28">
        <f>'Development Phase'!AB27</f>
        <v>0</v>
      </c>
      <c r="AC43" s="28">
        <f>'Development Phase'!AC27</f>
        <v>-7959375</v>
      </c>
      <c r="AD43" s="28">
        <f>'Development Phase'!AD27</f>
        <v>0</v>
      </c>
      <c r="AE43" s="28">
        <f>'Development Phase'!AE27</f>
        <v>0</v>
      </c>
      <c r="AF43" s="28">
        <f>'Development Phase'!AF27</f>
        <v>-6583997.0703125</v>
      </c>
      <c r="AG43" s="28">
        <f>'Development Phase'!AG27</f>
        <v>-6583997.0703125</v>
      </c>
      <c r="AH43" s="28">
        <f>'Development Phase'!AH27</f>
        <v>-6583997.0703125</v>
      </c>
      <c r="AI43" s="28">
        <f>'Development Phase'!AI27</f>
        <v>-6583997.0703125</v>
      </c>
      <c r="AJ43" s="28">
        <f>'Development Phase'!AJ27</f>
        <v>-6583997.0703125</v>
      </c>
      <c r="AK43" s="28">
        <f>'Development Phase'!AK27</f>
        <v>-6583997.0703125</v>
      </c>
      <c r="AL43" s="28">
        <f>'Development Phase'!AL27</f>
        <v>-6583997.0703125</v>
      </c>
      <c r="AM43" s="28">
        <f>'Development Phase'!AM27</f>
        <v>-6583997.0703125</v>
      </c>
      <c r="AN43" s="28">
        <f>'Development Phase'!AN27</f>
        <v>-6583997.0703125</v>
      </c>
      <c r="AO43" s="28">
        <f>'Development Phase'!AO27</f>
        <v>-6583997.0703125</v>
      </c>
      <c r="AP43" s="28">
        <f>'Development Phase'!AP27</f>
        <v>-6583997.0703125</v>
      </c>
      <c r="AQ43" s="28">
        <f>'Development Phase'!AQ27</f>
        <v>-6583997.0703125</v>
      </c>
      <c r="AR43" s="28">
        <f>'Development Phase'!AR27</f>
        <v>-6583997.0703125</v>
      </c>
      <c r="AS43" s="28">
        <f>'Development Phase'!AS27</f>
        <v>-6583997.0703125</v>
      </c>
      <c r="AT43" s="28">
        <f>'Development Phase'!AT27</f>
        <v>-6583997.0703125</v>
      </c>
      <c r="AU43" s="28">
        <f>'Development Phase'!AU27</f>
        <v>-6583997.0703125</v>
      </c>
      <c r="AV43" s="28">
        <f>'Development Phase'!AV27</f>
        <v>-6583997.0703125</v>
      </c>
      <c r="AW43" s="28">
        <f>'Development Phase'!AW27</f>
        <v>-6583997.0703125</v>
      </c>
      <c r="AX43" s="28">
        <f>'Development Phase'!AX27</f>
        <v>-4731365.7233449398</v>
      </c>
      <c r="AY43" s="28">
        <f>'Development Phase'!AY27</f>
        <v>-4731365.7233449398</v>
      </c>
      <c r="AZ43" s="28">
        <f>'Development Phase'!AZ27</f>
        <v>-4731365.7233449398</v>
      </c>
      <c r="BA43" s="28">
        <f>'Development Phase'!BA27</f>
        <v>-4731365.7233449398</v>
      </c>
      <c r="BB43" s="28">
        <f>'Development Phase'!BB27</f>
        <v>-4731365.7233449398</v>
      </c>
      <c r="BC43" s="28">
        <f>'Development Phase'!BC27</f>
        <v>-4731365.7233449398</v>
      </c>
      <c r="BD43" s="28">
        <f>'Development Phase'!BD27</f>
        <v>75340341.443347454</v>
      </c>
      <c r="BE43" s="28">
        <f>'Development Phase'!BE27</f>
        <v>12350875.646450398</v>
      </c>
      <c r="BF43" s="28">
        <f>'Development Phase'!BF27</f>
        <v>12350875.646450398</v>
      </c>
      <c r="BG43" s="28">
        <f>'Development Phase'!BG27</f>
        <v>12350875.646450398</v>
      </c>
      <c r="BH43" s="28">
        <f>'Development Phase'!BH27</f>
        <v>12350875.646450398</v>
      </c>
      <c r="BI43" s="28">
        <f>'Development Phase'!BI27</f>
        <v>12350875.646450398</v>
      </c>
      <c r="BJ43" s="28">
        <f>'Development Phase'!BJ27</f>
        <v>12350875.646450398</v>
      </c>
      <c r="BK43" s="28">
        <f>'Development Phase'!BK27</f>
        <v>12350875.646450398</v>
      </c>
      <c r="BL43" s="28">
        <f>'Development Phase'!BL27</f>
        <v>12350875.646450398</v>
      </c>
      <c r="BM43" s="28">
        <f>'Development Phase'!BM27</f>
        <v>12350875.646450398</v>
      </c>
      <c r="BN43" s="28">
        <f>'Development Phase'!BN27</f>
        <v>12350875.646450398</v>
      </c>
      <c r="BO43" s="28">
        <f>'Development Phase'!BO27</f>
        <v>12350875.646450398</v>
      </c>
      <c r="BP43" s="28">
        <f>'Development Phase'!BP27</f>
        <v>0</v>
      </c>
      <c r="BQ43" s="28">
        <f>'Development Phase'!BQ27</f>
        <v>0</v>
      </c>
      <c r="BR43" s="28">
        <f>'Development Phase'!BR27</f>
        <v>0</v>
      </c>
      <c r="BS43" s="28">
        <f>'Development Phase'!BS27</f>
        <v>0</v>
      </c>
      <c r="BT43" s="28">
        <f>'Development Phase'!BT27</f>
        <v>0</v>
      </c>
      <c r="BU43" s="28">
        <f>'Development Phase'!BU27</f>
        <v>0</v>
      </c>
      <c r="BV43" s="28">
        <f>'Development Phase'!BV27</f>
        <v>0</v>
      </c>
      <c r="BW43" s="28">
        <f>'Development Phase'!BW27</f>
        <v>0</v>
      </c>
      <c r="BX43" s="28">
        <f>'Development Phase'!BX27</f>
        <v>0</v>
      </c>
      <c r="BY43" s="28">
        <f>'Development Phase'!BY27</f>
        <v>0</v>
      </c>
      <c r="BZ43" s="28">
        <f>'Development Phase'!BZ27</f>
        <v>0</v>
      </c>
      <c r="CA43" s="28">
        <f>'Development Phase'!CA27</f>
        <v>0</v>
      </c>
      <c r="CB43" s="28">
        <f>'Development Phase'!CB27</f>
        <v>0</v>
      </c>
      <c r="CC43" s="28">
        <f>'Development Phase'!CC27</f>
        <v>0</v>
      </c>
      <c r="CD43" s="28">
        <f>'Development Phase'!CD27</f>
        <v>0</v>
      </c>
      <c r="CE43" s="28">
        <f>'Development Phase'!CE27</f>
        <v>0</v>
      </c>
      <c r="CF43" s="28">
        <f>'Development Phase'!CF27</f>
        <v>0</v>
      </c>
      <c r="CG43" s="28">
        <f>'Development Phase'!CG27</f>
        <v>0</v>
      </c>
      <c r="CH43" s="28">
        <f>'Development Phase'!CH27</f>
        <v>0</v>
      </c>
      <c r="CI43" s="28">
        <f>'Development Phase'!CI27</f>
        <v>0</v>
      </c>
      <c r="CJ43" s="28">
        <f>'Development Phase'!CJ27</f>
        <v>0</v>
      </c>
      <c r="CK43" s="28">
        <f>'Development Phase'!CK27</f>
        <v>0</v>
      </c>
      <c r="CL43" s="28">
        <f>'Development Phase'!CL27</f>
        <v>0</v>
      </c>
      <c r="CM43" s="28">
        <f>'Development Phase'!CM27</f>
        <v>0</v>
      </c>
      <c r="CN43" s="28">
        <f>'Development Phase'!CN27</f>
        <v>0</v>
      </c>
      <c r="CO43" s="28">
        <f>'Development Phase'!CO27</f>
        <v>0</v>
      </c>
      <c r="CP43" s="28">
        <f>'Development Phase'!CP27</f>
        <v>0</v>
      </c>
      <c r="CQ43" s="28">
        <f>'Development Phase'!CQ27</f>
        <v>0</v>
      </c>
      <c r="CR43" s="28">
        <f>'Development Phase'!CR27</f>
        <v>0</v>
      </c>
      <c r="CS43" s="28">
        <f>'Development Phase'!CS27</f>
        <v>0</v>
      </c>
      <c r="CT43" s="28">
        <f>'Development Phase'!CT27</f>
        <v>0</v>
      </c>
      <c r="CU43" s="28">
        <f>'Development Phase'!CU27</f>
        <v>0</v>
      </c>
      <c r="CV43" s="28">
        <f>'Development Phase'!CV27</f>
        <v>0</v>
      </c>
      <c r="CW43" s="28">
        <f>'Development Phase'!CW27</f>
        <v>0</v>
      </c>
      <c r="CX43" s="28">
        <f>'Development Phase'!CX27</f>
        <v>0</v>
      </c>
      <c r="CY43" s="28">
        <f>'Development Phase'!CY27</f>
        <v>0</v>
      </c>
      <c r="CZ43" s="28">
        <f>'Development Phase'!CZ27</f>
        <v>0</v>
      </c>
      <c r="DA43" s="28">
        <f>'Development Phase'!DA27</f>
        <v>0</v>
      </c>
      <c r="DB43" s="28">
        <f>'Development Phase'!DB27</f>
        <v>0</v>
      </c>
      <c r="DC43" s="28">
        <f>'Development Phase'!DC27</f>
        <v>0</v>
      </c>
      <c r="DD43" s="28">
        <f>'Development Phase'!DD27</f>
        <v>0</v>
      </c>
      <c r="DE43" s="28">
        <f>'Development Phase'!DE27</f>
        <v>0</v>
      </c>
      <c r="DF43" s="28">
        <f>'Development Phase'!DF27</f>
        <v>0</v>
      </c>
      <c r="DG43" s="28">
        <f>'Development Phase'!DG27</f>
        <v>0</v>
      </c>
      <c r="DH43" s="28">
        <f>'Development Phase'!DH27</f>
        <v>0</v>
      </c>
      <c r="DI43" s="28">
        <f>'Development Phase'!DI27</f>
        <v>0</v>
      </c>
      <c r="DJ43" s="28">
        <f>'Development Phase'!DJ27</f>
        <v>0</v>
      </c>
      <c r="DK43" s="28">
        <f>'Development Phase'!DK27</f>
        <v>0</v>
      </c>
      <c r="DL43" s="28">
        <f>'Development Phase'!DL27</f>
        <v>0</v>
      </c>
      <c r="DM43" s="28">
        <f>'Development Phase'!DM27</f>
        <v>0</v>
      </c>
      <c r="DN43" s="28">
        <f>'Development Phase'!DN27</f>
        <v>0</v>
      </c>
      <c r="DO43" s="28">
        <f>'Development Phase'!DO27</f>
        <v>0</v>
      </c>
      <c r="DP43" s="28">
        <f>'Development Phase'!DP27</f>
        <v>0</v>
      </c>
      <c r="DQ43" s="28">
        <f>'Development Phase'!DQ27</f>
        <v>0</v>
      </c>
      <c r="DR43" s="28">
        <f>'Development Phase'!DR27</f>
        <v>0</v>
      </c>
      <c r="DS43" s="28">
        <f>'Development Phase'!DS27</f>
        <v>0</v>
      </c>
      <c r="DT43" s="28">
        <f>'Development Phase'!DT27</f>
        <v>0</v>
      </c>
      <c r="DU43" s="28">
        <f>'Development Phase'!DU27</f>
        <v>0</v>
      </c>
    </row>
    <row r="44" spans="3:125" s="3" customFormat="1" ht="22.95" customHeight="1">
      <c r="C44" s="31" t="s">
        <v>234</v>
      </c>
      <c r="D44" s="32">
        <f>-MIN(E44:DU44)</f>
        <v>154859516.60569468</v>
      </c>
      <c r="E44" s="33">
        <f>E43</f>
        <v>0</v>
      </c>
      <c r="F44" s="33">
        <f t="shared" ref="F44:AK44" si="34">F43+E44</f>
        <v>0</v>
      </c>
      <c r="G44" s="33">
        <f t="shared" si="34"/>
        <v>0</v>
      </c>
      <c r="H44" s="33">
        <f t="shared" si="34"/>
        <v>0</v>
      </c>
      <c r="I44" s="33">
        <f t="shared" si="34"/>
        <v>0</v>
      </c>
      <c r="J44" s="33">
        <f t="shared" si="34"/>
        <v>0</v>
      </c>
      <c r="K44" s="33">
        <f t="shared" si="34"/>
        <v>0</v>
      </c>
      <c r="L44" s="33">
        <f t="shared" si="34"/>
        <v>0</v>
      </c>
      <c r="M44" s="33">
        <f t="shared" si="34"/>
        <v>0</v>
      </c>
      <c r="N44" s="33">
        <f t="shared" si="34"/>
        <v>0</v>
      </c>
      <c r="O44" s="33">
        <f t="shared" si="34"/>
        <v>0</v>
      </c>
      <c r="P44" s="33">
        <f t="shared" si="34"/>
        <v>0</v>
      </c>
      <c r="Q44" s="33">
        <f t="shared" si="34"/>
        <v>0</v>
      </c>
      <c r="R44" s="33">
        <f t="shared" si="34"/>
        <v>0</v>
      </c>
      <c r="S44" s="33">
        <f t="shared" si="34"/>
        <v>0</v>
      </c>
      <c r="T44" s="33">
        <f t="shared" si="34"/>
        <v>0</v>
      </c>
      <c r="U44" s="33">
        <f t="shared" si="34"/>
        <v>0</v>
      </c>
      <c r="V44" s="33">
        <f t="shared" si="34"/>
        <v>0</v>
      </c>
      <c r="W44" s="33">
        <f t="shared" si="34"/>
        <v>0</v>
      </c>
      <c r="X44" s="33">
        <f t="shared" si="34"/>
        <v>0</v>
      </c>
      <c r="Y44" s="33">
        <f t="shared" si="34"/>
        <v>0</v>
      </c>
      <c r="Z44" s="33">
        <f t="shared" si="34"/>
        <v>0</v>
      </c>
      <c r="AA44" s="33">
        <f t="shared" si="34"/>
        <v>0</v>
      </c>
      <c r="AB44" s="33">
        <f t="shared" si="34"/>
        <v>0</v>
      </c>
      <c r="AC44" s="33">
        <f t="shared" si="34"/>
        <v>-7959375</v>
      </c>
      <c r="AD44" s="33">
        <f t="shared" si="34"/>
        <v>-7959375</v>
      </c>
      <c r="AE44" s="33">
        <f t="shared" si="34"/>
        <v>-7959375</v>
      </c>
      <c r="AF44" s="33">
        <f t="shared" si="34"/>
        <v>-14543372.0703125</v>
      </c>
      <c r="AG44" s="33">
        <f t="shared" si="34"/>
        <v>-21127369.140625</v>
      </c>
      <c r="AH44" s="33">
        <f t="shared" si="34"/>
        <v>-27711366.2109375</v>
      </c>
      <c r="AI44" s="33">
        <f t="shared" si="34"/>
        <v>-34295363.28125</v>
      </c>
      <c r="AJ44" s="33">
        <f t="shared" si="34"/>
        <v>-40879360.3515625</v>
      </c>
      <c r="AK44" s="33">
        <f t="shared" si="34"/>
        <v>-47463357.421875</v>
      </c>
      <c r="AL44" s="33">
        <f t="shared" ref="AL44:BQ44" si="35">AL43+AK44</f>
        <v>-54047354.4921875</v>
      </c>
      <c r="AM44" s="33">
        <f t="shared" si="35"/>
        <v>-60631351.5625</v>
      </c>
      <c r="AN44" s="33">
        <f t="shared" si="35"/>
        <v>-67215348.6328125</v>
      </c>
      <c r="AO44" s="33">
        <f t="shared" si="35"/>
        <v>-73799345.703125</v>
      </c>
      <c r="AP44" s="33">
        <f t="shared" si="35"/>
        <v>-80383342.7734375</v>
      </c>
      <c r="AQ44" s="33">
        <f t="shared" si="35"/>
        <v>-86967339.84375</v>
      </c>
      <c r="AR44" s="33">
        <f t="shared" si="35"/>
        <v>-93551336.9140625</v>
      </c>
      <c r="AS44" s="33">
        <f t="shared" si="35"/>
        <v>-100135333.984375</v>
      </c>
      <c r="AT44" s="33">
        <f t="shared" si="35"/>
        <v>-106719331.0546875</v>
      </c>
      <c r="AU44" s="33">
        <f t="shared" si="35"/>
        <v>-113303328.125</v>
      </c>
      <c r="AV44" s="33">
        <f t="shared" si="35"/>
        <v>-119887325.1953125</v>
      </c>
      <c r="AW44" s="33">
        <f t="shared" si="35"/>
        <v>-126471322.265625</v>
      </c>
      <c r="AX44" s="33">
        <f t="shared" si="35"/>
        <v>-131202687.98896994</v>
      </c>
      <c r="AY44" s="33">
        <f t="shared" si="35"/>
        <v>-135934053.71231487</v>
      </c>
      <c r="AZ44" s="33">
        <f t="shared" si="35"/>
        <v>-140665419.43565983</v>
      </c>
      <c r="BA44" s="33">
        <f t="shared" si="35"/>
        <v>-145396785.15900478</v>
      </c>
      <c r="BB44" s="33">
        <f t="shared" si="35"/>
        <v>-150128150.88234973</v>
      </c>
      <c r="BC44" s="33">
        <f t="shared" si="35"/>
        <v>-154859516.60569468</v>
      </c>
      <c r="BD44" s="33">
        <f t="shared" si="35"/>
        <v>-79519175.162347227</v>
      </c>
      <c r="BE44" s="33">
        <f t="shared" si="35"/>
        <v>-67168299.515896827</v>
      </c>
      <c r="BF44" s="33">
        <f t="shared" si="35"/>
        <v>-54817423.869446427</v>
      </c>
      <c r="BG44" s="33">
        <f t="shared" si="35"/>
        <v>-42466548.222996026</v>
      </c>
      <c r="BH44" s="33">
        <f t="shared" si="35"/>
        <v>-30115672.576545626</v>
      </c>
      <c r="BI44" s="33">
        <f t="shared" si="35"/>
        <v>-17764796.930095226</v>
      </c>
      <c r="BJ44" s="33">
        <f t="shared" si="35"/>
        <v>-5413921.2836448271</v>
      </c>
      <c r="BK44" s="33">
        <f t="shared" si="35"/>
        <v>6936954.3628055714</v>
      </c>
      <c r="BL44" s="33">
        <f t="shared" si="35"/>
        <v>19287830.009255968</v>
      </c>
      <c r="BM44" s="33">
        <f t="shared" si="35"/>
        <v>31638705.655706368</v>
      </c>
      <c r="BN44" s="33">
        <f t="shared" si="35"/>
        <v>43989581.302156769</v>
      </c>
      <c r="BO44" s="33">
        <f t="shared" si="35"/>
        <v>56340456.948607169</v>
      </c>
      <c r="BP44" s="33">
        <f t="shared" si="35"/>
        <v>56340456.948607169</v>
      </c>
      <c r="BQ44" s="33">
        <f t="shared" si="35"/>
        <v>56340456.948607169</v>
      </c>
      <c r="BR44" s="33">
        <f t="shared" ref="BR44:CW44" si="36">BR43+BQ44</f>
        <v>56340456.948607169</v>
      </c>
      <c r="BS44" s="33">
        <f t="shared" si="36"/>
        <v>56340456.948607169</v>
      </c>
      <c r="BT44" s="33">
        <f t="shared" si="36"/>
        <v>56340456.948607169</v>
      </c>
      <c r="BU44" s="33">
        <f t="shared" si="36"/>
        <v>56340456.948607169</v>
      </c>
      <c r="BV44" s="33">
        <f t="shared" si="36"/>
        <v>56340456.948607169</v>
      </c>
      <c r="BW44" s="33">
        <f t="shared" si="36"/>
        <v>56340456.948607169</v>
      </c>
      <c r="BX44" s="33">
        <f t="shared" si="36"/>
        <v>56340456.948607169</v>
      </c>
      <c r="BY44" s="33">
        <f t="shared" si="36"/>
        <v>56340456.948607169</v>
      </c>
      <c r="BZ44" s="33">
        <f t="shared" si="36"/>
        <v>56340456.948607169</v>
      </c>
      <c r="CA44" s="33">
        <f t="shared" si="36"/>
        <v>56340456.948607169</v>
      </c>
      <c r="CB44" s="33">
        <f t="shared" si="36"/>
        <v>56340456.948607169</v>
      </c>
      <c r="CC44" s="33">
        <f t="shared" si="36"/>
        <v>56340456.948607169</v>
      </c>
      <c r="CD44" s="33">
        <f t="shared" si="36"/>
        <v>56340456.948607169</v>
      </c>
      <c r="CE44" s="33">
        <f t="shared" si="36"/>
        <v>56340456.948607169</v>
      </c>
      <c r="CF44" s="33">
        <f t="shared" si="36"/>
        <v>56340456.948607169</v>
      </c>
      <c r="CG44" s="33">
        <f t="shared" si="36"/>
        <v>56340456.948607169</v>
      </c>
      <c r="CH44" s="33">
        <f t="shared" si="36"/>
        <v>56340456.948607169</v>
      </c>
      <c r="CI44" s="33">
        <f t="shared" si="36"/>
        <v>56340456.948607169</v>
      </c>
      <c r="CJ44" s="33">
        <f t="shared" si="36"/>
        <v>56340456.948607169</v>
      </c>
      <c r="CK44" s="33">
        <f t="shared" si="36"/>
        <v>56340456.948607169</v>
      </c>
      <c r="CL44" s="33">
        <f t="shared" si="36"/>
        <v>56340456.948607169</v>
      </c>
      <c r="CM44" s="33">
        <f t="shared" si="36"/>
        <v>56340456.948607169</v>
      </c>
      <c r="CN44" s="33">
        <f t="shared" si="36"/>
        <v>56340456.948607169</v>
      </c>
      <c r="CO44" s="33">
        <f t="shared" si="36"/>
        <v>56340456.948607169</v>
      </c>
      <c r="CP44" s="33">
        <f t="shared" si="36"/>
        <v>56340456.948607169</v>
      </c>
      <c r="CQ44" s="33">
        <f t="shared" si="36"/>
        <v>56340456.948607169</v>
      </c>
      <c r="CR44" s="33">
        <f t="shared" si="36"/>
        <v>56340456.948607169</v>
      </c>
      <c r="CS44" s="33">
        <f t="shared" si="36"/>
        <v>56340456.948607169</v>
      </c>
      <c r="CT44" s="33">
        <f t="shared" si="36"/>
        <v>56340456.948607169</v>
      </c>
      <c r="CU44" s="33">
        <f t="shared" si="36"/>
        <v>56340456.948607169</v>
      </c>
      <c r="CV44" s="33">
        <f t="shared" si="36"/>
        <v>56340456.948607169</v>
      </c>
      <c r="CW44" s="33">
        <f t="shared" si="36"/>
        <v>56340456.948607169</v>
      </c>
      <c r="CX44" s="33">
        <f t="shared" ref="CX44:DU44" si="37">CX43+CW44</f>
        <v>56340456.948607169</v>
      </c>
      <c r="CY44" s="33">
        <f t="shared" si="37"/>
        <v>56340456.948607169</v>
      </c>
      <c r="CZ44" s="33">
        <f t="shared" si="37"/>
        <v>56340456.948607169</v>
      </c>
      <c r="DA44" s="33">
        <f t="shared" si="37"/>
        <v>56340456.948607169</v>
      </c>
      <c r="DB44" s="33">
        <f t="shared" si="37"/>
        <v>56340456.948607169</v>
      </c>
      <c r="DC44" s="33">
        <f t="shared" si="37"/>
        <v>56340456.948607169</v>
      </c>
      <c r="DD44" s="33">
        <f t="shared" si="37"/>
        <v>56340456.948607169</v>
      </c>
      <c r="DE44" s="33">
        <f t="shared" si="37"/>
        <v>56340456.948607169</v>
      </c>
      <c r="DF44" s="33">
        <f t="shared" si="37"/>
        <v>56340456.948607169</v>
      </c>
      <c r="DG44" s="33">
        <f t="shared" si="37"/>
        <v>56340456.948607169</v>
      </c>
      <c r="DH44" s="33">
        <f t="shared" si="37"/>
        <v>56340456.948607169</v>
      </c>
      <c r="DI44" s="33">
        <f t="shared" si="37"/>
        <v>56340456.948607169</v>
      </c>
      <c r="DJ44" s="33">
        <f t="shared" si="37"/>
        <v>56340456.948607169</v>
      </c>
      <c r="DK44" s="33">
        <f t="shared" si="37"/>
        <v>56340456.948607169</v>
      </c>
      <c r="DL44" s="33">
        <f t="shared" si="37"/>
        <v>56340456.948607169</v>
      </c>
      <c r="DM44" s="33">
        <f t="shared" si="37"/>
        <v>56340456.948607169</v>
      </c>
      <c r="DN44" s="33">
        <f t="shared" si="37"/>
        <v>56340456.948607169</v>
      </c>
      <c r="DO44" s="33">
        <f t="shared" si="37"/>
        <v>56340456.948607169</v>
      </c>
      <c r="DP44" s="33">
        <f t="shared" si="37"/>
        <v>56340456.948607169</v>
      </c>
      <c r="DQ44" s="33">
        <f t="shared" si="37"/>
        <v>56340456.948607169</v>
      </c>
      <c r="DR44" s="33">
        <f t="shared" si="37"/>
        <v>56340456.948607169</v>
      </c>
      <c r="DS44" s="33">
        <f t="shared" si="37"/>
        <v>56340456.948607169</v>
      </c>
      <c r="DT44" s="33">
        <f t="shared" si="37"/>
        <v>56340456.948607169</v>
      </c>
      <c r="DU44" s="33">
        <f t="shared" si="37"/>
        <v>56340456.948607169</v>
      </c>
    </row>
    <row r="45" spans="3:125" s="3" customFormat="1" ht="22.95" customHeight="1">
      <c r="C45" s="29" t="s">
        <v>235</v>
      </c>
      <c r="D45" s="87">
        <f>'Development Phase'!D29</f>
        <v>0.22888161540031438</v>
      </c>
    </row>
    <row r="46" spans="3:125" s="3" customFormat="1" ht="22.95" customHeight="1">
      <c r="C46" s="30" t="s">
        <v>236</v>
      </c>
      <c r="D46" s="88">
        <f>'Development Phase'!D30</f>
        <v>1.3638165621558924</v>
      </c>
    </row>
    <row r="47" spans="3:125" s="3" customFormat="1" ht="22.95" customHeight="1">
      <c r="C47" s="60"/>
      <c r="D47" s="24"/>
    </row>
    <row r="48" spans="3:125" s="3" customFormat="1" ht="22.95" customHeight="1">
      <c r="D48" s="24"/>
    </row>
    <row r="49" spans="3:125" s="3" customFormat="1" ht="22.95" customHeight="1">
      <c r="C49" s="60" t="s">
        <v>252</v>
      </c>
      <c r="D49" s="24"/>
    </row>
    <row r="50" spans="3:125" s="3" customFormat="1" ht="22.95" customHeight="1">
      <c r="C50" s="3" t="s">
        <v>238</v>
      </c>
      <c r="D50" s="25">
        <f>SUM(E50:DU50)</f>
        <v>50000</v>
      </c>
      <c r="E50" s="21">
        <f t="shared" ref="E50:AJ50" si="38">E22</f>
        <v>50000</v>
      </c>
      <c r="F50" s="21">
        <f t="shared" si="38"/>
        <v>0</v>
      </c>
      <c r="G50" s="21">
        <f t="shared" si="38"/>
        <v>0</v>
      </c>
      <c r="H50" s="21">
        <f t="shared" si="38"/>
        <v>0</v>
      </c>
      <c r="I50" s="21">
        <f t="shared" si="38"/>
        <v>0</v>
      </c>
      <c r="J50" s="21">
        <f t="shared" si="38"/>
        <v>0</v>
      </c>
      <c r="K50" s="21">
        <f t="shared" si="38"/>
        <v>0</v>
      </c>
      <c r="L50" s="21">
        <f t="shared" si="38"/>
        <v>0</v>
      </c>
      <c r="M50" s="21">
        <f t="shared" si="38"/>
        <v>0</v>
      </c>
      <c r="N50" s="21">
        <f t="shared" si="38"/>
        <v>0</v>
      </c>
      <c r="O50" s="21">
        <f t="shared" si="38"/>
        <v>0</v>
      </c>
      <c r="P50" s="21">
        <f t="shared" si="38"/>
        <v>0</v>
      </c>
      <c r="Q50" s="21">
        <f t="shared" si="38"/>
        <v>0</v>
      </c>
      <c r="R50" s="21">
        <f t="shared" si="38"/>
        <v>0</v>
      </c>
      <c r="S50" s="21">
        <f t="shared" si="38"/>
        <v>0</v>
      </c>
      <c r="T50" s="21">
        <f t="shared" si="38"/>
        <v>0</v>
      </c>
      <c r="U50" s="21">
        <f t="shared" si="38"/>
        <v>0</v>
      </c>
      <c r="V50" s="21">
        <f t="shared" si="38"/>
        <v>0</v>
      </c>
      <c r="W50" s="21">
        <f t="shared" si="38"/>
        <v>0</v>
      </c>
      <c r="X50" s="21">
        <f t="shared" si="38"/>
        <v>0</v>
      </c>
      <c r="Y50" s="21">
        <f t="shared" si="38"/>
        <v>0</v>
      </c>
      <c r="Z50" s="21">
        <f t="shared" si="38"/>
        <v>0</v>
      </c>
      <c r="AA50" s="21">
        <f t="shared" si="38"/>
        <v>0</v>
      </c>
      <c r="AB50" s="21">
        <f t="shared" si="38"/>
        <v>0</v>
      </c>
      <c r="AC50" s="21">
        <f t="shared" si="38"/>
        <v>0</v>
      </c>
      <c r="AD50" s="21">
        <f t="shared" si="38"/>
        <v>0</v>
      </c>
      <c r="AE50" s="21">
        <f t="shared" si="38"/>
        <v>0</v>
      </c>
      <c r="AF50" s="21">
        <f t="shared" si="38"/>
        <v>0</v>
      </c>
      <c r="AG50" s="21">
        <f t="shared" si="38"/>
        <v>0</v>
      </c>
      <c r="AH50" s="21">
        <f t="shared" si="38"/>
        <v>0</v>
      </c>
      <c r="AI50" s="21">
        <f t="shared" si="38"/>
        <v>0</v>
      </c>
      <c r="AJ50" s="21">
        <f t="shared" si="38"/>
        <v>0</v>
      </c>
      <c r="AK50" s="21">
        <f t="shared" ref="AK50:BP50" si="39">AK22</f>
        <v>0</v>
      </c>
      <c r="AL50" s="21">
        <f t="shared" si="39"/>
        <v>0</v>
      </c>
      <c r="AM50" s="21">
        <f t="shared" si="39"/>
        <v>0</v>
      </c>
      <c r="AN50" s="21">
        <f t="shared" si="39"/>
        <v>0</v>
      </c>
      <c r="AO50" s="21">
        <f t="shared" si="39"/>
        <v>0</v>
      </c>
      <c r="AP50" s="21">
        <f t="shared" si="39"/>
        <v>0</v>
      </c>
      <c r="AQ50" s="21">
        <f t="shared" si="39"/>
        <v>0</v>
      </c>
      <c r="AR50" s="21">
        <f t="shared" si="39"/>
        <v>0</v>
      </c>
      <c r="AS50" s="21">
        <f t="shared" si="39"/>
        <v>0</v>
      </c>
      <c r="AT50" s="21">
        <f t="shared" si="39"/>
        <v>0</v>
      </c>
      <c r="AU50" s="21">
        <f t="shared" si="39"/>
        <v>0</v>
      </c>
      <c r="AV50" s="21">
        <f t="shared" si="39"/>
        <v>0</v>
      </c>
      <c r="AW50" s="21">
        <f t="shared" si="39"/>
        <v>0</v>
      </c>
      <c r="AX50" s="21">
        <f t="shared" si="39"/>
        <v>0</v>
      </c>
      <c r="AY50" s="21">
        <f t="shared" si="39"/>
        <v>0</v>
      </c>
      <c r="AZ50" s="21">
        <f t="shared" si="39"/>
        <v>0</v>
      </c>
      <c r="BA50" s="21">
        <f t="shared" si="39"/>
        <v>0</v>
      </c>
      <c r="BB50" s="21">
        <f t="shared" si="39"/>
        <v>0</v>
      </c>
      <c r="BC50" s="21">
        <f t="shared" si="39"/>
        <v>0</v>
      </c>
      <c r="BD50" s="21">
        <f t="shared" si="39"/>
        <v>0</v>
      </c>
      <c r="BE50" s="21">
        <f t="shared" si="39"/>
        <v>0</v>
      </c>
      <c r="BF50" s="21">
        <f t="shared" si="39"/>
        <v>0</v>
      </c>
      <c r="BG50" s="21">
        <f t="shared" si="39"/>
        <v>0</v>
      </c>
      <c r="BH50" s="21">
        <f t="shared" si="39"/>
        <v>0</v>
      </c>
      <c r="BI50" s="21">
        <f t="shared" si="39"/>
        <v>0</v>
      </c>
      <c r="BJ50" s="21">
        <f t="shared" si="39"/>
        <v>0</v>
      </c>
      <c r="BK50" s="21">
        <f t="shared" si="39"/>
        <v>0</v>
      </c>
      <c r="BL50" s="21">
        <f t="shared" si="39"/>
        <v>0</v>
      </c>
      <c r="BM50" s="21">
        <f t="shared" si="39"/>
        <v>0</v>
      </c>
      <c r="BN50" s="21">
        <f t="shared" si="39"/>
        <v>0</v>
      </c>
      <c r="BO50" s="21">
        <f t="shared" si="39"/>
        <v>0</v>
      </c>
      <c r="BP50" s="21">
        <f t="shared" si="39"/>
        <v>0</v>
      </c>
      <c r="BQ50" s="21">
        <f t="shared" ref="BQ50:CV50" si="40">BQ22</f>
        <v>0</v>
      </c>
      <c r="BR50" s="21">
        <f t="shared" si="40"/>
        <v>0</v>
      </c>
      <c r="BS50" s="21">
        <f t="shared" si="40"/>
        <v>0</v>
      </c>
      <c r="BT50" s="21">
        <f t="shared" si="40"/>
        <v>0</v>
      </c>
      <c r="BU50" s="21">
        <f t="shared" si="40"/>
        <v>0</v>
      </c>
      <c r="BV50" s="21">
        <f t="shared" si="40"/>
        <v>0</v>
      </c>
      <c r="BW50" s="21">
        <f t="shared" si="40"/>
        <v>0</v>
      </c>
      <c r="BX50" s="21">
        <f t="shared" si="40"/>
        <v>0</v>
      </c>
      <c r="BY50" s="21">
        <f t="shared" si="40"/>
        <v>0</v>
      </c>
      <c r="BZ50" s="21">
        <f t="shared" si="40"/>
        <v>0</v>
      </c>
      <c r="CA50" s="21">
        <f t="shared" si="40"/>
        <v>0</v>
      </c>
      <c r="CB50" s="21">
        <f t="shared" si="40"/>
        <v>0</v>
      </c>
      <c r="CC50" s="21">
        <f t="shared" si="40"/>
        <v>0</v>
      </c>
      <c r="CD50" s="21">
        <f t="shared" si="40"/>
        <v>0</v>
      </c>
      <c r="CE50" s="21">
        <f t="shared" si="40"/>
        <v>0</v>
      </c>
      <c r="CF50" s="21">
        <f t="shared" si="40"/>
        <v>0</v>
      </c>
      <c r="CG50" s="21">
        <f t="shared" si="40"/>
        <v>0</v>
      </c>
      <c r="CH50" s="21">
        <f t="shared" si="40"/>
        <v>0</v>
      </c>
      <c r="CI50" s="21">
        <f t="shared" si="40"/>
        <v>0</v>
      </c>
      <c r="CJ50" s="21">
        <f t="shared" si="40"/>
        <v>0</v>
      </c>
      <c r="CK50" s="21">
        <f t="shared" si="40"/>
        <v>0</v>
      </c>
      <c r="CL50" s="21">
        <f t="shared" si="40"/>
        <v>0</v>
      </c>
      <c r="CM50" s="21">
        <f t="shared" si="40"/>
        <v>0</v>
      </c>
      <c r="CN50" s="21">
        <f t="shared" si="40"/>
        <v>0</v>
      </c>
      <c r="CO50" s="21">
        <f t="shared" si="40"/>
        <v>0</v>
      </c>
      <c r="CP50" s="21">
        <f t="shared" si="40"/>
        <v>0</v>
      </c>
      <c r="CQ50" s="21">
        <f t="shared" si="40"/>
        <v>0</v>
      </c>
      <c r="CR50" s="21">
        <f t="shared" si="40"/>
        <v>0</v>
      </c>
      <c r="CS50" s="21">
        <f t="shared" si="40"/>
        <v>0</v>
      </c>
      <c r="CT50" s="21">
        <f t="shared" si="40"/>
        <v>0</v>
      </c>
      <c r="CU50" s="21">
        <f t="shared" si="40"/>
        <v>0</v>
      </c>
      <c r="CV50" s="21">
        <f t="shared" si="40"/>
        <v>0</v>
      </c>
      <c r="CW50" s="21">
        <f t="shared" ref="CW50:DU50" si="41">CW22</f>
        <v>0</v>
      </c>
      <c r="CX50" s="21">
        <f t="shared" si="41"/>
        <v>0</v>
      </c>
      <c r="CY50" s="21">
        <f t="shared" si="41"/>
        <v>0</v>
      </c>
      <c r="CZ50" s="21">
        <f t="shared" si="41"/>
        <v>0</v>
      </c>
      <c r="DA50" s="21">
        <f t="shared" si="41"/>
        <v>0</v>
      </c>
      <c r="DB50" s="21">
        <f t="shared" si="41"/>
        <v>0</v>
      </c>
      <c r="DC50" s="21">
        <f t="shared" si="41"/>
        <v>0</v>
      </c>
      <c r="DD50" s="21">
        <f t="shared" si="41"/>
        <v>0</v>
      </c>
      <c r="DE50" s="21">
        <f t="shared" si="41"/>
        <v>0</v>
      </c>
      <c r="DF50" s="21">
        <f t="shared" si="41"/>
        <v>0</v>
      </c>
      <c r="DG50" s="21">
        <f t="shared" si="41"/>
        <v>0</v>
      </c>
      <c r="DH50" s="21">
        <f t="shared" si="41"/>
        <v>0</v>
      </c>
      <c r="DI50" s="21">
        <f t="shared" si="41"/>
        <v>0</v>
      </c>
      <c r="DJ50" s="21">
        <f t="shared" si="41"/>
        <v>0</v>
      </c>
      <c r="DK50" s="21">
        <f t="shared" si="41"/>
        <v>0</v>
      </c>
      <c r="DL50" s="21">
        <f t="shared" si="41"/>
        <v>0</v>
      </c>
      <c r="DM50" s="21">
        <f t="shared" si="41"/>
        <v>0</v>
      </c>
      <c r="DN50" s="21">
        <f t="shared" si="41"/>
        <v>0</v>
      </c>
      <c r="DO50" s="21">
        <f t="shared" si="41"/>
        <v>0</v>
      </c>
      <c r="DP50" s="21">
        <f t="shared" si="41"/>
        <v>0</v>
      </c>
      <c r="DQ50" s="21">
        <f t="shared" si="41"/>
        <v>0</v>
      </c>
      <c r="DR50" s="21">
        <f t="shared" si="41"/>
        <v>0</v>
      </c>
      <c r="DS50" s="21">
        <f t="shared" si="41"/>
        <v>0</v>
      </c>
      <c r="DT50" s="21">
        <f t="shared" si="41"/>
        <v>0</v>
      </c>
      <c r="DU50" s="21">
        <f t="shared" si="41"/>
        <v>0</v>
      </c>
    </row>
    <row r="51" spans="3:125" s="3" customFormat="1" ht="22.95" customHeight="1">
      <c r="C51" s="3" t="s">
        <v>239</v>
      </c>
      <c r="D51" s="25">
        <f>SUM(E51:DU51)</f>
        <v>-20000</v>
      </c>
      <c r="E51" s="21">
        <f t="shared" ref="E51:AJ51" si="42">E23</f>
        <v>-3333.3333333333335</v>
      </c>
      <c r="F51" s="21">
        <f t="shared" si="42"/>
        <v>-3333.3333333333335</v>
      </c>
      <c r="G51" s="21">
        <f t="shared" si="42"/>
        <v>-3333.3333333333335</v>
      </c>
      <c r="H51" s="21">
        <f t="shared" si="42"/>
        <v>-3333.3333333333335</v>
      </c>
      <c r="I51" s="21">
        <f t="shared" si="42"/>
        <v>-3333.3333333333335</v>
      </c>
      <c r="J51" s="21">
        <f t="shared" si="42"/>
        <v>-3333.3333333333335</v>
      </c>
      <c r="K51" s="21">
        <f t="shared" si="42"/>
        <v>0</v>
      </c>
      <c r="L51" s="21">
        <f t="shared" si="42"/>
        <v>0</v>
      </c>
      <c r="M51" s="21">
        <f t="shared" si="42"/>
        <v>0</v>
      </c>
      <c r="N51" s="21">
        <f t="shared" si="42"/>
        <v>0</v>
      </c>
      <c r="O51" s="21">
        <f t="shared" si="42"/>
        <v>0</v>
      </c>
      <c r="P51" s="21">
        <f t="shared" si="42"/>
        <v>0</v>
      </c>
      <c r="Q51" s="21">
        <f t="shared" si="42"/>
        <v>0</v>
      </c>
      <c r="R51" s="21">
        <f t="shared" si="42"/>
        <v>0</v>
      </c>
      <c r="S51" s="21">
        <f t="shared" si="42"/>
        <v>0</v>
      </c>
      <c r="T51" s="21">
        <f t="shared" si="42"/>
        <v>0</v>
      </c>
      <c r="U51" s="21">
        <f t="shared" si="42"/>
        <v>0</v>
      </c>
      <c r="V51" s="21">
        <f t="shared" si="42"/>
        <v>0</v>
      </c>
      <c r="W51" s="21">
        <f t="shared" si="42"/>
        <v>0</v>
      </c>
      <c r="X51" s="21">
        <f t="shared" si="42"/>
        <v>0</v>
      </c>
      <c r="Y51" s="21">
        <f t="shared" si="42"/>
        <v>0</v>
      </c>
      <c r="Z51" s="21">
        <f t="shared" si="42"/>
        <v>0</v>
      </c>
      <c r="AA51" s="21">
        <f t="shared" si="42"/>
        <v>0</v>
      </c>
      <c r="AB51" s="21">
        <f t="shared" si="42"/>
        <v>0</v>
      </c>
      <c r="AC51" s="21">
        <f t="shared" si="42"/>
        <v>0</v>
      </c>
      <c r="AD51" s="21">
        <f t="shared" si="42"/>
        <v>0</v>
      </c>
      <c r="AE51" s="21">
        <f t="shared" si="42"/>
        <v>0</v>
      </c>
      <c r="AF51" s="21">
        <f t="shared" si="42"/>
        <v>0</v>
      </c>
      <c r="AG51" s="21">
        <f t="shared" si="42"/>
        <v>0</v>
      </c>
      <c r="AH51" s="21">
        <f t="shared" si="42"/>
        <v>0</v>
      </c>
      <c r="AI51" s="21">
        <f t="shared" si="42"/>
        <v>0</v>
      </c>
      <c r="AJ51" s="21">
        <f t="shared" si="42"/>
        <v>0</v>
      </c>
      <c r="AK51" s="21">
        <f t="shared" ref="AK51:BP51" si="43">AK23</f>
        <v>0</v>
      </c>
      <c r="AL51" s="21">
        <f t="shared" si="43"/>
        <v>0</v>
      </c>
      <c r="AM51" s="21">
        <f t="shared" si="43"/>
        <v>0</v>
      </c>
      <c r="AN51" s="21">
        <f t="shared" si="43"/>
        <v>0</v>
      </c>
      <c r="AO51" s="21">
        <f t="shared" si="43"/>
        <v>0</v>
      </c>
      <c r="AP51" s="21">
        <f t="shared" si="43"/>
        <v>0</v>
      </c>
      <c r="AQ51" s="21">
        <f t="shared" si="43"/>
        <v>0</v>
      </c>
      <c r="AR51" s="21">
        <f t="shared" si="43"/>
        <v>0</v>
      </c>
      <c r="AS51" s="21">
        <f t="shared" si="43"/>
        <v>0</v>
      </c>
      <c r="AT51" s="21">
        <f t="shared" si="43"/>
        <v>0</v>
      </c>
      <c r="AU51" s="21">
        <f t="shared" si="43"/>
        <v>0</v>
      </c>
      <c r="AV51" s="21">
        <f t="shared" si="43"/>
        <v>0</v>
      </c>
      <c r="AW51" s="21">
        <f t="shared" si="43"/>
        <v>0</v>
      </c>
      <c r="AX51" s="21">
        <f t="shared" si="43"/>
        <v>0</v>
      </c>
      <c r="AY51" s="21">
        <f t="shared" si="43"/>
        <v>0</v>
      </c>
      <c r="AZ51" s="21">
        <f t="shared" si="43"/>
        <v>0</v>
      </c>
      <c r="BA51" s="21">
        <f t="shared" si="43"/>
        <v>0</v>
      </c>
      <c r="BB51" s="21">
        <f t="shared" si="43"/>
        <v>0</v>
      </c>
      <c r="BC51" s="21">
        <f t="shared" si="43"/>
        <v>0</v>
      </c>
      <c r="BD51" s="21">
        <f t="shared" si="43"/>
        <v>0</v>
      </c>
      <c r="BE51" s="21">
        <f t="shared" si="43"/>
        <v>0</v>
      </c>
      <c r="BF51" s="21">
        <f t="shared" si="43"/>
        <v>0</v>
      </c>
      <c r="BG51" s="21">
        <f t="shared" si="43"/>
        <v>0</v>
      </c>
      <c r="BH51" s="21">
        <f t="shared" si="43"/>
        <v>0</v>
      </c>
      <c r="BI51" s="21">
        <f t="shared" si="43"/>
        <v>0</v>
      </c>
      <c r="BJ51" s="21">
        <f t="shared" si="43"/>
        <v>0</v>
      </c>
      <c r="BK51" s="21">
        <f t="shared" si="43"/>
        <v>0</v>
      </c>
      <c r="BL51" s="21">
        <f t="shared" si="43"/>
        <v>0</v>
      </c>
      <c r="BM51" s="21">
        <f t="shared" si="43"/>
        <v>0</v>
      </c>
      <c r="BN51" s="21">
        <f t="shared" si="43"/>
        <v>0</v>
      </c>
      <c r="BO51" s="21">
        <f t="shared" si="43"/>
        <v>0</v>
      </c>
      <c r="BP51" s="21">
        <f t="shared" si="43"/>
        <v>0</v>
      </c>
      <c r="BQ51" s="21">
        <f t="shared" ref="BQ51:CV51" si="44">BQ23</f>
        <v>0</v>
      </c>
      <c r="BR51" s="21">
        <f t="shared" si="44"/>
        <v>0</v>
      </c>
      <c r="BS51" s="21">
        <f t="shared" si="44"/>
        <v>0</v>
      </c>
      <c r="BT51" s="21">
        <f t="shared" si="44"/>
        <v>0</v>
      </c>
      <c r="BU51" s="21">
        <f t="shared" si="44"/>
        <v>0</v>
      </c>
      <c r="BV51" s="21">
        <f t="shared" si="44"/>
        <v>0</v>
      </c>
      <c r="BW51" s="21">
        <f t="shared" si="44"/>
        <v>0</v>
      </c>
      <c r="BX51" s="21">
        <f t="shared" si="44"/>
        <v>0</v>
      </c>
      <c r="BY51" s="21">
        <f t="shared" si="44"/>
        <v>0</v>
      </c>
      <c r="BZ51" s="21">
        <f t="shared" si="44"/>
        <v>0</v>
      </c>
      <c r="CA51" s="21">
        <f t="shared" si="44"/>
        <v>0</v>
      </c>
      <c r="CB51" s="21">
        <f t="shared" si="44"/>
        <v>0</v>
      </c>
      <c r="CC51" s="21">
        <f t="shared" si="44"/>
        <v>0</v>
      </c>
      <c r="CD51" s="21">
        <f t="shared" si="44"/>
        <v>0</v>
      </c>
      <c r="CE51" s="21">
        <f t="shared" si="44"/>
        <v>0</v>
      </c>
      <c r="CF51" s="21">
        <f t="shared" si="44"/>
        <v>0</v>
      </c>
      <c r="CG51" s="21">
        <f t="shared" si="44"/>
        <v>0</v>
      </c>
      <c r="CH51" s="21">
        <f t="shared" si="44"/>
        <v>0</v>
      </c>
      <c r="CI51" s="21">
        <f t="shared" si="44"/>
        <v>0</v>
      </c>
      <c r="CJ51" s="21">
        <f t="shared" si="44"/>
        <v>0</v>
      </c>
      <c r="CK51" s="21">
        <f t="shared" si="44"/>
        <v>0</v>
      </c>
      <c r="CL51" s="21">
        <f t="shared" si="44"/>
        <v>0</v>
      </c>
      <c r="CM51" s="21">
        <f t="shared" si="44"/>
        <v>0</v>
      </c>
      <c r="CN51" s="21">
        <f t="shared" si="44"/>
        <v>0</v>
      </c>
      <c r="CO51" s="21">
        <f t="shared" si="44"/>
        <v>0</v>
      </c>
      <c r="CP51" s="21">
        <f t="shared" si="44"/>
        <v>0</v>
      </c>
      <c r="CQ51" s="21">
        <f t="shared" si="44"/>
        <v>0</v>
      </c>
      <c r="CR51" s="21">
        <f t="shared" si="44"/>
        <v>0</v>
      </c>
      <c r="CS51" s="21">
        <f t="shared" si="44"/>
        <v>0</v>
      </c>
      <c r="CT51" s="21">
        <f t="shared" si="44"/>
        <v>0</v>
      </c>
      <c r="CU51" s="21">
        <f t="shared" si="44"/>
        <v>0</v>
      </c>
      <c r="CV51" s="21">
        <f t="shared" si="44"/>
        <v>0</v>
      </c>
      <c r="CW51" s="21">
        <f t="shared" ref="CW51:DU51" si="45">CW23</f>
        <v>0</v>
      </c>
      <c r="CX51" s="21">
        <f t="shared" si="45"/>
        <v>0</v>
      </c>
      <c r="CY51" s="21">
        <f t="shared" si="45"/>
        <v>0</v>
      </c>
      <c r="CZ51" s="21">
        <f t="shared" si="45"/>
        <v>0</v>
      </c>
      <c r="DA51" s="21">
        <f t="shared" si="45"/>
        <v>0</v>
      </c>
      <c r="DB51" s="21">
        <f t="shared" si="45"/>
        <v>0</v>
      </c>
      <c r="DC51" s="21">
        <f t="shared" si="45"/>
        <v>0</v>
      </c>
      <c r="DD51" s="21">
        <f t="shared" si="45"/>
        <v>0</v>
      </c>
      <c r="DE51" s="21">
        <f t="shared" si="45"/>
        <v>0</v>
      </c>
      <c r="DF51" s="21">
        <f t="shared" si="45"/>
        <v>0</v>
      </c>
      <c r="DG51" s="21">
        <f t="shared" si="45"/>
        <v>0</v>
      </c>
      <c r="DH51" s="21">
        <f t="shared" si="45"/>
        <v>0</v>
      </c>
      <c r="DI51" s="21">
        <f t="shared" si="45"/>
        <v>0</v>
      </c>
      <c r="DJ51" s="21">
        <f t="shared" si="45"/>
        <v>0</v>
      </c>
      <c r="DK51" s="21">
        <f t="shared" si="45"/>
        <v>0</v>
      </c>
      <c r="DL51" s="21">
        <f t="shared" si="45"/>
        <v>0</v>
      </c>
      <c r="DM51" s="21">
        <f t="shared" si="45"/>
        <v>0</v>
      </c>
      <c r="DN51" s="21">
        <f t="shared" si="45"/>
        <v>0</v>
      </c>
      <c r="DO51" s="21">
        <f t="shared" si="45"/>
        <v>0</v>
      </c>
      <c r="DP51" s="21">
        <f t="shared" si="45"/>
        <v>0</v>
      </c>
      <c r="DQ51" s="21">
        <f t="shared" si="45"/>
        <v>0</v>
      </c>
      <c r="DR51" s="21">
        <f t="shared" si="45"/>
        <v>0</v>
      </c>
      <c r="DS51" s="21">
        <f t="shared" si="45"/>
        <v>0</v>
      </c>
      <c r="DT51" s="21">
        <f t="shared" si="45"/>
        <v>0</v>
      </c>
      <c r="DU51" s="21">
        <f t="shared" si="45"/>
        <v>0</v>
      </c>
    </row>
    <row r="52" spans="3:125" s="3" customFormat="1" ht="22.95" customHeight="1">
      <c r="C52" s="3" t="s">
        <v>240</v>
      </c>
      <c r="D52" s="25">
        <f>SUM(E52:DU52)</f>
        <v>75000</v>
      </c>
      <c r="E52" s="21">
        <f t="shared" ref="E52:AJ52" si="46">E24</f>
        <v>0</v>
      </c>
      <c r="F52" s="21">
        <f t="shared" si="46"/>
        <v>0</v>
      </c>
      <c r="G52" s="21">
        <f t="shared" si="46"/>
        <v>0</v>
      </c>
      <c r="H52" s="21">
        <f t="shared" si="46"/>
        <v>0</v>
      </c>
      <c r="I52" s="21">
        <f t="shared" si="46"/>
        <v>0</v>
      </c>
      <c r="J52" s="21">
        <f t="shared" si="46"/>
        <v>0</v>
      </c>
      <c r="K52" s="21">
        <f t="shared" si="46"/>
        <v>6250</v>
      </c>
      <c r="L52" s="21">
        <f t="shared" si="46"/>
        <v>6250</v>
      </c>
      <c r="M52" s="21">
        <f t="shared" si="46"/>
        <v>6250</v>
      </c>
      <c r="N52" s="21">
        <f t="shared" si="46"/>
        <v>6250</v>
      </c>
      <c r="O52" s="21">
        <f t="shared" si="46"/>
        <v>6250</v>
      </c>
      <c r="P52" s="21">
        <f t="shared" si="46"/>
        <v>6250</v>
      </c>
      <c r="Q52" s="21">
        <f t="shared" si="46"/>
        <v>6250</v>
      </c>
      <c r="R52" s="21">
        <f t="shared" si="46"/>
        <v>6250</v>
      </c>
      <c r="S52" s="21">
        <f t="shared" si="46"/>
        <v>6250</v>
      </c>
      <c r="T52" s="21">
        <f t="shared" si="46"/>
        <v>6250</v>
      </c>
      <c r="U52" s="21">
        <f t="shared" si="46"/>
        <v>6250</v>
      </c>
      <c r="V52" s="21">
        <f t="shared" si="46"/>
        <v>6250</v>
      </c>
      <c r="W52" s="21">
        <f t="shared" si="46"/>
        <v>0</v>
      </c>
      <c r="X52" s="21">
        <f t="shared" si="46"/>
        <v>0</v>
      </c>
      <c r="Y52" s="21">
        <f t="shared" si="46"/>
        <v>0</v>
      </c>
      <c r="Z52" s="21">
        <f t="shared" si="46"/>
        <v>0</v>
      </c>
      <c r="AA52" s="21">
        <f t="shared" si="46"/>
        <v>0</v>
      </c>
      <c r="AB52" s="21">
        <f t="shared" si="46"/>
        <v>0</v>
      </c>
      <c r="AC52" s="21">
        <f t="shared" si="46"/>
        <v>0</v>
      </c>
      <c r="AD52" s="21">
        <f t="shared" si="46"/>
        <v>0</v>
      </c>
      <c r="AE52" s="21">
        <f t="shared" si="46"/>
        <v>0</v>
      </c>
      <c r="AF52" s="21">
        <f t="shared" si="46"/>
        <v>0</v>
      </c>
      <c r="AG52" s="21">
        <f t="shared" si="46"/>
        <v>0</v>
      </c>
      <c r="AH52" s="21">
        <f t="shared" si="46"/>
        <v>0</v>
      </c>
      <c r="AI52" s="21">
        <f t="shared" si="46"/>
        <v>0</v>
      </c>
      <c r="AJ52" s="21">
        <f t="shared" si="46"/>
        <v>0</v>
      </c>
      <c r="AK52" s="21">
        <f t="shared" ref="AK52:BP52" si="47">AK24</f>
        <v>0</v>
      </c>
      <c r="AL52" s="21">
        <f t="shared" si="47"/>
        <v>0</v>
      </c>
      <c r="AM52" s="21">
        <f t="shared" si="47"/>
        <v>0</v>
      </c>
      <c r="AN52" s="21">
        <f t="shared" si="47"/>
        <v>0</v>
      </c>
      <c r="AO52" s="21">
        <f t="shared" si="47"/>
        <v>0</v>
      </c>
      <c r="AP52" s="21">
        <f t="shared" si="47"/>
        <v>0</v>
      </c>
      <c r="AQ52" s="21">
        <f t="shared" si="47"/>
        <v>0</v>
      </c>
      <c r="AR52" s="21">
        <f t="shared" si="47"/>
        <v>0</v>
      </c>
      <c r="AS52" s="21">
        <f t="shared" si="47"/>
        <v>0</v>
      </c>
      <c r="AT52" s="21">
        <f t="shared" si="47"/>
        <v>0</v>
      </c>
      <c r="AU52" s="21">
        <f t="shared" si="47"/>
        <v>0</v>
      </c>
      <c r="AV52" s="21">
        <f t="shared" si="47"/>
        <v>0</v>
      </c>
      <c r="AW52" s="21">
        <f t="shared" si="47"/>
        <v>0</v>
      </c>
      <c r="AX52" s="21">
        <f t="shared" si="47"/>
        <v>0</v>
      </c>
      <c r="AY52" s="21">
        <f t="shared" si="47"/>
        <v>0</v>
      </c>
      <c r="AZ52" s="21">
        <f t="shared" si="47"/>
        <v>0</v>
      </c>
      <c r="BA52" s="21">
        <f t="shared" si="47"/>
        <v>0</v>
      </c>
      <c r="BB52" s="21">
        <f t="shared" si="47"/>
        <v>0</v>
      </c>
      <c r="BC52" s="21">
        <f t="shared" si="47"/>
        <v>0</v>
      </c>
      <c r="BD52" s="21">
        <f t="shared" si="47"/>
        <v>0</v>
      </c>
      <c r="BE52" s="21">
        <f t="shared" si="47"/>
        <v>0</v>
      </c>
      <c r="BF52" s="21">
        <f t="shared" si="47"/>
        <v>0</v>
      </c>
      <c r="BG52" s="21">
        <f t="shared" si="47"/>
        <v>0</v>
      </c>
      <c r="BH52" s="21">
        <f t="shared" si="47"/>
        <v>0</v>
      </c>
      <c r="BI52" s="21">
        <f t="shared" si="47"/>
        <v>0</v>
      </c>
      <c r="BJ52" s="21">
        <f t="shared" si="47"/>
        <v>0</v>
      </c>
      <c r="BK52" s="21">
        <f t="shared" si="47"/>
        <v>0</v>
      </c>
      <c r="BL52" s="21">
        <f t="shared" si="47"/>
        <v>0</v>
      </c>
      <c r="BM52" s="21">
        <f t="shared" si="47"/>
        <v>0</v>
      </c>
      <c r="BN52" s="21">
        <f t="shared" si="47"/>
        <v>0</v>
      </c>
      <c r="BO52" s="21">
        <f t="shared" si="47"/>
        <v>0</v>
      </c>
      <c r="BP52" s="21">
        <f t="shared" si="47"/>
        <v>0</v>
      </c>
      <c r="BQ52" s="21">
        <f t="shared" ref="BQ52:CV52" si="48">BQ24</f>
        <v>0</v>
      </c>
      <c r="BR52" s="21">
        <f t="shared" si="48"/>
        <v>0</v>
      </c>
      <c r="BS52" s="21">
        <f t="shared" si="48"/>
        <v>0</v>
      </c>
      <c r="BT52" s="21">
        <f t="shared" si="48"/>
        <v>0</v>
      </c>
      <c r="BU52" s="21">
        <f t="shared" si="48"/>
        <v>0</v>
      </c>
      <c r="BV52" s="21">
        <f t="shared" si="48"/>
        <v>0</v>
      </c>
      <c r="BW52" s="21">
        <f t="shared" si="48"/>
        <v>0</v>
      </c>
      <c r="BX52" s="21">
        <f t="shared" si="48"/>
        <v>0</v>
      </c>
      <c r="BY52" s="21">
        <f t="shared" si="48"/>
        <v>0</v>
      </c>
      <c r="BZ52" s="21">
        <f t="shared" si="48"/>
        <v>0</v>
      </c>
      <c r="CA52" s="21">
        <f t="shared" si="48"/>
        <v>0</v>
      </c>
      <c r="CB52" s="21">
        <f t="shared" si="48"/>
        <v>0</v>
      </c>
      <c r="CC52" s="21">
        <f t="shared" si="48"/>
        <v>0</v>
      </c>
      <c r="CD52" s="21">
        <f t="shared" si="48"/>
        <v>0</v>
      </c>
      <c r="CE52" s="21">
        <f t="shared" si="48"/>
        <v>0</v>
      </c>
      <c r="CF52" s="21">
        <f t="shared" si="48"/>
        <v>0</v>
      </c>
      <c r="CG52" s="21">
        <f t="shared" si="48"/>
        <v>0</v>
      </c>
      <c r="CH52" s="21">
        <f t="shared" si="48"/>
        <v>0</v>
      </c>
      <c r="CI52" s="21">
        <f t="shared" si="48"/>
        <v>0</v>
      </c>
      <c r="CJ52" s="21">
        <f t="shared" si="48"/>
        <v>0</v>
      </c>
      <c r="CK52" s="21">
        <f t="shared" si="48"/>
        <v>0</v>
      </c>
      <c r="CL52" s="21">
        <f t="shared" si="48"/>
        <v>0</v>
      </c>
      <c r="CM52" s="21">
        <f t="shared" si="48"/>
        <v>0</v>
      </c>
      <c r="CN52" s="21">
        <f t="shared" si="48"/>
        <v>0</v>
      </c>
      <c r="CO52" s="21">
        <f t="shared" si="48"/>
        <v>0</v>
      </c>
      <c r="CP52" s="21">
        <f t="shared" si="48"/>
        <v>0</v>
      </c>
      <c r="CQ52" s="21">
        <f t="shared" si="48"/>
        <v>0</v>
      </c>
      <c r="CR52" s="21">
        <f t="shared" si="48"/>
        <v>0</v>
      </c>
      <c r="CS52" s="21">
        <f t="shared" si="48"/>
        <v>0</v>
      </c>
      <c r="CT52" s="21">
        <f t="shared" si="48"/>
        <v>0</v>
      </c>
      <c r="CU52" s="21">
        <f t="shared" si="48"/>
        <v>0</v>
      </c>
      <c r="CV52" s="21">
        <f t="shared" si="48"/>
        <v>0</v>
      </c>
      <c r="CW52" s="21">
        <f t="shared" ref="CW52:DU52" si="49">CW24</f>
        <v>0</v>
      </c>
      <c r="CX52" s="21">
        <f t="shared" si="49"/>
        <v>0</v>
      </c>
      <c r="CY52" s="21">
        <f t="shared" si="49"/>
        <v>0</v>
      </c>
      <c r="CZ52" s="21">
        <f t="shared" si="49"/>
        <v>0</v>
      </c>
      <c r="DA52" s="21">
        <f t="shared" si="49"/>
        <v>0</v>
      </c>
      <c r="DB52" s="21">
        <f t="shared" si="49"/>
        <v>0</v>
      </c>
      <c r="DC52" s="21">
        <f t="shared" si="49"/>
        <v>0</v>
      </c>
      <c r="DD52" s="21">
        <f t="shared" si="49"/>
        <v>0</v>
      </c>
      <c r="DE52" s="21">
        <f t="shared" si="49"/>
        <v>0</v>
      </c>
      <c r="DF52" s="21">
        <f t="shared" si="49"/>
        <v>0</v>
      </c>
      <c r="DG52" s="21">
        <f t="shared" si="49"/>
        <v>0</v>
      </c>
      <c r="DH52" s="21">
        <f t="shared" si="49"/>
        <v>0</v>
      </c>
      <c r="DI52" s="21">
        <f t="shared" si="49"/>
        <v>0</v>
      </c>
      <c r="DJ52" s="21">
        <f t="shared" si="49"/>
        <v>0</v>
      </c>
      <c r="DK52" s="21">
        <f t="shared" si="49"/>
        <v>0</v>
      </c>
      <c r="DL52" s="21">
        <f t="shared" si="49"/>
        <v>0</v>
      </c>
      <c r="DM52" s="21">
        <f t="shared" si="49"/>
        <v>0</v>
      </c>
      <c r="DN52" s="21">
        <f t="shared" si="49"/>
        <v>0</v>
      </c>
      <c r="DO52" s="21">
        <f t="shared" si="49"/>
        <v>0</v>
      </c>
      <c r="DP52" s="21">
        <f t="shared" si="49"/>
        <v>0</v>
      </c>
      <c r="DQ52" s="21">
        <f t="shared" si="49"/>
        <v>0</v>
      </c>
      <c r="DR52" s="21">
        <f t="shared" si="49"/>
        <v>0</v>
      </c>
      <c r="DS52" s="21">
        <f t="shared" si="49"/>
        <v>0</v>
      </c>
      <c r="DT52" s="21">
        <f t="shared" si="49"/>
        <v>0</v>
      </c>
      <c r="DU52" s="21">
        <f t="shared" si="49"/>
        <v>0</v>
      </c>
    </row>
    <row r="53" spans="3:125" s="3" customFormat="1" ht="22.95" customHeight="1">
      <c r="C53" s="106" t="s">
        <v>237</v>
      </c>
      <c r="D53" s="107">
        <f>SUM(E53:DU53)</f>
        <v>104999.99999999999</v>
      </c>
      <c r="E53" s="108">
        <f t="shared" ref="E53:AJ53" si="50">SUM(E50:E52)</f>
        <v>46666.666666666664</v>
      </c>
      <c r="F53" s="108">
        <f t="shared" si="50"/>
        <v>-3333.3333333333335</v>
      </c>
      <c r="G53" s="108">
        <f t="shared" si="50"/>
        <v>-3333.3333333333335</v>
      </c>
      <c r="H53" s="108">
        <f t="shared" si="50"/>
        <v>-3333.3333333333335</v>
      </c>
      <c r="I53" s="108">
        <f t="shared" si="50"/>
        <v>-3333.3333333333335</v>
      </c>
      <c r="J53" s="108">
        <f t="shared" si="50"/>
        <v>-3333.3333333333335</v>
      </c>
      <c r="K53" s="108">
        <f t="shared" si="50"/>
        <v>6250</v>
      </c>
      <c r="L53" s="108">
        <f t="shared" si="50"/>
        <v>6250</v>
      </c>
      <c r="M53" s="108">
        <f t="shared" si="50"/>
        <v>6250</v>
      </c>
      <c r="N53" s="108">
        <f t="shared" si="50"/>
        <v>6250</v>
      </c>
      <c r="O53" s="108">
        <f t="shared" si="50"/>
        <v>6250</v>
      </c>
      <c r="P53" s="108">
        <f t="shared" si="50"/>
        <v>6250</v>
      </c>
      <c r="Q53" s="108">
        <f t="shared" si="50"/>
        <v>6250</v>
      </c>
      <c r="R53" s="108">
        <f t="shared" si="50"/>
        <v>6250</v>
      </c>
      <c r="S53" s="108">
        <f t="shared" si="50"/>
        <v>6250</v>
      </c>
      <c r="T53" s="108">
        <f t="shared" si="50"/>
        <v>6250</v>
      </c>
      <c r="U53" s="108">
        <f t="shared" si="50"/>
        <v>6250</v>
      </c>
      <c r="V53" s="108">
        <f t="shared" si="50"/>
        <v>6250</v>
      </c>
      <c r="W53" s="108">
        <f t="shared" si="50"/>
        <v>0</v>
      </c>
      <c r="X53" s="108">
        <f t="shared" si="50"/>
        <v>0</v>
      </c>
      <c r="Y53" s="108">
        <f t="shared" si="50"/>
        <v>0</v>
      </c>
      <c r="Z53" s="108">
        <f t="shared" si="50"/>
        <v>0</v>
      </c>
      <c r="AA53" s="108">
        <f t="shared" si="50"/>
        <v>0</v>
      </c>
      <c r="AB53" s="108">
        <f t="shared" si="50"/>
        <v>0</v>
      </c>
      <c r="AC53" s="108">
        <f t="shared" si="50"/>
        <v>0</v>
      </c>
      <c r="AD53" s="108">
        <f t="shared" si="50"/>
        <v>0</v>
      </c>
      <c r="AE53" s="108">
        <f t="shared" si="50"/>
        <v>0</v>
      </c>
      <c r="AF53" s="108">
        <f t="shared" si="50"/>
        <v>0</v>
      </c>
      <c r="AG53" s="108">
        <f t="shared" si="50"/>
        <v>0</v>
      </c>
      <c r="AH53" s="108">
        <f t="shared" si="50"/>
        <v>0</v>
      </c>
      <c r="AI53" s="108">
        <f t="shared" si="50"/>
        <v>0</v>
      </c>
      <c r="AJ53" s="108">
        <f t="shared" si="50"/>
        <v>0</v>
      </c>
      <c r="AK53" s="108">
        <f t="shared" ref="AK53:BP53" si="51">SUM(AK50:AK52)</f>
        <v>0</v>
      </c>
      <c r="AL53" s="108">
        <f t="shared" si="51"/>
        <v>0</v>
      </c>
      <c r="AM53" s="108">
        <f t="shared" si="51"/>
        <v>0</v>
      </c>
      <c r="AN53" s="108">
        <f t="shared" si="51"/>
        <v>0</v>
      </c>
      <c r="AO53" s="108">
        <f t="shared" si="51"/>
        <v>0</v>
      </c>
      <c r="AP53" s="108">
        <f t="shared" si="51"/>
        <v>0</v>
      </c>
      <c r="AQ53" s="108">
        <f t="shared" si="51"/>
        <v>0</v>
      </c>
      <c r="AR53" s="108">
        <f t="shared" si="51"/>
        <v>0</v>
      </c>
      <c r="AS53" s="108">
        <f t="shared" si="51"/>
        <v>0</v>
      </c>
      <c r="AT53" s="108">
        <f t="shared" si="51"/>
        <v>0</v>
      </c>
      <c r="AU53" s="108">
        <f t="shared" si="51"/>
        <v>0</v>
      </c>
      <c r="AV53" s="108">
        <f t="shared" si="51"/>
        <v>0</v>
      </c>
      <c r="AW53" s="108">
        <f t="shared" si="51"/>
        <v>0</v>
      </c>
      <c r="AX53" s="108">
        <f t="shared" si="51"/>
        <v>0</v>
      </c>
      <c r="AY53" s="108">
        <f t="shared" si="51"/>
        <v>0</v>
      </c>
      <c r="AZ53" s="108">
        <f t="shared" si="51"/>
        <v>0</v>
      </c>
      <c r="BA53" s="108">
        <f t="shared" si="51"/>
        <v>0</v>
      </c>
      <c r="BB53" s="108">
        <f t="shared" si="51"/>
        <v>0</v>
      </c>
      <c r="BC53" s="108">
        <f t="shared" si="51"/>
        <v>0</v>
      </c>
      <c r="BD53" s="108">
        <f t="shared" si="51"/>
        <v>0</v>
      </c>
      <c r="BE53" s="108">
        <f t="shared" si="51"/>
        <v>0</v>
      </c>
      <c r="BF53" s="108">
        <f t="shared" si="51"/>
        <v>0</v>
      </c>
      <c r="BG53" s="108">
        <f t="shared" si="51"/>
        <v>0</v>
      </c>
      <c r="BH53" s="108">
        <f t="shared" si="51"/>
        <v>0</v>
      </c>
      <c r="BI53" s="108">
        <f t="shared" si="51"/>
        <v>0</v>
      </c>
      <c r="BJ53" s="108">
        <f t="shared" si="51"/>
        <v>0</v>
      </c>
      <c r="BK53" s="108">
        <f t="shared" si="51"/>
        <v>0</v>
      </c>
      <c r="BL53" s="108">
        <f t="shared" si="51"/>
        <v>0</v>
      </c>
      <c r="BM53" s="108">
        <f t="shared" si="51"/>
        <v>0</v>
      </c>
      <c r="BN53" s="108">
        <f t="shared" si="51"/>
        <v>0</v>
      </c>
      <c r="BO53" s="108">
        <f t="shared" si="51"/>
        <v>0</v>
      </c>
      <c r="BP53" s="108">
        <f t="shared" si="51"/>
        <v>0</v>
      </c>
      <c r="BQ53" s="108">
        <f t="shared" ref="BQ53:CV53" si="52">SUM(BQ50:BQ52)</f>
        <v>0</v>
      </c>
      <c r="BR53" s="108">
        <f t="shared" si="52"/>
        <v>0</v>
      </c>
      <c r="BS53" s="108">
        <f t="shared" si="52"/>
        <v>0</v>
      </c>
      <c r="BT53" s="108">
        <f t="shared" si="52"/>
        <v>0</v>
      </c>
      <c r="BU53" s="108">
        <f t="shared" si="52"/>
        <v>0</v>
      </c>
      <c r="BV53" s="108">
        <f t="shared" si="52"/>
        <v>0</v>
      </c>
      <c r="BW53" s="108">
        <f t="shared" si="52"/>
        <v>0</v>
      </c>
      <c r="BX53" s="108">
        <f t="shared" si="52"/>
        <v>0</v>
      </c>
      <c r="BY53" s="108">
        <f t="shared" si="52"/>
        <v>0</v>
      </c>
      <c r="BZ53" s="108">
        <f t="shared" si="52"/>
        <v>0</v>
      </c>
      <c r="CA53" s="108">
        <f t="shared" si="52"/>
        <v>0</v>
      </c>
      <c r="CB53" s="108">
        <f t="shared" si="52"/>
        <v>0</v>
      </c>
      <c r="CC53" s="108">
        <f t="shared" si="52"/>
        <v>0</v>
      </c>
      <c r="CD53" s="108">
        <f t="shared" si="52"/>
        <v>0</v>
      </c>
      <c r="CE53" s="108">
        <f t="shared" si="52"/>
        <v>0</v>
      </c>
      <c r="CF53" s="108">
        <f t="shared" si="52"/>
        <v>0</v>
      </c>
      <c r="CG53" s="108">
        <f t="shared" si="52"/>
        <v>0</v>
      </c>
      <c r="CH53" s="108">
        <f t="shared" si="52"/>
        <v>0</v>
      </c>
      <c r="CI53" s="108">
        <f t="shared" si="52"/>
        <v>0</v>
      </c>
      <c r="CJ53" s="108">
        <f t="shared" si="52"/>
        <v>0</v>
      </c>
      <c r="CK53" s="108">
        <f t="shared" si="52"/>
        <v>0</v>
      </c>
      <c r="CL53" s="108">
        <f t="shared" si="52"/>
        <v>0</v>
      </c>
      <c r="CM53" s="108">
        <f t="shared" si="52"/>
        <v>0</v>
      </c>
      <c r="CN53" s="108">
        <f t="shared" si="52"/>
        <v>0</v>
      </c>
      <c r="CO53" s="108">
        <f t="shared" si="52"/>
        <v>0</v>
      </c>
      <c r="CP53" s="108">
        <f t="shared" si="52"/>
        <v>0</v>
      </c>
      <c r="CQ53" s="108">
        <f t="shared" si="52"/>
        <v>0</v>
      </c>
      <c r="CR53" s="108">
        <f t="shared" si="52"/>
        <v>0</v>
      </c>
      <c r="CS53" s="108">
        <f t="shared" si="52"/>
        <v>0</v>
      </c>
      <c r="CT53" s="108">
        <f t="shared" si="52"/>
        <v>0</v>
      </c>
      <c r="CU53" s="108">
        <f t="shared" si="52"/>
        <v>0</v>
      </c>
      <c r="CV53" s="108">
        <f t="shared" si="52"/>
        <v>0</v>
      </c>
      <c r="CW53" s="108">
        <f t="shared" ref="CW53:DU53" si="53">SUM(CW50:CW52)</f>
        <v>0</v>
      </c>
      <c r="CX53" s="108">
        <f t="shared" si="53"/>
        <v>0</v>
      </c>
      <c r="CY53" s="108">
        <f t="shared" si="53"/>
        <v>0</v>
      </c>
      <c r="CZ53" s="108">
        <f t="shared" si="53"/>
        <v>0</v>
      </c>
      <c r="DA53" s="108">
        <f t="shared" si="53"/>
        <v>0</v>
      </c>
      <c r="DB53" s="108">
        <f t="shared" si="53"/>
        <v>0</v>
      </c>
      <c r="DC53" s="108">
        <f t="shared" si="53"/>
        <v>0</v>
      </c>
      <c r="DD53" s="108">
        <f t="shared" si="53"/>
        <v>0</v>
      </c>
      <c r="DE53" s="108">
        <f t="shared" si="53"/>
        <v>0</v>
      </c>
      <c r="DF53" s="108">
        <f t="shared" si="53"/>
        <v>0</v>
      </c>
      <c r="DG53" s="108">
        <f t="shared" si="53"/>
        <v>0</v>
      </c>
      <c r="DH53" s="108">
        <f t="shared" si="53"/>
        <v>0</v>
      </c>
      <c r="DI53" s="108">
        <f t="shared" si="53"/>
        <v>0</v>
      </c>
      <c r="DJ53" s="108">
        <f t="shared" si="53"/>
        <v>0</v>
      </c>
      <c r="DK53" s="108">
        <f t="shared" si="53"/>
        <v>0</v>
      </c>
      <c r="DL53" s="108">
        <f t="shared" si="53"/>
        <v>0</v>
      </c>
      <c r="DM53" s="108">
        <f t="shared" si="53"/>
        <v>0</v>
      </c>
      <c r="DN53" s="108">
        <f t="shared" si="53"/>
        <v>0</v>
      </c>
      <c r="DO53" s="108">
        <f t="shared" si="53"/>
        <v>0</v>
      </c>
      <c r="DP53" s="108">
        <f t="shared" si="53"/>
        <v>0</v>
      </c>
      <c r="DQ53" s="108">
        <f t="shared" si="53"/>
        <v>0</v>
      </c>
      <c r="DR53" s="108">
        <f t="shared" si="53"/>
        <v>0</v>
      </c>
      <c r="DS53" s="108">
        <f t="shared" si="53"/>
        <v>0</v>
      </c>
      <c r="DT53" s="108">
        <f t="shared" si="53"/>
        <v>0</v>
      </c>
      <c r="DU53" s="108">
        <f t="shared" si="53"/>
        <v>0</v>
      </c>
    </row>
    <row r="54" spans="3:125" s="3" customFormat="1" ht="22.95" customHeight="1"/>
    <row r="55" spans="3:125" s="3" customFormat="1" ht="22.95" customHeight="1"/>
    <row r="56" spans="3:125" s="3" customFormat="1" ht="22.95" customHeight="1"/>
    <row r="57" spans="3:125" s="3" customFormat="1" ht="22.95" customHeight="1"/>
    <row r="58" spans="3:125" s="3" customFormat="1" ht="22.95" customHeight="1"/>
    <row r="59" spans="3:125" s="3" customFormat="1" ht="22.95" customHeight="1"/>
    <row r="60" spans="3:125" s="3" customFormat="1" ht="22.95" customHeight="1"/>
    <row r="61" spans="3:125" s="3" customFormat="1" ht="22.95" customHeight="1"/>
    <row r="62" spans="3:125" s="3" customFormat="1" ht="22.95" customHeight="1"/>
    <row r="63" spans="3:125" s="3" customFormat="1" ht="22.95" customHeight="1"/>
    <row r="64" spans="3:125" s="3" customFormat="1" ht="22.95" customHeight="1"/>
    <row r="65" s="3" customFormat="1" ht="22.95" customHeight="1"/>
    <row r="66" s="3" customFormat="1" ht="22.95" customHeight="1"/>
    <row r="67" s="3" customFormat="1" ht="22.95" customHeight="1"/>
    <row r="68" s="3" customFormat="1" ht="22.95" customHeight="1"/>
    <row r="69" s="3" customFormat="1" ht="22.95" customHeight="1"/>
    <row r="70" s="3" customFormat="1" ht="22.95" customHeight="1"/>
    <row r="71" s="3" customFormat="1" ht="22.95" customHeight="1"/>
    <row r="72" s="3" customFormat="1" ht="22.95" customHeight="1"/>
    <row r="73" s="3" customFormat="1" ht="22.95" customHeight="1"/>
    <row r="74" s="3" customFormat="1" ht="22.95" customHeight="1"/>
    <row r="75" s="3" customFormat="1" ht="22.95" customHeight="1"/>
    <row r="76" s="3" customFormat="1" ht="22.95" customHeight="1"/>
    <row r="77" s="3" customFormat="1" ht="22.95" customHeight="1"/>
    <row r="78" s="3" customFormat="1" ht="22.95" customHeight="1"/>
    <row r="79" s="3" customFormat="1" ht="22.95" customHeight="1"/>
    <row r="80" s="3" customFormat="1" ht="22.95" customHeight="1"/>
    <row r="81" s="3" customFormat="1" ht="22.95" customHeight="1"/>
    <row r="82" s="3" customFormat="1" ht="22.95" customHeight="1"/>
    <row r="83" s="3" customFormat="1" ht="22.95" customHeight="1"/>
    <row r="84" s="3" customFormat="1" ht="22.95" customHeight="1"/>
    <row r="85" s="3" customFormat="1" ht="22.95" customHeight="1"/>
    <row r="86" s="3" customFormat="1" ht="22.95" customHeight="1"/>
    <row r="87" s="3" customFormat="1" ht="22.95" customHeight="1"/>
    <row r="88" s="3" customFormat="1" ht="22.95" customHeight="1"/>
    <row r="89" s="3" customFormat="1" ht="22.95" customHeight="1"/>
    <row r="90" s="3" customFormat="1" ht="22.95" customHeight="1"/>
    <row r="91" s="3" customFormat="1" ht="22.95" customHeight="1"/>
    <row r="92" s="3" customFormat="1" ht="22.95" customHeight="1"/>
    <row r="93" s="3" customFormat="1" ht="22.95" customHeight="1"/>
    <row r="94" s="3" customFormat="1" ht="22.95" customHeight="1"/>
    <row r="95" s="3" customFormat="1" ht="22.95" customHeight="1"/>
    <row r="96" s="3" customFormat="1" ht="22.95" customHeight="1"/>
    <row r="97" s="3" customFormat="1" ht="22.95" customHeight="1"/>
    <row r="98" s="3" customFormat="1" ht="22.95" customHeight="1"/>
    <row r="99" s="3" customFormat="1" ht="22.95" customHeight="1"/>
    <row r="100" s="3" customFormat="1" ht="22.95" customHeight="1"/>
    <row r="101" s="3" customFormat="1" ht="22.95" customHeight="1"/>
    <row r="102" s="3" customFormat="1" ht="22.95" customHeight="1"/>
    <row r="103" s="3" customFormat="1" ht="22.95" customHeight="1"/>
    <row r="104" s="3" customFormat="1" ht="22.95" customHeight="1"/>
    <row r="105" s="3" customFormat="1" ht="22.95" customHeight="1"/>
    <row r="106" s="3" customFormat="1" ht="22.95" customHeight="1"/>
    <row r="107" s="3" customFormat="1" ht="22.95" customHeight="1"/>
    <row r="108" s="3" customFormat="1" ht="22.95" customHeight="1"/>
    <row r="109" s="3" customFormat="1" ht="22.95" customHeight="1"/>
    <row r="110" s="3" customFormat="1" ht="22.95" customHeight="1"/>
    <row r="111" s="3" customFormat="1" ht="22.95" customHeight="1"/>
    <row r="112" s="3" customFormat="1" ht="22.95" customHeight="1"/>
    <row r="113" s="3" customFormat="1" ht="22.95" customHeight="1"/>
    <row r="114" s="3" customFormat="1" ht="22.95" customHeight="1"/>
    <row r="115" s="3" customFormat="1" ht="22.95" customHeight="1"/>
    <row r="116" s="3" customFormat="1" ht="22.95" customHeight="1"/>
    <row r="117" s="3" customFormat="1" ht="22.95" customHeight="1"/>
    <row r="118" s="3" customFormat="1" ht="22.95" customHeight="1"/>
    <row r="119" s="3" customFormat="1" ht="22.95" customHeight="1"/>
    <row r="120" s="3" customFormat="1" ht="22.95" customHeight="1"/>
    <row r="121" s="3" customFormat="1" ht="22.95" customHeight="1"/>
    <row r="122" s="3" customFormat="1" ht="22.95" customHeight="1"/>
    <row r="123" s="3" customFormat="1" ht="22.95" customHeight="1"/>
    <row r="124" s="3" customFormat="1" ht="22.95" customHeight="1"/>
    <row r="125" s="3" customFormat="1" ht="22.95" customHeight="1"/>
    <row r="126" s="3" customFormat="1" ht="22.95" customHeight="1"/>
    <row r="127" s="3" customFormat="1" ht="22.95" customHeight="1"/>
    <row r="128" s="3" customFormat="1" ht="22.95" customHeight="1"/>
    <row r="129" s="3" customFormat="1" ht="22.95" customHeight="1"/>
    <row r="130" s="3" customFormat="1" ht="22.95" customHeight="1"/>
    <row r="131" s="3" customFormat="1" ht="22.95" customHeight="1"/>
    <row r="132" s="3" customFormat="1" ht="22.95" customHeight="1"/>
    <row r="133" s="3" customFormat="1" ht="22.95" customHeight="1"/>
    <row r="134" s="3" customFormat="1" ht="22.95" customHeight="1"/>
    <row r="135" s="3" customFormat="1" ht="22.95" customHeight="1"/>
    <row r="136" s="3" customFormat="1" ht="22.95" customHeight="1"/>
    <row r="137" s="3" customFormat="1" ht="22.95" customHeight="1"/>
    <row r="138" s="3" customFormat="1" ht="22.95" customHeight="1"/>
    <row r="139" s="3" customFormat="1" ht="22.95" customHeight="1"/>
    <row r="140" s="3" customFormat="1" ht="22.95" customHeight="1"/>
    <row r="141" s="3" customFormat="1" ht="22.95" customHeight="1"/>
    <row r="142" s="3" customFormat="1" ht="22.95" customHeight="1"/>
    <row r="143" s="3" customFormat="1" ht="22.95" customHeight="1"/>
    <row r="144" s="3" customFormat="1" ht="22.95" customHeight="1"/>
    <row r="145" s="3" customFormat="1" ht="22.95" customHeight="1"/>
    <row r="146" s="3" customFormat="1" ht="22.95" customHeight="1"/>
    <row r="147" s="3" customFormat="1" ht="22.95" customHeight="1"/>
    <row r="148" s="3" customFormat="1" ht="22.95" customHeight="1"/>
    <row r="149" s="3" customFormat="1" ht="22.95" customHeight="1"/>
    <row r="150" s="3" customFormat="1" ht="22.95" customHeight="1"/>
    <row r="151" s="3" customFormat="1" ht="22.95" customHeight="1"/>
    <row r="152" s="3" customFormat="1" ht="22.95" customHeight="1"/>
    <row r="153" s="3" customFormat="1" ht="22.95" customHeight="1"/>
    <row r="154" s="3" customFormat="1" ht="22.95" customHeight="1"/>
    <row r="155" s="3" customFormat="1" ht="22.95" customHeight="1"/>
    <row r="156" s="3" customFormat="1" ht="22.95" customHeight="1"/>
    <row r="157" s="3" customFormat="1" ht="22.95" customHeight="1"/>
    <row r="158" s="3" customFormat="1" ht="22.95" customHeight="1"/>
    <row r="159" s="3" customFormat="1" ht="22.95" customHeight="1"/>
    <row r="160" s="3" customFormat="1" ht="22.95" customHeight="1"/>
    <row r="161" s="3" customFormat="1" ht="22.95" customHeight="1"/>
    <row r="162" s="3" customFormat="1" ht="22.95" customHeight="1"/>
    <row r="163" s="3" customFormat="1" ht="22.95" customHeight="1"/>
    <row r="164" s="3" customFormat="1" ht="22.95" customHeight="1"/>
    <row r="165" s="3" customFormat="1" ht="22.95" customHeight="1"/>
    <row r="166" s="3" customFormat="1" ht="22.95" customHeight="1"/>
    <row r="167" s="3" customFormat="1" ht="22.95" customHeight="1"/>
    <row r="168" s="3" customFormat="1" ht="22.95" customHeight="1"/>
    <row r="169" s="3" customFormat="1" ht="22.95" customHeight="1"/>
    <row r="170" s="3" customFormat="1" ht="22.95" customHeight="1"/>
    <row r="171" s="3" customFormat="1" ht="22.95" customHeight="1"/>
    <row r="172" s="3" customFormat="1" ht="22.95" customHeight="1"/>
    <row r="173" s="3" customFormat="1" ht="22.95" customHeight="1"/>
    <row r="174" s="3" customFormat="1" ht="22.95" customHeight="1"/>
    <row r="175" s="3" customFormat="1" ht="22.95" customHeight="1"/>
    <row r="176" s="3" customFormat="1" ht="22.95" customHeight="1"/>
    <row r="177" s="3" customFormat="1" ht="22.95" customHeight="1"/>
    <row r="178" s="3" customFormat="1" ht="22.95" customHeight="1"/>
    <row r="179" s="3" customFormat="1" ht="22.95" customHeight="1"/>
    <row r="180" s="3" customFormat="1" ht="22.95" customHeight="1"/>
    <row r="181" s="3" customFormat="1" ht="22.95" customHeight="1"/>
    <row r="182" s="3" customFormat="1" ht="22.95" customHeight="1"/>
    <row r="183" s="3" customFormat="1" ht="22.95" customHeight="1"/>
    <row r="184" s="3" customFormat="1" ht="22.95" customHeight="1"/>
    <row r="185" s="3" customFormat="1" ht="22.95" customHeight="1"/>
    <row r="186" s="3" customFormat="1" ht="22.95" customHeight="1"/>
    <row r="187" s="3" customFormat="1" ht="22.95" customHeight="1"/>
    <row r="188" s="3" customFormat="1" ht="22.95" customHeight="1"/>
    <row r="189" s="3" customFormat="1" ht="22.95" customHeight="1"/>
    <row r="190" s="3" customFormat="1" ht="22.95" customHeight="1"/>
    <row r="191" s="3" customFormat="1" ht="22.95" customHeight="1"/>
    <row r="192" s="3" customFormat="1" ht="22.95" customHeight="1"/>
    <row r="193" s="3" customFormat="1" ht="22.95" customHeight="1"/>
    <row r="194" s="3" customFormat="1" ht="22.95" customHeight="1"/>
    <row r="195" s="3" customFormat="1" ht="22.95" customHeight="1"/>
    <row r="196" s="3" customFormat="1" ht="22.95" customHeight="1"/>
    <row r="197" s="3" customFormat="1" ht="22.95" customHeight="1"/>
    <row r="198" s="3" customFormat="1" ht="22.95" customHeight="1"/>
    <row r="199" s="3" customFormat="1" ht="22.95" customHeight="1"/>
    <row r="200" s="3" customFormat="1" ht="22.95" customHeight="1"/>
    <row r="201" s="3" customFormat="1" ht="22.95" customHeight="1"/>
    <row r="202" s="3" customFormat="1" ht="22.95" customHeight="1"/>
    <row r="203" s="3" customFormat="1" ht="22.95" customHeight="1"/>
    <row r="204" s="3" customFormat="1" ht="22.95" customHeight="1"/>
    <row r="205" s="3" customFormat="1" ht="22.95" customHeight="1"/>
    <row r="206" s="3" customFormat="1" ht="22.95" customHeight="1"/>
    <row r="207" s="3" customFormat="1" ht="22.95" customHeight="1"/>
    <row r="208" s="3" customFormat="1" ht="22.95" customHeight="1"/>
    <row r="209" s="3" customFormat="1" ht="22.95" customHeight="1"/>
    <row r="210" s="3" customFormat="1" ht="22.95" customHeight="1"/>
    <row r="211" s="3" customFormat="1" ht="22.95" customHeight="1"/>
    <row r="212" s="3" customFormat="1" ht="22.95" customHeight="1"/>
    <row r="213" s="3" customFormat="1" ht="22.95" customHeight="1"/>
    <row r="214" s="3" customFormat="1" ht="22.95" customHeight="1"/>
    <row r="215" s="3" customFormat="1" ht="22.95" customHeight="1"/>
    <row r="216" s="3" customFormat="1" ht="22.95" customHeight="1"/>
    <row r="217" s="3" customFormat="1" ht="22.95" customHeight="1"/>
    <row r="218" s="3" customFormat="1" ht="22.95" customHeight="1"/>
    <row r="219" s="3" customFormat="1" ht="22.95" customHeight="1"/>
    <row r="220" s="3" customFormat="1" ht="22.95" customHeight="1"/>
    <row r="221" s="3" customFormat="1" ht="22.95" customHeight="1"/>
    <row r="222" s="3" customFormat="1" ht="22.95" customHeight="1"/>
    <row r="223" s="3" customFormat="1" ht="22.95" customHeight="1"/>
    <row r="224" s="3" customFormat="1" ht="22.95" customHeight="1"/>
    <row r="225" s="3" customFormat="1" ht="22.95" customHeight="1"/>
    <row r="226" s="3" customFormat="1" ht="22.95" customHeight="1"/>
    <row r="227" s="3" customFormat="1" ht="22.95" customHeight="1"/>
    <row r="228" s="3" customFormat="1" ht="22.95" customHeight="1"/>
    <row r="229" s="3" customFormat="1" ht="22.95"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89996032593768116"/>
  </sheetPr>
  <dimension ref="C1:DU215"/>
  <sheetViews>
    <sheetView workbookViewId="0"/>
  </sheetViews>
  <sheetFormatPr baseColWidth="10" defaultColWidth="10.796875" defaultRowHeight="13.8"/>
  <cols>
    <col min="1" max="2" width="2.5" style="2" customWidth="1"/>
    <col min="3" max="3" width="36.69921875" style="2" customWidth="1"/>
    <col min="4" max="7" width="10.796875" style="2" customWidth="1"/>
    <col min="8" max="16384" width="10.796875" style="2"/>
  </cols>
  <sheetData>
    <row r="1" spans="3:125" s="3" customFormat="1" ht="22.95" customHeight="1"/>
    <row r="2" spans="3:125" s="3" customFormat="1" ht="22.95" customHeight="1"/>
    <row r="3" spans="3:125" s="3" customFormat="1" ht="22.95" customHeight="1">
      <c r="D3" s="57" t="s">
        <v>83</v>
      </c>
      <c r="E3" s="3">
        <f t="shared" ref="E3:AJ3" si="0">YEAR(E4)</f>
        <v>2026</v>
      </c>
      <c r="F3" s="3">
        <f t="shared" si="0"/>
        <v>2027</v>
      </c>
      <c r="G3" s="3">
        <f t="shared" si="0"/>
        <v>2027</v>
      </c>
      <c r="H3" s="3">
        <f t="shared" si="0"/>
        <v>2027</v>
      </c>
      <c r="I3" s="3">
        <f t="shared" si="0"/>
        <v>2027</v>
      </c>
      <c r="J3" s="3">
        <f t="shared" si="0"/>
        <v>2027</v>
      </c>
      <c r="K3" s="3">
        <f t="shared" si="0"/>
        <v>2027</v>
      </c>
      <c r="L3" s="3">
        <f t="shared" si="0"/>
        <v>2027</v>
      </c>
      <c r="M3" s="3">
        <f t="shared" si="0"/>
        <v>2027</v>
      </c>
      <c r="N3" s="3">
        <f t="shared" si="0"/>
        <v>2027</v>
      </c>
      <c r="O3" s="3">
        <f t="shared" si="0"/>
        <v>2027</v>
      </c>
      <c r="P3" s="3">
        <f t="shared" si="0"/>
        <v>2027</v>
      </c>
      <c r="Q3" s="3">
        <f t="shared" si="0"/>
        <v>2027</v>
      </c>
      <c r="R3" s="3">
        <f t="shared" si="0"/>
        <v>2028</v>
      </c>
      <c r="S3" s="3">
        <f t="shared" si="0"/>
        <v>2028</v>
      </c>
      <c r="T3" s="3">
        <f t="shared" si="0"/>
        <v>2028</v>
      </c>
      <c r="U3" s="3">
        <f t="shared" si="0"/>
        <v>2028</v>
      </c>
      <c r="V3" s="3">
        <f t="shared" si="0"/>
        <v>2028</v>
      </c>
      <c r="W3" s="3">
        <f t="shared" si="0"/>
        <v>2028</v>
      </c>
      <c r="X3" s="3">
        <f t="shared" si="0"/>
        <v>2028</v>
      </c>
      <c r="Y3" s="3">
        <f t="shared" si="0"/>
        <v>2028</v>
      </c>
      <c r="Z3" s="3">
        <f t="shared" si="0"/>
        <v>2028</v>
      </c>
      <c r="AA3" s="3">
        <f t="shared" si="0"/>
        <v>2028</v>
      </c>
      <c r="AB3" s="3">
        <f t="shared" si="0"/>
        <v>2028</v>
      </c>
      <c r="AC3" s="3">
        <f t="shared" si="0"/>
        <v>2028</v>
      </c>
      <c r="AD3" s="3">
        <f t="shared" si="0"/>
        <v>2029</v>
      </c>
      <c r="AE3" s="3">
        <f t="shared" si="0"/>
        <v>2029</v>
      </c>
      <c r="AF3" s="3">
        <f t="shared" si="0"/>
        <v>2029</v>
      </c>
      <c r="AG3" s="3">
        <f t="shared" si="0"/>
        <v>2029</v>
      </c>
      <c r="AH3" s="3">
        <f t="shared" si="0"/>
        <v>2029</v>
      </c>
      <c r="AI3" s="3">
        <f t="shared" si="0"/>
        <v>2029</v>
      </c>
      <c r="AJ3" s="3">
        <f t="shared" si="0"/>
        <v>2029</v>
      </c>
      <c r="AK3" s="3">
        <f t="shared" ref="AK3:BP3" si="1">YEAR(AK4)</f>
        <v>2029</v>
      </c>
      <c r="AL3" s="3">
        <f t="shared" si="1"/>
        <v>2029</v>
      </c>
      <c r="AM3" s="3">
        <f t="shared" si="1"/>
        <v>2029</v>
      </c>
      <c r="AN3" s="3">
        <f t="shared" si="1"/>
        <v>2029</v>
      </c>
      <c r="AO3" s="3">
        <f t="shared" si="1"/>
        <v>2029</v>
      </c>
      <c r="AP3" s="3">
        <f t="shared" si="1"/>
        <v>2030</v>
      </c>
      <c r="AQ3" s="3">
        <f t="shared" si="1"/>
        <v>2030</v>
      </c>
      <c r="AR3" s="3">
        <f t="shared" si="1"/>
        <v>2030</v>
      </c>
      <c r="AS3" s="3">
        <f t="shared" si="1"/>
        <v>2030</v>
      </c>
      <c r="AT3" s="3">
        <f t="shared" si="1"/>
        <v>2030</v>
      </c>
      <c r="AU3" s="3">
        <f t="shared" si="1"/>
        <v>2030</v>
      </c>
      <c r="AV3" s="3">
        <f t="shared" si="1"/>
        <v>2030</v>
      </c>
      <c r="AW3" s="3">
        <f t="shared" si="1"/>
        <v>2030</v>
      </c>
      <c r="AX3" s="3">
        <f t="shared" si="1"/>
        <v>2030</v>
      </c>
      <c r="AY3" s="3">
        <f t="shared" si="1"/>
        <v>2030</v>
      </c>
      <c r="AZ3" s="3">
        <f t="shared" si="1"/>
        <v>2030</v>
      </c>
      <c r="BA3" s="3">
        <f t="shared" si="1"/>
        <v>2030</v>
      </c>
      <c r="BB3" s="3">
        <f t="shared" si="1"/>
        <v>2031</v>
      </c>
      <c r="BC3" s="3">
        <f t="shared" si="1"/>
        <v>2031</v>
      </c>
      <c r="BD3" s="3">
        <f t="shared" si="1"/>
        <v>2031</v>
      </c>
      <c r="BE3" s="3">
        <f t="shared" si="1"/>
        <v>2031</v>
      </c>
      <c r="BF3" s="3">
        <f t="shared" si="1"/>
        <v>2031</v>
      </c>
      <c r="BG3" s="3">
        <f t="shared" si="1"/>
        <v>2031</v>
      </c>
      <c r="BH3" s="3">
        <f t="shared" si="1"/>
        <v>2031</v>
      </c>
      <c r="BI3" s="3">
        <f t="shared" si="1"/>
        <v>2031</v>
      </c>
      <c r="BJ3" s="3">
        <f t="shared" si="1"/>
        <v>2031</v>
      </c>
      <c r="BK3" s="3">
        <f t="shared" si="1"/>
        <v>2031</v>
      </c>
      <c r="BL3" s="3">
        <f t="shared" si="1"/>
        <v>2031</v>
      </c>
      <c r="BM3" s="3">
        <f t="shared" si="1"/>
        <v>2031</v>
      </c>
      <c r="BN3" s="3">
        <f t="shared" si="1"/>
        <v>2032</v>
      </c>
      <c r="BO3" s="3">
        <f t="shared" si="1"/>
        <v>2032</v>
      </c>
      <c r="BP3" s="3">
        <f t="shared" si="1"/>
        <v>2032</v>
      </c>
      <c r="BQ3" s="3">
        <f t="shared" ref="BQ3:CV3" si="2">YEAR(BQ4)</f>
        <v>2032</v>
      </c>
      <c r="BR3" s="3">
        <f t="shared" si="2"/>
        <v>2032</v>
      </c>
      <c r="BS3" s="3">
        <f t="shared" si="2"/>
        <v>2032</v>
      </c>
      <c r="BT3" s="3">
        <f t="shared" si="2"/>
        <v>2032</v>
      </c>
      <c r="BU3" s="3">
        <f t="shared" si="2"/>
        <v>2032</v>
      </c>
      <c r="BV3" s="3">
        <f t="shared" si="2"/>
        <v>2032</v>
      </c>
      <c r="BW3" s="3">
        <f t="shared" si="2"/>
        <v>2032</v>
      </c>
      <c r="BX3" s="3">
        <f t="shared" si="2"/>
        <v>2032</v>
      </c>
      <c r="BY3" s="3">
        <f t="shared" si="2"/>
        <v>2032</v>
      </c>
      <c r="BZ3" s="3">
        <f t="shared" si="2"/>
        <v>2033</v>
      </c>
      <c r="CA3" s="3">
        <f t="shared" si="2"/>
        <v>2033</v>
      </c>
      <c r="CB3" s="3">
        <f t="shared" si="2"/>
        <v>2033</v>
      </c>
      <c r="CC3" s="3">
        <f t="shared" si="2"/>
        <v>2033</v>
      </c>
      <c r="CD3" s="3">
        <f t="shared" si="2"/>
        <v>2033</v>
      </c>
      <c r="CE3" s="3">
        <f t="shared" si="2"/>
        <v>2033</v>
      </c>
      <c r="CF3" s="3">
        <f t="shared" si="2"/>
        <v>2033</v>
      </c>
      <c r="CG3" s="3">
        <f t="shared" si="2"/>
        <v>2033</v>
      </c>
      <c r="CH3" s="3">
        <f t="shared" si="2"/>
        <v>2033</v>
      </c>
      <c r="CI3" s="3">
        <f t="shared" si="2"/>
        <v>2033</v>
      </c>
      <c r="CJ3" s="3">
        <f t="shared" si="2"/>
        <v>2033</v>
      </c>
      <c r="CK3" s="3">
        <f t="shared" si="2"/>
        <v>2033</v>
      </c>
      <c r="CL3" s="3">
        <f t="shared" si="2"/>
        <v>2034</v>
      </c>
      <c r="CM3" s="3">
        <f t="shared" si="2"/>
        <v>2034</v>
      </c>
      <c r="CN3" s="3">
        <f t="shared" si="2"/>
        <v>2034</v>
      </c>
      <c r="CO3" s="3">
        <f t="shared" si="2"/>
        <v>2034</v>
      </c>
      <c r="CP3" s="3">
        <f t="shared" si="2"/>
        <v>2034</v>
      </c>
      <c r="CQ3" s="3">
        <f t="shared" si="2"/>
        <v>2034</v>
      </c>
      <c r="CR3" s="3">
        <f t="shared" si="2"/>
        <v>2034</v>
      </c>
      <c r="CS3" s="3">
        <f t="shared" si="2"/>
        <v>2034</v>
      </c>
      <c r="CT3" s="3">
        <f t="shared" si="2"/>
        <v>2034</v>
      </c>
      <c r="CU3" s="3">
        <f t="shared" si="2"/>
        <v>2034</v>
      </c>
      <c r="CV3" s="3">
        <f t="shared" si="2"/>
        <v>2034</v>
      </c>
      <c r="CW3" s="3">
        <f t="shared" ref="CW3:DU3" si="3">YEAR(CW4)</f>
        <v>2034</v>
      </c>
      <c r="CX3" s="3">
        <f t="shared" si="3"/>
        <v>2035</v>
      </c>
      <c r="CY3" s="3">
        <f t="shared" si="3"/>
        <v>2035</v>
      </c>
      <c r="CZ3" s="3">
        <f t="shared" si="3"/>
        <v>2035</v>
      </c>
      <c r="DA3" s="3">
        <f t="shared" si="3"/>
        <v>2035</v>
      </c>
      <c r="DB3" s="3">
        <f t="shared" si="3"/>
        <v>2035</v>
      </c>
      <c r="DC3" s="3">
        <f t="shared" si="3"/>
        <v>2035</v>
      </c>
      <c r="DD3" s="3">
        <f t="shared" si="3"/>
        <v>2035</v>
      </c>
      <c r="DE3" s="3">
        <f t="shared" si="3"/>
        <v>2035</v>
      </c>
      <c r="DF3" s="3">
        <f t="shared" si="3"/>
        <v>2035</v>
      </c>
      <c r="DG3" s="3">
        <f t="shared" si="3"/>
        <v>2035</v>
      </c>
      <c r="DH3" s="3">
        <f t="shared" si="3"/>
        <v>2035</v>
      </c>
      <c r="DI3" s="3">
        <f t="shared" si="3"/>
        <v>2035</v>
      </c>
      <c r="DJ3" s="3">
        <f t="shared" si="3"/>
        <v>2036</v>
      </c>
      <c r="DK3" s="3">
        <f t="shared" si="3"/>
        <v>2036</v>
      </c>
      <c r="DL3" s="3">
        <f t="shared" si="3"/>
        <v>2036</v>
      </c>
      <c r="DM3" s="3">
        <f t="shared" si="3"/>
        <v>2036</v>
      </c>
      <c r="DN3" s="3">
        <f t="shared" si="3"/>
        <v>2036</v>
      </c>
      <c r="DO3" s="3">
        <f t="shared" si="3"/>
        <v>2036</v>
      </c>
      <c r="DP3" s="3">
        <f t="shared" si="3"/>
        <v>2036</v>
      </c>
      <c r="DQ3" s="3">
        <f t="shared" si="3"/>
        <v>2036</v>
      </c>
      <c r="DR3" s="3">
        <f t="shared" si="3"/>
        <v>2036</v>
      </c>
      <c r="DS3" s="3">
        <f t="shared" si="3"/>
        <v>2036</v>
      </c>
      <c r="DT3" s="3">
        <f t="shared" si="3"/>
        <v>2036</v>
      </c>
      <c r="DU3" s="3">
        <f t="shared" si="3"/>
        <v>2036</v>
      </c>
    </row>
    <row r="4" spans="3:125" s="3" customFormat="1" ht="22.95" customHeight="1">
      <c r="C4" s="5" t="s">
        <v>253</v>
      </c>
      <c r="D4" s="23" t="s">
        <v>72</v>
      </c>
      <c r="E4" s="20">
        <f>'Single Project Assumptions'!D11</f>
        <v>46387</v>
      </c>
      <c r="F4" s="20">
        <f t="shared" ref="F4:AK4" si="4">EOMONTH(E4,1)</f>
        <v>46418</v>
      </c>
      <c r="G4" s="20">
        <f t="shared" si="4"/>
        <v>46446</v>
      </c>
      <c r="H4" s="20">
        <f t="shared" si="4"/>
        <v>46477</v>
      </c>
      <c r="I4" s="20">
        <f t="shared" si="4"/>
        <v>46507</v>
      </c>
      <c r="J4" s="20">
        <f t="shared" si="4"/>
        <v>46538</v>
      </c>
      <c r="K4" s="20">
        <f t="shared" si="4"/>
        <v>46568</v>
      </c>
      <c r="L4" s="20">
        <f t="shared" si="4"/>
        <v>46599</v>
      </c>
      <c r="M4" s="20">
        <f t="shared" si="4"/>
        <v>46630</v>
      </c>
      <c r="N4" s="20">
        <f t="shared" si="4"/>
        <v>46660</v>
      </c>
      <c r="O4" s="20">
        <f t="shared" si="4"/>
        <v>46691</v>
      </c>
      <c r="P4" s="20">
        <f t="shared" si="4"/>
        <v>46721</v>
      </c>
      <c r="Q4" s="20">
        <f t="shared" si="4"/>
        <v>46752</v>
      </c>
      <c r="R4" s="20">
        <f t="shared" si="4"/>
        <v>46783</v>
      </c>
      <c r="S4" s="20">
        <f t="shared" si="4"/>
        <v>46812</v>
      </c>
      <c r="T4" s="20">
        <f t="shared" si="4"/>
        <v>46843</v>
      </c>
      <c r="U4" s="20">
        <f t="shared" si="4"/>
        <v>46873</v>
      </c>
      <c r="V4" s="20">
        <f t="shared" si="4"/>
        <v>46904</v>
      </c>
      <c r="W4" s="20">
        <f t="shared" si="4"/>
        <v>46934</v>
      </c>
      <c r="X4" s="20">
        <f t="shared" si="4"/>
        <v>46965</v>
      </c>
      <c r="Y4" s="20">
        <f t="shared" si="4"/>
        <v>46996</v>
      </c>
      <c r="Z4" s="20">
        <f t="shared" si="4"/>
        <v>47026</v>
      </c>
      <c r="AA4" s="20">
        <f t="shared" si="4"/>
        <v>47057</v>
      </c>
      <c r="AB4" s="20">
        <f t="shared" si="4"/>
        <v>47087</v>
      </c>
      <c r="AC4" s="20">
        <f t="shared" si="4"/>
        <v>47118</v>
      </c>
      <c r="AD4" s="20">
        <f t="shared" si="4"/>
        <v>47149</v>
      </c>
      <c r="AE4" s="20">
        <f t="shared" si="4"/>
        <v>47177</v>
      </c>
      <c r="AF4" s="20">
        <f t="shared" si="4"/>
        <v>47208</v>
      </c>
      <c r="AG4" s="20">
        <f t="shared" si="4"/>
        <v>47238</v>
      </c>
      <c r="AH4" s="20">
        <f t="shared" si="4"/>
        <v>47269</v>
      </c>
      <c r="AI4" s="20">
        <f t="shared" si="4"/>
        <v>47299</v>
      </c>
      <c r="AJ4" s="20">
        <f t="shared" si="4"/>
        <v>47330</v>
      </c>
      <c r="AK4" s="20">
        <f t="shared" si="4"/>
        <v>47361</v>
      </c>
      <c r="AL4" s="20">
        <f t="shared" ref="AL4:BQ4" si="5">EOMONTH(AK4,1)</f>
        <v>47391</v>
      </c>
      <c r="AM4" s="20">
        <f t="shared" si="5"/>
        <v>47422</v>
      </c>
      <c r="AN4" s="20">
        <f t="shared" si="5"/>
        <v>47452</v>
      </c>
      <c r="AO4" s="20">
        <f t="shared" si="5"/>
        <v>47483</v>
      </c>
      <c r="AP4" s="20">
        <f t="shared" si="5"/>
        <v>47514</v>
      </c>
      <c r="AQ4" s="20">
        <f t="shared" si="5"/>
        <v>47542</v>
      </c>
      <c r="AR4" s="20">
        <f t="shared" si="5"/>
        <v>47573</v>
      </c>
      <c r="AS4" s="20">
        <f t="shared" si="5"/>
        <v>47603</v>
      </c>
      <c r="AT4" s="20">
        <f t="shared" si="5"/>
        <v>47634</v>
      </c>
      <c r="AU4" s="20">
        <f t="shared" si="5"/>
        <v>47664</v>
      </c>
      <c r="AV4" s="20">
        <f t="shared" si="5"/>
        <v>47695</v>
      </c>
      <c r="AW4" s="20">
        <f t="shared" si="5"/>
        <v>47726</v>
      </c>
      <c r="AX4" s="20">
        <f t="shared" si="5"/>
        <v>47756</v>
      </c>
      <c r="AY4" s="20">
        <f t="shared" si="5"/>
        <v>47787</v>
      </c>
      <c r="AZ4" s="20">
        <f t="shared" si="5"/>
        <v>47817</v>
      </c>
      <c r="BA4" s="20">
        <f t="shared" si="5"/>
        <v>47848</v>
      </c>
      <c r="BB4" s="20">
        <f t="shared" si="5"/>
        <v>47879</v>
      </c>
      <c r="BC4" s="20">
        <f t="shared" si="5"/>
        <v>47907</v>
      </c>
      <c r="BD4" s="20">
        <f t="shared" si="5"/>
        <v>47938</v>
      </c>
      <c r="BE4" s="20">
        <f t="shared" si="5"/>
        <v>47968</v>
      </c>
      <c r="BF4" s="20">
        <f t="shared" si="5"/>
        <v>47999</v>
      </c>
      <c r="BG4" s="20">
        <f t="shared" si="5"/>
        <v>48029</v>
      </c>
      <c r="BH4" s="20">
        <f t="shared" si="5"/>
        <v>48060</v>
      </c>
      <c r="BI4" s="20">
        <f t="shared" si="5"/>
        <v>48091</v>
      </c>
      <c r="BJ4" s="20">
        <f t="shared" si="5"/>
        <v>48121</v>
      </c>
      <c r="BK4" s="20">
        <f t="shared" si="5"/>
        <v>48152</v>
      </c>
      <c r="BL4" s="20">
        <f t="shared" si="5"/>
        <v>48182</v>
      </c>
      <c r="BM4" s="20">
        <f t="shared" si="5"/>
        <v>48213</v>
      </c>
      <c r="BN4" s="20">
        <f t="shared" si="5"/>
        <v>48244</v>
      </c>
      <c r="BO4" s="20">
        <f t="shared" si="5"/>
        <v>48273</v>
      </c>
      <c r="BP4" s="20">
        <f t="shared" si="5"/>
        <v>48304</v>
      </c>
      <c r="BQ4" s="20">
        <f t="shared" si="5"/>
        <v>48334</v>
      </c>
      <c r="BR4" s="20">
        <f t="shared" ref="BR4:CW4" si="6">EOMONTH(BQ4,1)</f>
        <v>48365</v>
      </c>
      <c r="BS4" s="20">
        <f t="shared" si="6"/>
        <v>48395</v>
      </c>
      <c r="BT4" s="20">
        <f t="shared" si="6"/>
        <v>48426</v>
      </c>
      <c r="BU4" s="20">
        <f t="shared" si="6"/>
        <v>48457</v>
      </c>
      <c r="BV4" s="20">
        <f t="shared" si="6"/>
        <v>48487</v>
      </c>
      <c r="BW4" s="20">
        <f t="shared" si="6"/>
        <v>48518</v>
      </c>
      <c r="BX4" s="20">
        <f t="shared" si="6"/>
        <v>48548</v>
      </c>
      <c r="BY4" s="20">
        <f t="shared" si="6"/>
        <v>48579</v>
      </c>
      <c r="BZ4" s="20">
        <f t="shared" si="6"/>
        <v>48610</v>
      </c>
      <c r="CA4" s="20">
        <f t="shared" si="6"/>
        <v>48638</v>
      </c>
      <c r="CB4" s="20">
        <f t="shared" si="6"/>
        <v>48669</v>
      </c>
      <c r="CC4" s="20">
        <f t="shared" si="6"/>
        <v>48699</v>
      </c>
      <c r="CD4" s="20">
        <f t="shared" si="6"/>
        <v>48730</v>
      </c>
      <c r="CE4" s="20">
        <f t="shared" si="6"/>
        <v>48760</v>
      </c>
      <c r="CF4" s="20">
        <f t="shared" si="6"/>
        <v>48791</v>
      </c>
      <c r="CG4" s="20">
        <f t="shared" si="6"/>
        <v>48822</v>
      </c>
      <c r="CH4" s="20">
        <f t="shared" si="6"/>
        <v>48852</v>
      </c>
      <c r="CI4" s="20">
        <f t="shared" si="6"/>
        <v>48883</v>
      </c>
      <c r="CJ4" s="20">
        <f t="shared" si="6"/>
        <v>48913</v>
      </c>
      <c r="CK4" s="20">
        <f t="shared" si="6"/>
        <v>48944</v>
      </c>
      <c r="CL4" s="20">
        <f t="shared" si="6"/>
        <v>48975</v>
      </c>
      <c r="CM4" s="20">
        <f t="shared" si="6"/>
        <v>49003</v>
      </c>
      <c r="CN4" s="20">
        <f t="shared" si="6"/>
        <v>49034</v>
      </c>
      <c r="CO4" s="20">
        <f t="shared" si="6"/>
        <v>49064</v>
      </c>
      <c r="CP4" s="20">
        <f t="shared" si="6"/>
        <v>49095</v>
      </c>
      <c r="CQ4" s="20">
        <f t="shared" si="6"/>
        <v>49125</v>
      </c>
      <c r="CR4" s="20">
        <f t="shared" si="6"/>
        <v>49156</v>
      </c>
      <c r="CS4" s="20">
        <f t="shared" si="6"/>
        <v>49187</v>
      </c>
      <c r="CT4" s="20">
        <f t="shared" si="6"/>
        <v>49217</v>
      </c>
      <c r="CU4" s="20">
        <f t="shared" si="6"/>
        <v>49248</v>
      </c>
      <c r="CV4" s="20">
        <f t="shared" si="6"/>
        <v>49278</v>
      </c>
      <c r="CW4" s="20">
        <f t="shared" si="6"/>
        <v>49309</v>
      </c>
      <c r="CX4" s="20">
        <f t="shared" ref="CX4:DU4" si="7">EOMONTH(CW4,1)</f>
        <v>49340</v>
      </c>
      <c r="CY4" s="20">
        <f t="shared" si="7"/>
        <v>49368</v>
      </c>
      <c r="CZ4" s="20">
        <f t="shared" si="7"/>
        <v>49399</v>
      </c>
      <c r="DA4" s="20">
        <f t="shared" si="7"/>
        <v>49429</v>
      </c>
      <c r="DB4" s="20">
        <f t="shared" si="7"/>
        <v>49460</v>
      </c>
      <c r="DC4" s="20">
        <f t="shared" si="7"/>
        <v>49490</v>
      </c>
      <c r="DD4" s="20">
        <f t="shared" si="7"/>
        <v>49521</v>
      </c>
      <c r="DE4" s="20">
        <f t="shared" si="7"/>
        <v>49552</v>
      </c>
      <c r="DF4" s="20">
        <f t="shared" si="7"/>
        <v>49582</v>
      </c>
      <c r="DG4" s="20">
        <f t="shared" si="7"/>
        <v>49613</v>
      </c>
      <c r="DH4" s="20">
        <f t="shared" si="7"/>
        <v>49643</v>
      </c>
      <c r="DI4" s="20">
        <f t="shared" si="7"/>
        <v>49674</v>
      </c>
      <c r="DJ4" s="20">
        <f t="shared" si="7"/>
        <v>49705</v>
      </c>
      <c r="DK4" s="20">
        <f t="shared" si="7"/>
        <v>49734</v>
      </c>
      <c r="DL4" s="20">
        <f t="shared" si="7"/>
        <v>49765</v>
      </c>
      <c r="DM4" s="20">
        <f t="shared" si="7"/>
        <v>49795</v>
      </c>
      <c r="DN4" s="20">
        <f t="shared" si="7"/>
        <v>49826</v>
      </c>
      <c r="DO4" s="20">
        <f t="shared" si="7"/>
        <v>49856</v>
      </c>
      <c r="DP4" s="20">
        <f t="shared" si="7"/>
        <v>49887</v>
      </c>
      <c r="DQ4" s="20">
        <f t="shared" si="7"/>
        <v>49918</v>
      </c>
      <c r="DR4" s="20">
        <f t="shared" si="7"/>
        <v>49948</v>
      </c>
      <c r="DS4" s="20">
        <f t="shared" si="7"/>
        <v>49979</v>
      </c>
      <c r="DT4" s="20">
        <f t="shared" si="7"/>
        <v>50009</v>
      </c>
      <c r="DU4" s="20">
        <f t="shared" si="7"/>
        <v>50040</v>
      </c>
    </row>
    <row r="5" spans="3:125" s="3" customFormat="1" ht="22.95" customHeight="1">
      <c r="D5" s="24"/>
    </row>
    <row r="6" spans="3:125" s="3" customFormat="1" ht="22.95" customHeight="1">
      <c r="C6" s="60" t="s">
        <v>254</v>
      </c>
      <c r="D6" s="24"/>
    </row>
    <row r="7" spans="3:125" s="3" customFormat="1" ht="22.95" customHeight="1">
      <c r="C7" s="3" t="s">
        <v>255</v>
      </c>
      <c r="D7" s="25">
        <f>SUM(E7:DU7)</f>
        <v>10000</v>
      </c>
      <c r="E7" s="21">
        <f>IF(AND(E$4&gt;='Single Project Assumptions'!$D$11,'Option Phase'!E$4&lt;'Single Project Assumptions'!$D$15),'Single Project Assumptions'!$D$50/12,0)</f>
        <v>1666.6666666666667</v>
      </c>
      <c r="F7" s="21">
        <f>IF(AND(F$4&gt;='Single Project Assumptions'!$D$11,'Option Phase'!F$4&lt;'Single Project Assumptions'!$D$15),'Single Project Assumptions'!$D$50/12,0)</f>
        <v>1666.6666666666667</v>
      </c>
      <c r="G7" s="21">
        <f>IF(AND(G$4&gt;='Single Project Assumptions'!$D$11,'Option Phase'!G$4&lt;'Single Project Assumptions'!$D$15),'Single Project Assumptions'!$D$50/12,0)</f>
        <v>1666.6666666666667</v>
      </c>
      <c r="H7" s="21">
        <f>IF(AND(H$4&gt;='Single Project Assumptions'!$D$11,'Option Phase'!H$4&lt;'Single Project Assumptions'!$D$15),'Single Project Assumptions'!$D$50/12,0)</f>
        <v>1666.6666666666667</v>
      </c>
      <c r="I7" s="21">
        <f>IF(AND(I$4&gt;='Single Project Assumptions'!$D$11,'Option Phase'!I$4&lt;'Single Project Assumptions'!$D$15),'Single Project Assumptions'!$D$50/12,0)</f>
        <v>1666.6666666666667</v>
      </c>
      <c r="J7" s="21">
        <f>IF(AND(J$4&gt;='Single Project Assumptions'!$D$11,'Option Phase'!J$4&lt;'Single Project Assumptions'!$D$15),'Single Project Assumptions'!$D$50/12,0)</f>
        <v>1666.6666666666667</v>
      </c>
      <c r="K7" s="21">
        <f>IF(AND(K$4&gt;='Single Project Assumptions'!$D$11,'Option Phase'!K$4&lt;'Single Project Assumptions'!$D$15),'Single Project Assumptions'!$D$50/12,0)</f>
        <v>0</v>
      </c>
      <c r="L7" s="21">
        <f>IF(AND(L$4&gt;='Single Project Assumptions'!$D$11,'Option Phase'!L$4&lt;'Single Project Assumptions'!$D$15),'Single Project Assumptions'!$D$50/12,0)</f>
        <v>0</v>
      </c>
      <c r="M7" s="21">
        <f>IF(AND(M$4&gt;='Single Project Assumptions'!$D$11,'Option Phase'!M$4&lt;'Single Project Assumptions'!$D$15),'Single Project Assumptions'!$D$50/12,0)</f>
        <v>0</v>
      </c>
      <c r="N7" s="21">
        <f>IF(AND(N$4&gt;='Single Project Assumptions'!$D$11,'Option Phase'!N$4&lt;'Single Project Assumptions'!$D$15),'Single Project Assumptions'!$D$50/12,0)</f>
        <v>0</v>
      </c>
      <c r="O7" s="21">
        <f>IF(AND(O$4&gt;='Single Project Assumptions'!$D$11,'Option Phase'!O$4&lt;'Single Project Assumptions'!$D$15),'Single Project Assumptions'!$D$50/12,0)</f>
        <v>0</v>
      </c>
      <c r="P7" s="21">
        <f>IF(AND(P$4&gt;='Single Project Assumptions'!$D$11,'Option Phase'!P$4&lt;'Single Project Assumptions'!$D$15),'Single Project Assumptions'!$D$50/12,0)</f>
        <v>0</v>
      </c>
      <c r="Q7" s="21">
        <f>IF(AND(Q$4&gt;='Single Project Assumptions'!$D$11,'Option Phase'!Q$4&lt;'Single Project Assumptions'!$D$15),'Single Project Assumptions'!$D$50/12,0)</f>
        <v>0</v>
      </c>
      <c r="R7" s="21">
        <f>IF(AND(R$4&gt;='Single Project Assumptions'!$D$11,'Option Phase'!R$4&lt;'Single Project Assumptions'!$D$15),'Single Project Assumptions'!$D$50/12,0)</f>
        <v>0</v>
      </c>
      <c r="S7" s="21">
        <f>IF(AND(S$4&gt;='Single Project Assumptions'!$D$11,'Option Phase'!S$4&lt;'Single Project Assumptions'!$D$15),'Single Project Assumptions'!$D$50/12,0)</f>
        <v>0</v>
      </c>
      <c r="T7" s="21">
        <f>IF(AND(T$4&gt;='Single Project Assumptions'!$D$11,'Option Phase'!T$4&lt;'Single Project Assumptions'!$D$15),'Single Project Assumptions'!$D$50/12,0)</f>
        <v>0</v>
      </c>
      <c r="U7" s="21">
        <f>IF(AND(U$4&gt;='Single Project Assumptions'!$D$11,'Option Phase'!U$4&lt;'Single Project Assumptions'!$D$15),'Single Project Assumptions'!$D$50/12,0)</f>
        <v>0</v>
      </c>
      <c r="V7" s="21">
        <f>IF(AND(V$4&gt;='Single Project Assumptions'!$D$11,'Option Phase'!V$4&lt;'Single Project Assumptions'!$D$15),'Single Project Assumptions'!$D$50/12,0)</f>
        <v>0</v>
      </c>
      <c r="W7" s="21">
        <f>IF(AND(W$4&gt;='Single Project Assumptions'!$D$11,'Option Phase'!W$4&lt;'Single Project Assumptions'!$D$15),'Single Project Assumptions'!$D$50/12,0)</f>
        <v>0</v>
      </c>
      <c r="X7" s="21">
        <f>IF(AND(X$4&gt;='Single Project Assumptions'!$D$11,'Option Phase'!X$4&lt;'Single Project Assumptions'!$D$15),'Single Project Assumptions'!$D$50/12,0)</f>
        <v>0</v>
      </c>
      <c r="Y7" s="21">
        <f>IF(AND(Y$4&gt;='Single Project Assumptions'!$D$11,'Option Phase'!Y$4&lt;'Single Project Assumptions'!$D$15),'Single Project Assumptions'!$D$50/12,0)</f>
        <v>0</v>
      </c>
      <c r="Z7" s="21">
        <f>IF(AND(Z$4&gt;='Single Project Assumptions'!$D$11,'Option Phase'!Z$4&lt;'Single Project Assumptions'!$D$15),'Single Project Assumptions'!$D$50/12,0)</f>
        <v>0</v>
      </c>
      <c r="AA7" s="21">
        <f>IF(AND(AA$4&gt;='Single Project Assumptions'!$D$11,'Option Phase'!AA$4&lt;'Single Project Assumptions'!$D$15),'Single Project Assumptions'!$D$50/12,0)</f>
        <v>0</v>
      </c>
      <c r="AB7" s="21">
        <f>IF(AND(AB$4&gt;='Single Project Assumptions'!$D$11,'Option Phase'!AB$4&lt;'Single Project Assumptions'!$D$15),'Single Project Assumptions'!$D$50/12,0)</f>
        <v>0</v>
      </c>
      <c r="AC7" s="21">
        <f>IF(AND(AC$4&gt;='Single Project Assumptions'!$D$11,'Option Phase'!AC$4&lt;'Single Project Assumptions'!$D$15),'Single Project Assumptions'!$D$50/12,0)</f>
        <v>0</v>
      </c>
      <c r="AD7" s="21">
        <f>IF(AND(AD$4&gt;='Single Project Assumptions'!$D$11,'Option Phase'!AD$4&lt;'Single Project Assumptions'!$D$15),'Single Project Assumptions'!$D$50/12,0)</f>
        <v>0</v>
      </c>
      <c r="AE7" s="21">
        <f>IF(AND(AE$4&gt;='Single Project Assumptions'!$D$11,'Option Phase'!AE$4&lt;'Single Project Assumptions'!$D$15),'Single Project Assumptions'!$D$50/12,0)</f>
        <v>0</v>
      </c>
      <c r="AF7" s="21">
        <f>IF(AND(AF$4&gt;='Single Project Assumptions'!$D$11,'Option Phase'!AF$4&lt;'Single Project Assumptions'!$D$15),'Single Project Assumptions'!$D$50/12,0)</f>
        <v>0</v>
      </c>
      <c r="AG7" s="21">
        <f>IF(AND(AG$4&gt;='Single Project Assumptions'!$D$11,'Option Phase'!AG$4&lt;'Single Project Assumptions'!$D$15),'Single Project Assumptions'!$D$50/12,0)</f>
        <v>0</v>
      </c>
      <c r="AH7" s="21">
        <f>IF(AND(AH$4&gt;='Single Project Assumptions'!$D$11,'Option Phase'!AH$4&lt;'Single Project Assumptions'!$D$15),'Single Project Assumptions'!$D$50/12,0)</f>
        <v>0</v>
      </c>
      <c r="AI7" s="21">
        <f>IF(AND(AI$4&gt;='Single Project Assumptions'!$D$11,'Option Phase'!AI$4&lt;'Single Project Assumptions'!$D$15),'Single Project Assumptions'!$D$50/12,0)</f>
        <v>0</v>
      </c>
      <c r="AJ7" s="21">
        <f>IF(AND(AJ$4&gt;='Single Project Assumptions'!$D$11,'Option Phase'!AJ$4&lt;'Single Project Assumptions'!$D$15),'Single Project Assumptions'!$D$50/12,0)</f>
        <v>0</v>
      </c>
      <c r="AK7" s="21">
        <f>IF(AND(AK$4&gt;='Single Project Assumptions'!$D$11,'Option Phase'!AK$4&lt;'Single Project Assumptions'!$D$15),'Single Project Assumptions'!$D$50/12,0)</f>
        <v>0</v>
      </c>
      <c r="AL7" s="21">
        <f>IF(AND(AL$4&gt;='Single Project Assumptions'!$D$11,'Option Phase'!AL$4&lt;'Single Project Assumptions'!$D$15),'Single Project Assumptions'!$D$50/12,0)</f>
        <v>0</v>
      </c>
      <c r="AM7" s="21">
        <f>IF(AND(AM$4&gt;='Single Project Assumptions'!$D$11,'Option Phase'!AM$4&lt;'Single Project Assumptions'!$D$15),'Single Project Assumptions'!$D$50/12,0)</f>
        <v>0</v>
      </c>
      <c r="AN7" s="21">
        <f>IF(AND(AN$4&gt;='Single Project Assumptions'!$D$11,'Option Phase'!AN$4&lt;'Single Project Assumptions'!$D$15),'Single Project Assumptions'!$D$50/12,0)</f>
        <v>0</v>
      </c>
      <c r="AO7" s="21">
        <f>IF(AND(AO$4&gt;='Single Project Assumptions'!$D$11,'Option Phase'!AO$4&lt;'Single Project Assumptions'!$D$15),'Single Project Assumptions'!$D$50/12,0)</f>
        <v>0</v>
      </c>
      <c r="AP7" s="21">
        <f>IF(AND(AP$4&gt;='Single Project Assumptions'!$D$11,'Option Phase'!AP$4&lt;'Single Project Assumptions'!$D$15),'Single Project Assumptions'!$D$50/12,0)</f>
        <v>0</v>
      </c>
      <c r="AQ7" s="21">
        <f>IF(AND(AQ$4&gt;='Single Project Assumptions'!$D$11,'Option Phase'!AQ$4&lt;'Single Project Assumptions'!$D$15),'Single Project Assumptions'!$D$50/12,0)</f>
        <v>0</v>
      </c>
      <c r="AR7" s="21">
        <f>IF(AND(AR$4&gt;='Single Project Assumptions'!$D$11,'Option Phase'!AR$4&lt;'Single Project Assumptions'!$D$15),'Single Project Assumptions'!$D$50/12,0)</f>
        <v>0</v>
      </c>
      <c r="AS7" s="21">
        <f>IF(AND(AS$4&gt;='Single Project Assumptions'!$D$11,'Option Phase'!AS$4&lt;'Single Project Assumptions'!$D$15),'Single Project Assumptions'!$D$50/12,0)</f>
        <v>0</v>
      </c>
      <c r="AT7" s="21">
        <f>IF(AND(AT$4&gt;='Single Project Assumptions'!$D$11,'Option Phase'!AT$4&lt;'Single Project Assumptions'!$D$15),'Single Project Assumptions'!$D$50/12,0)</f>
        <v>0</v>
      </c>
      <c r="AU7" s="21">
        <f>IF(AND(AU$4&gt;='Single Project Assumptions'!$D$11,'Option Phase'!AU$4&lt;'Single Project Assumptions'!$D$15),'Single Project Assumptions'!$D$50/12,0)</f>
        <v>0</v>
      </c>
      <c r="AV7" s="21">
        <f>IF(AND(AV$4&gt;='Single Project Assumptions'!$D$11,'Option Phase'!AV$4&lt;'Single Project Assumptions'!$D$15),'Single Project Assumptions'!$D$50/12,0)</f>
        <v>0</v>
      </c>
      <c r="AW7" s="21">
        <f>IF(AND(AW$4&gt;='Single Project Assumptions'!$D$11,'Option Phase'!AW$4&lt;'Single Project Assumptions'!$D$15),'Single Project Assumptions'!$D$50/12,0)</f>
        <v>0</v>
      </c>
      <c r="AX7" s="21">
        <f>IF(AND(AX$4&gt;='Single Project Assumptions'!$D$11,'Option Phase'!AX$4&lt;'Single Project Assumptions'!$D$15),'Single Project Assumptions'!$D$50/12,0)</f>
        <v>0</v>
      </c>
      <c r="AY7" s="21">
        <f>IF(AND(AY$4&gt;='Single Project Assumptions'!$D$11,'Option Phase'!AY$4&lt;'Single Project Assumptions'!$D$15),'Single Project Assumptions'!$D$50/12,0)</f>
        <v>0</v>
      </c>
      <c r="AZ7" s="21">
        <f>IF(AND(AZ$4&gt;='Single Project Assumptions'!$D$11,'Option Phase'!AZ$4&lt;'Single Project Assumptions'!$D$15),'Single Project Assumptions'!$D$50/12,0)</f>
        <v>0</v>
      </c>
      <c r="BA7" s="21">
        <f>IF(AND(BA$4&gt;='Single Project Assumptions'!$D$11,'Option Phase'!BA$4&lt;'Single Project Assumptions'!$D$15),'Single Project Assumptions'!$D$50/12,0)</f>
        <v>0</v>
      </c>
      <c r="BB7" s="21">
        <f>IF(AND(BB$4&gt;='Single Project Assumptions'!$D$11,'Option Phase'!BB$4&lt;'Single Project Assumptions'!$D$15),'Single Project Assumptions'!$D$50/12,0)</f>
        <v>0</v>
      </c>
      <c r="BC7" s="21">
        <f>IF(AND(BC$4&gt;='Single Project Assumptions'!$D$11,'Option Phase'!BC$4&lt;'Single Project Assumptions'!$D$15),'Single Project Assumptions'!$D$50/12,0)</f>
        <v>0</v>
      </c>
      <c r="BD7" s="21">
        <f>IF(AND(BD$4&gt;='Single Project Assumptions'!$D$11,'Option Phase'!BD$4&lt;'Single Project Assumptions'!$D$15),'Single Project Assumptions'!$D$50/12,0)</f>
        <v>0</v>
      </c>
      <c r="BE7" s="21">
        <f>IF(AND(BE$4&gt;='Single Project Assumptions'!$D$11,'Option Phase'!BE$4&lt;'Single Project Assumptions'!$D$15),'Single Project Assumptions'!$D$50/12,0)</f>
        <v>0</v>
      </c>
      <c r="BF7" s="21">
        <f>IF(AND(BF$4&gt;='Single Project Assumptions'!$D$11,'Option Phase'!BF$4&lt;'Single Project Assumptions'!$D$15),'Single Project Assumptions'!$D$50/12,0)</f>
        <v>0</v>
      </c>
      <c r="BG7" s="21">
        <f>IF(AND(BG$4&gt;='Single Project Assumptions'!$D$11,'Option Phase'!BG$4&lt;'Single Project Assumptions'!$D$15),'Single Project Assumptions'!$D$50/12,0)</f>
        <v>0</v>
      </c>
      <c r="BH7" s="21">
        <f>IF(AND(BH$4&gt;='Single Project Assumptions'!$D$11,'Option Phase'!BH$4&lt;'Single Project Assumptions'!$D$15),'Single Project Assumptions'!$D$50/12,0)</f>
        <v>0</v>
      </c>
      <c r="BI7" s="21">
        <f>IF(AND(BI$4&gt;='Single Project Assumptions'!$D$11,'Option Phase'!BI$4&lt;'Single Project Assumptions'!$D$15),'Single Project Assumptions'!$D$50/12,0)</f>
        <v>0</v>
      </c>
      <c r="BJ7" s="21">
        <f>IF(AND(BJ$4&gt;='Single Project Assumptions'!$D$11,'Option Phase'!BJ$4&lt;'Single Project Assumptions'!$D$15),'Single Project Assumptions'!$D$50/12,0)</f>
        <v>0</v>
      </c>
      <c r="BK7" s="21">
        <f>IF(AND(BK$4&gt;='Single Project Assumptions'!$D$11,'Option Phase'!BK$4&lt;'Single Project Assumptions'!$D$15),'Single Project Assumptions'!$D$50/12,0)</f>
        <v>0</v>
      </c>
      <c r="BL7" s="21">
        <f>IF(AND(BL$4&gt;='Single Project Assumptions'!$D$11,'Option Phase'!BL$4&lt;'Single Project Assumptions'!$D$15),'Single Project Assumptions'!$D$50/12,0)</f>
        <v>0</v>
      </c>
      <c r="BM7" s="21">
        <f>IF(AND(BM$4&gt;='Single Project Assumptions'!$D$11,'Option Phase'!BM$4&lt;'Single Project Assumptions'!$D$15),'Single Project Assumptions'!$D$50/12,0)</f>
        <v>0</v>
      </c>
      <c r="BN7" s="21">
        <f>IF(AND(BN$4&gt;='Single Project Assumptions'!$D$11,'Option Phase'!BN$4&lt;'Single Project Assumptions'!$D$15),'Single Project Assumptions'!$D$50/12,0)</f>
        <v>0</v>
      </c>
      <c r="BO7" s="21">
        <f>IF(AND(BO$4&gt;='Single Project Assumptions'!$D$11,'Option Phase'!BO$4&lt;'Single Project Assumptions'!$D$15),'Single Project Assumptions'!$D$50/12,0)</f>
        <v>0</v>
      </c>
      <c r="BP7" s="21">
        <f>IF(AND(BP$4&gt;='Single Project Assumptions'!$D$11,'Option Phase'!BP$4&lt;'Single Project Assumptions'!$D$15),'Single Project Assumptions'!$D$50/12,0)</f>
        <v>0</v>
      </c>
      <c r="BQ7" s="21">
        <f>IF(AND(BQ$4&gt;='Single Project Assumptions'!$D$11,'Option Phase'!BQ$4&lt;'Single Project Assumptions'!$D$15),'Single Project Assumptions'!$D$50/12,0)</f>
        <v>0</v>
      </c>
      <c r="BR7" s="21">
        <f>IF(AND(BR$4&gt;='Single Project Assumptions'!$D$11,'Option Phase'!BR$4&lt;'Single Project Assumptions'!$D$15),'Single Project Assumptions'!$D$50/12,0)</f>
        <v>0</v>
      </c>
      <c r="BS7" s="21">
        <f>IF(AND(BS$4&gt;='Single Project Assumptions'!$D$11,'Option Phase'!BS$4&lt;'Single Project Assumptions'!$D$15),'Single Project Assumptions'!$D$50/12,0)</f>
        <v>0</v>
      </c>
      <c r="BT7" s="21">
        <f>IF(AND(BT$4&gt;='Single Project Assumptions'!$D$11,'Option Phase'!BT$4&lt;'Single Project Assumptions'!$D$15),'Single Project Assumptions'!$D$50/12,0)</f>
        <v>0</v>
      </c>
      <c r="BU7" s="21">
        <f>IF(AND(BU$4&gt;='Single Project Assumptions'!$D$11,'Option Phase'!BU$4&lt;'Single Project Assumptions'!$D$15),'Single Project Assumptions'!$D$50/12,0)</f>
        <v>0</v>
      </c>
      <c r="BV7" s="21">
        <f>IF(AND(BV$4&gt;='Single Project Assumptions'!$D$11,'Option Phase'!BV$4&lt;'Single Project Assumptions'!$D$15),'Single Project Assumptions'!$D$50/12,0)</f>
        <v>0</v>
      </c>
      <c r="BW7" s="21">
        <f>IF(AND(BW$4&gt;='Single Project Assumptions'!$D$11,'Option Phase'!BW$4&lt;'Single Project Assumptions'!$D$15),'Single Project Assumptions'!$D$50/12,0)</f>
        <v>0</v>
      </c>
      <c r="BX7" s="21">
        <f>IF(AND(BX$4&gt;='Single Project Assumptions'!$D$11,'Option Phase'!BX$4&lt;'Single Project Assumptions'!$D$15),'Single Project Assumptions'!$D$50/12,0)</f>
        <v>0</v>
      </c>
      <c r="BY7" s="21">
        <f>IF(AND(BY$4&gt;='Single Project Assumptions'!$D$11,'Option Phase'!BY$4&lt;'Single Project Assumptions'!$D$15),'Single Project Assumptions'!$D$50/12,0)</f>
        <v>0</v>
      </c>
      <c r="BZ7" s="21">
        <f>IF(AND(BZ$4&gt;='Single Project Assumptions'!$D$11,'Option Phase'!BZ$4&lt;'Single Project Assumptions'!$D$15),'Single Project Assumptions'!$D$50/12,0)</f>
        <v>0</v>
      </c>
      <c r="CA7" s="21">
        <f>IF(AND(CA$4&gt;='Single Project Assumptions'!$D$11,'Option Phase'!CA$4&lt;'Single Project Assumptions'!$D$15),'Single Project Assumptions'!$D$50/12,0)</f>
        <v>0</v>
      </c>
      <c r="CB7" s="21">
        <f>IF(AND(CB$4&gt;='Single Project Assumptions'!$D$11,'Option Phase'!CB$4&lt;'Single Project Assumptions'!$D$15),'Single Project Assumptions'!$D$50/12,0)</f>
        <v>0</v>
      </c>
      <c r="CC7" s="21">
        <f>IF(AND(CC$4&gt;='Single Project Assumptions'!$D$11,'Option Phase'!CC$4&lt;'Single Project Assumptions'!$D$15),'Single Project Assumptions'!$D$50/12,0)</f>
        <v>0</v>
      </c>
      <c r="CD7" s="21">
        <f>IF(AND(CD$4&gt;='Single Project Assumptions'!$D$11,'Option Phase'!CD$4&lt;'Single Project Assumptions'!$D$15),'Single Project Assumptions'!$D$50/12,0)</f>
        <v>0</v>
      </c>
      <c r="CE7" s="21">
        <f>IF(AND(CE$4&gt;='Single Project Assumptions'!$D$11,'Option Phase'!CE$4&lt;'Single Project Assumptions'!$D$15),'Single Project Assumptions'!$D$50/12,0)</f>
        <v>0</v>
      </c>
      <c r="CF7" s="21">
        <f>IF(AND(CF$4&gt;='Single Project Assumptions'!$D$11,'Option Phase'!CF$4&lt;'Single Project Assumptions'!$D$15),'Single Project Assumptions'!$D$50/12,0)</f>
        <v>0</v>
      </c>
      <c r="CG7" s="21">
        <f>IF(AND(CG$4&gt;='Single Project Assumptions'!$D$11,'Option Phase'!CG$4&lt;'Single Project Assumptions'!$D$15),'Single Project Assumptions'!$D$50/12,0)</f>
        <v>0</v>
      </c>
      <c r="CH7" s="21">
        <f>IF(AND(CH$4&gt;='Single Project Assumptions'!$D$11,'Option Phase'!CH$4&lt;'Single Project Assumptions'!$D$15),'Single Project Assumptions'!$D$50/12,0)</f>
        <v>0</v>
      </c>
      <c r="CI7" s="21">
        <f>IF(AND(CI$4&gt;='Single Project Assumptions'!$D$11,'Option Phase'!CI$4&lt;'Single Project Assumptions'!$D$15),'Single Project Assumptions'!$D$50/12,0)</f>
        <v>0</v>
      </c>
      <c r="CJ7" s="21">
        <f>IF(AND(CJ$4&gt;='Single Project Assumptions'!$D$11,'Option Phase'!CJ$4&lt;'Single Project Assumptions'!$D$15),'Single Project Assumptions'!$D$50/12,0)</f>
        <v>0</v>
      </c>
      <c r="CK7" s="21">
        <f>IF(AND(CK$4&gt;='Single Project Assumptions'!$D$11,'Option Phase'!CK$4&lt;'Single Project Assumptions'!$D$15),'Single Project Assumptions'!$D$50/12,0)</f>
        <v>0</v>
      </c>
      <c r="CL7" s="21">
        <f>IF(AND(CL$4&gt;='Single Project Assumptions'!$D$11,'Option Phase'!CL$4&lt;'Single Project Assumptions'!$D$15),'Single Project Assumptions'!$D$50/12,0)</f>
        <v>0</v>
      </c>
      <c r="CM7" s="21">
        <f>IF(AND(CM$4&gt;='Single Project Assumptions'!$D$11,'Option Phase'!CM$4&lt;'Single Project Assumptions'!$D$15),'Single Project Assumptions'!$D$50/12,0)</f>
        <v>0</v>
      </c>
      <c r="CN7" s="21">
        <f>IF(AND(CN$4&gt;='Single Project Assumptions'!$D$11,'Option Phase'!CN$4&lt;'Single Project Assumptions'!$D$15),'Single Project Assumptions'!$D$50/12,0)</f>
        <v>0</v>
      </c>
      <c r="CO7" s="21">
        <f>IF(AND(CO$4&gt;='Single Project Assumptions'!$D$11,'Option Phase'!CO$4&lt;'Single Project Assumptions'!$D$15),'Single Project Assumptions'!$D$50/12,0)</f>
        <v>0</v>
      </c>
      <c r="CP7" s="21">
        <f>IF(AND(CP$4&gt;='Single Project Assumptions'!$D$11,'Option Phase'!CP$4&lt;'Single Project Assumptions'!$D$15),'Single Project Assumptions'!$D$50/12,0)</f>
        <v>0</v>
      </c>
      <c r="CQ7" s="21">
        <f>IF(AND(CQ$4&gt;='Single Project Assumptions'!$D$11,'Option Phase'!CQ$4&lt;'Single Project Assumptions'!$D$15),'Single Project Assumptions'!$D$50/12,0)</f>
        <v>0</v>
      </c>
      <c r="CR7" s="21">
        <f>IF(AND(CR$4&gt;='Single Project Assumptions'!$D$11,'Option Phase'!CR$4&lt;'Single Project Assumptions'!$D$15),'Single Project Assumptions'!$D$50/12,0)</f>
        <v>0</v>
      </c>
      <c r="CS7" s="21">
        <f>IF(AND(CS$4&gt;='Single Project Assumptions'!$D$11,'Option Phase'!CS$4&lt;'Single Project Assumptions'!$D$15),'Single Project Assumptions'!$D$50/12,0)</f>
        <v>0</v>
      </c>
      <c r="CT7" s="21">
        <f>IF(AND(CT$4&gt;='Single Project Assumptions'!$D$11,'Option Phase'!CT$4&lt;'Single Project Assumptions'!$D$15),'Single Project Assumptions'!$D$50/12,0)</f>
        <v>0</v>
      </c>
      <c r="CU7" s="21">
        <f>IF(AND(CU$4&gt;='Single Project Assumptions'!$D$11,'Option Phase'!CU$4&lt;'Single Project Assumptions'!$D$15),'Single Project Assumptions'!$D$50/12,0)</f>
        <v>0</v>
      </c>
      <c r="CV7" s="21">
        <f>IF(AND(CV$4&gt;='Single Project Assumptions'!$D$11,'Option Phase'!CV$4&lt;'Single Project Assumptions'!$D$15),'Single Project Assumptions'!$D$50/12,0)</f>
        <v>0</v>
      </c>
      <c r="CW7" s="21">
        <f>IF(AND(CW$4&gt;='Single Project Assumptions'!$D$11,'Option Phase'!CW$4&lt;'Single Project Assumptions'!$D$15),'Single Project Assumptions'!$D$50/12,0)</f>
        <v>0</v>
      </c>
      <c r="CX7" s="21">
        <f>IF(AND(CX$4&gt;='Single Project Assumptions'!$D$11,'Option Phase'!CX$4&lt;'Single Project Assumptions'!$D$15),'Single Project Assumptions'!$D$50/12,0)</f>
        <v>0</v>
      </c>
      <c r="CY7" s="21">
        <f>IF(AND(CY$4&gt;='Single Project Assumptions'!$D$11,'Option Phase'!CY$4&lt;'Single Project Assumptions'!$D$15),'Single Project Assumptions'!$D$50/12,0)</f>
        <v>0</v>
      </c>
      <c r="CZ7" s="21">
        <f>IF(AND(CZ$4&gt;='Single Project Assumptions'!$D$11,'Option Phase'!CZ$4&lt;'Single Project Assumptions'!$D$15),'Single Project Assumptions'!$D$50/12,0)</f>
        <v>0</v>
      </c>
      <c r="DA7" s="21">
        <f>IF(AND(DA$4&gt;='Single Project Assumptions'!$D$11,'Option Phase'!DA$4&lt;'Single Project Assumptions'!$D$15),'Single Project Assumptions'!$D$50/12,0)</f>
        <v>0</v>
      </c>
      <c r="DB7" s="21">
        <f>IF(AND(DB$4&gt;='Single Project Assumptions'!$D$11,'Option Phase'!DB$4&lt;'Single Project Assumptions'!$D$15),'Single Project Assumptions'!$D$50/12,0)</f>
        <v>0</v>
      </c>
      <c r="DC7" s="21">
        <f>IF(AND(DC$4&gt;='Single Project Assumptions'!$D$11,'Option Phase'!DC$4&lt;'Single Project Assumptions'!$D$15),'Single Project Assumptions'!$D$50/12,0)</f>
        <v>0</v>
      </c>
      <c r="DD7" s="21">
        <f>IF(AND(DD$4&gt;='Single Project Assumptions'!$D$11,'Option Phase'!DD$4&lt;'Single Project Assumptions'!$D$15),'Single Project Assumptions'!$D$50/12,0)</f>
        <v>0</v>
      </c>
      <c r="DE7" s="21">
        <f>IF(AND(DE$4&gt;='Single Project Assumptions'!$D$11,'Option Phase'!DE$4&lt;'Single Project Assumptions'!$D$15),'Single Project Assumptions'!$D$50/12,0)</f>
        <v>0</v>
      </c>
      <c r="DF7" s="21">
        <f>IF(AND(DF$4&gt;='Single Project Assumptions'!$D$11,'Option Phase'!DF$4&lt;'Single Project Assumptions'!$D$15),'Single Project Assumptions'!$D$50/12,0)</f>
        <v>0</v>
      </c>
      <c r="DG7" s="21">
        <f>IF(AND(DG$4&gt;='Single Project Assumptions'!$D$11,'Option Phase'!DG$4&lt;'Single Project Assumptions'!$D$15),'Single Project Assumptions'!$D$50/12,0)</f>
        <v>0</v>
      </c>
      <c r="DH7" s="21">
        <f>IF(AND(DH$4&gt;='Single Project Assumptions'!$D$11,'Option Phase'!DH$4&lt;'Single Project Assumptions'!$D$15),'Single Project Assumptions'!$D$50/12,0)</f>
        <v>0</v>
      </c>
      <c r="DI7" s="21">
        <f>IF(AND(DI$4&gt;='Single Project Assumptions'!$D$11,'Option Phase'!DI$4&lt;'Single Project Assumptions'!$D$15),'Single Project Assumptions'!$D$50/12,0)</f>
        <v>0</v>
      </c>
      <c r="DJ7" s="21">
        <f>IF(AND(DJ$4&gt;='Single Project Assumptions'!$D$11,'Option Phase'!DJ$4&lt;'Single Project Assumptions'!$D$15),'Single Project Assumptions'!$D$50/12,0)</f>
        <v>0</v>
      </c>
      <c r="DK7" s="21">
        <f>IF(AND(DK$4&gt;='Single Project Assumptions'!$D$11,'Option Phase'!DK$4&lt;'Single Project Assumptions'!$D$15),'Single Project Assumptions'!$D$50/12,0)</f>
        <v>0</v>
      </c>
      <c r="DL7" s="21">
        <f>IF(AND(DL$4&gt;='Single Project Assumptions'!$D$11,'Option Phase'!DL$4&lt;'Single Project Assumptions'!$D$15),'Single Project Assumptions'!$D$50/12,0)</f>
        <v>0</v>
      </c>
      <c r="DM7" s="21">
        <f>IF(AND(DM$4&gt;='Single Project Assumptions'!$D$11,'Option Phase'!DM$4&lt;'Single Project Assumptions'!$D$15),'Single Project Assumptions'!$D$50/12,0)</f>
        <v>0</v>
      </c>
      <c r="DN7" s="21">
        <f>IF(AND(DN$4&gt;='Single Project Assumptions'!$D$11,'Option Phase'!DN$4&lt;'Single Project Assumptions'!$D$15),'Single Project Assumptions'!$D$50/12,0)</f>
        <v>0</v>
      </c>
      <c r="DO7" s="21">
        <f>IF(AND(DO$4&gt;='Single Project Assumptions'!$D$11,'Option Phase'!DO$4&lt;'Single Project Assumptions'!$D$15),'Single Project Assumptions'!$D$50/12,0)</f>
        <v>0</v>
      </c>
      <c r="DP7" s="21">
        <f>IF(AND(DP$4&gt;='Single Project Assumptions'!$D$11,'Option Phase'!DP$4&lt;'Single Project Assumptions'!$D$15),'Single Project Assumptions'!$D$50/12,0)</f>
        <v>0</v>
      </c>
      <c r="DQ7" s="21">
        <f>IF(AND(DQ$4&gt;='Single Project Assumptions'!$D$11,'Option Phase'!DQ$4&lt;'Single Project Assumptions'!$D$15),'Single Project Assumptions'!$D$50/12,0)</f>
        <v>0</v>
      </c>
      <c r="DR7" s="21">
        <f>IF(AND(DR$4&gt;='Single Project Assumptions'!$D$11,'Option Phase'!DR$4&lt;'Single Project Assumptions'!$D$15),'Single Project Assumptions'!$D$50/12,0)</f>
        <v>0</v>
      </c>
      <c r="DS7" s="21">
        <f>IF(AND(DS$4&gt;='Single Project Assumptions'!$D$11,'Option Phase'!DS$4&lt;'Single Project Assumptions'!$D$15),'Single Project Assumptions'!$D$50/12,0)</f>
        <v>0</v>
      </c>
      <c r="DT7" s="21">
        <f>IF(AND(DT$4&gt;='Single Project Assumptions'!$D$11,'Option Phase'!DT$4&lt;'Single Project Assumptions'!$D$15),'Single Project Assumptions'!$D$50/12,0)</f>
        <v>0</v>
      </c>
      <c r="DU7" s="21">
        <f>IF(AND(DU$4&gt;='Single Project Assumptions'!$D$11,'Option Phase'!DU$4&lt;'Single Project Assumptions'!$D$15),'Single Project Assumptions'!$D$50/12,0)</f>
        <v>0</v>
      </c>
    </row>
    <row r="8" spans="3:125" s="3" customFormat="1" ht="22.95" customHeight="1">
      <c r="C8" s="3" t="s">
        <v>256</v>
      </c>
      <c r="D8" s="25">
        <f>SUM(E8:DU8)</f>
        <v>-50000</v>
      </c>
      <c r="E8" s="21">
        <f>IF(E$4='Single Project Assumptions'!$H$50,-'Single Project Assumptions'!$H$49,0)</f>
        <v>-50000</v>
      </c>
      <c r="F8" s="21">
        <f>IF(F$4='Single Project Assumptions'!$H$50,-'Single Project Assumptions'!$H$49,0)</f>
        <v>0</v>
      </c>
      <c r="G8" s="21">
        <f>IF(G$4='Single Project Assumptions'!$H$50,-'Single Project Assumptions'!$H$49,0)</f>
        <v>0</v>
      </c>
      <c r="H8" s="21">
        <f>IF(H$4='Single Project Assumptions'!$H$50,-'Single Project Assumptions'!$H$49,0)</f>
        <v>0</v>
      </c>
      <c r="I8" s="21">
        <f>IF(I$4='Single Project Assumptions'!$H$50,-'Single Project Assumptions'!$H$49,0)</f>
        <v>0</v>
      </c>
      <c r="J8" s="21">
        <f>IF(J$4='Single Project Assumptions'!$H$50,-'Single Project Assumptions'!$H$49,0)</f>
        <v>0</v>
      </c>
      <c r="K8" s="21">
        <f>IF(K$4='Single Project Assumptions'!$H$50,-'Single Project Assumptions'!$H$49,0)</f>
        <v>0</v>
      </c>
      <c r="L8" s="21">
        <f>IF(L$4='Single Project Assumptions'!$H$50,-'Single Project Assumptions'!$H$49,0)</f>
        <v>0</v>
      </c>
      <c r="M8" s="21">
        <f>IF(M$4='Single Project Assumptions'!$H$50,-'Single Project Assumptions'!$H$49,0)</f>
        <v>0</v>
      </c>
      <c r="N8" s="21">
        <f>IF(N$4='Single Project Assumptions'!$H$50,-'Single Project Assumptions'!$H$49,0)</f>
        <v>0</v>
      </c>
      <c r="O8" s="21">
        <f>IF(O$4='Single Project Assumptions'!$H$50,-'Single Project Assumptions'!$H$49,0)</f>
        <v>0</v>
      </c>
      <c r="P8" s="21">
        <f>IF(P$4='Single Project Assumptions'!$H$50,-'Single Project Assumptions'!$H$49,0)</f>
        <v>0</v>
      </c>
      <c r="Q8" s="21">
        <f>IF(Q$4='Single Project Assumptions'!$H$50,-'Single Project Assumptions'!$H$49,0)</f>
        <v>0</v>
      </c>
      <c r="R8" s="21">
        <f>IF(R$4='Single Project Assumptions'!$H$50,-'Single Project Assumptions'!$H$49,0)</f>
        <v>0</v>
      </c>
      <c r="S8" s="21">
        <f>IF(S$4='Single Project Assumptions'!$H$50,-'Single Project Assumptions'!$H$49,0)</f>
        <v>0</v>
      </c>
      <c r="T8" s="21">
        <f>IF(T$4='Single Project Assumptions'!$H$50,-'Single Project Assumptions'!$H$49,0)</f>
        <v>0</v>
      </c>
      <c r="U8" s="21">
        <f>IF(U$4='Single Project Assumptions'!$H$50,-'Single Project Assumptions'!$H$49,0)</f>
        <v>0</v>
      </c>
      <c r="V8" s="21">
        <f>IF(V$4='Single Project Assumptions'!$H$50,-'Single Project Assumptions'!$H$49,0)</f>
        <v>0</v>
      </c>
      <c r="W8" s="21">
        <f>IF(W$4='Single Project Assumptions'!$H$50,-'Single Project Assumptions'!$H$49,0)</f>
        <v>0</v>
      </c>
      <c r="X8" s="21">
        <f>IF(X$4='Single Project Assumptions'!$H$50,-'Single Project Assumptions'!$H$49,0)</f>
        <v>0</v>
      </c>
      <c r="Y8" s="21">
        <f>IF(Y$4='Single Project Assumptions'!$H$50,-'Single Project Assumptions'!$H$49,0)</f>
        <v>0</v>
      </c>
      <c r="Z8" s="21">
        <f>IF(Z$4='Single Project Assumptions'!$H$50,-'Single Project Assumptions'!$H$49,0)</f>
        <v>0</v>
      </c>
      <c r="AA8" s="21">
        <f>IF(AA$4='Single Project Assumptions'!$H$50,-'Single Project Assumptions'!$H$49,0)</f>
        <v>0</v>
      </c>
      <c r="AB8" s="21">
        <f>IF(AB$4='Single Project Assumptions'!$H$50,-'Single Project Assumptions'!$H$49,0)</f>
        <v>0</v>
      </c>
      <c r="AC8" s="21">
        <f>IF(AC$4='Single Project Assumptions'!$H$50,-'Single Project Assumptions'!$H$49,0)</f>
        <v>0</v>
      </c>
      <c r="AD8" s="21">
        <f>IF(AD$4='Single Project Assumptions'!$H$50,-'Single Project Assumptions'!$H$49,0)</f>
        <v>0</v>
      </c>
      <c r="AE8" s="21">
        <f>IF(AE$4='Single Project Assumptions'!$H$50,-'Single Project Assumptions'!$H$49,0)</f>
        <v>0</v>
      </c>
      <c r="AF8" s="21">
        <f>IF(AF$4='Single Project Assumptions'!$H$50,-'Single Project Assumptions'!$H$49,0)</f>
        <v>0</v>
      </c>
      <c r="AG8" s="21">
        <f>IF(AG$4='Single Project Assumptions'!$H$50,-'Single Project Assumptions'!$H$49,0)</f>
        <v>0</v>
      </c>
      <c r="AH8" s="21">
        <f>IF(AH$4='Single Project Assumptions'!$H$50,-'Single Project Assumptions'!$H$49,0)</f>
        <v>0</v>
      </c>
      <c r="AI8" s="21">
        <f>IF(AI$4='Single Project Assumptions'!$H$50,-'Single Project Assumptions'!$H$49,0)</f>
        <v>0</v>
      </c>
      <c r="AJ8" s="21">
        <f>IF(AJ$4='Single Project Assumptions'!$H$50,-'Single Project Assumptions'!$H$49,0)</f>
        <v>0</v>
      </c>
      <c r="AK8" s="21">
        <f>IF(AK$4='Single Project Assumptions'!$H$50,-'Single Project Assumptions'!$H$49,0)</f>
        <v>0</v>
      </c>
      <c r="AL8" s="21">
        <f>IF(AL$4='Single Project Assumptions'!$H$50,-'Single Project Assumptions'!$H$49,0)</f>
        <v>0</v>
      </c>
      <c r="AM8" s="21">
        <f>IF(AM$4='Single Project Assumptions'!$H$50,-'Single Project Assumptions'!$H$49,0)</f>
        <v>0</v>
      </c>
      <c r="AN8" s="21">
        <f>IF(AN$4='Single Project Assumptions'!$H$50,-'Single Project Assumptions'!$H$49,0)</f>
        <v>0</v>
      </c>
      <c r="AO8" s="21">
        <f>IF(AO$4='Single Project Assumptions'!$H$50,-'Single Project Assumptions'!$H$49,0)</f>
        <v>0</v>
      </c>
      <c r="AP8" s="21">
        <f>IF(AP$4='Single Project Assumptions'!$H$50,-'Single Project Assumptions'!$H$49,0)</f>
        <v>0</v>
      </c>
      <c r="AQ8" s="21">
        <f>IF(AQ$4='Single Project Assumptions'!$H$50,-'Single Project Assumptions'!$H$49,0)</f>
        <v>0</v>
      </c>
      <c r="AR8" s="21">
        <f>IF(AR$4='Single Project Assumptions'!$H$50,-'Single Project Assumptions'!$H$49,0)</f>
        <v>0</v>
      </c>
      <c r="AS8" s="21">
        <f>IF(AS$4='Single Project Assumptions'!$H$50,-'Single Project Assumptions'!$H$49,0)</f>
        <v>0</v>
      </c>
      <c r="AT8" s="21">
        <f>IF(AT$4='Single Project Assumptions'!$H$50,-'Single Project Assumptions'!$H$49,0)</f>
        <v>0</v>
      </c>
      <c r="AU8" s="21">
        <f>IF(AU$4='Single Project Assumptions'!$H$50,-'Single Project Assumptions'!$H$49,0)</f>
        <v>0</v>
      </c>
      <c r="AV8" s="21">
        <f>IF(AV$4='Single Project Assumptions'!$H$50,-'Single Project Assumptions'!$H$49,0)</f>
        <v>0</v>
      </c>
      <c r="AW8" s="21">
        <f>IF(AW$4='Single Project Assumptions'!$H$50,-'Single Project Assumptions'!$H$49,0)</f>
        <v>0</v>
      </c>
      <c r="AX8" s="21">
        <f>IF(AX$4='Single Project Assumptions'!$H$50,-'Single Project Assumptions'!$H$49,0)</f>
        <v>0</v>
      </c>
      <c r="AY8" s="21">
        <f>IF(AY$4='Single Project Assumptions'!$H$50,-'Single Project Assumptions'!$H$49,0)</f>
        <v>0</v>
      </c>
      <c r="AZ8" s="21">
        <f>IF(AZ$4='Single Project Assumptions'!$H$50,-'Single Project Assumptions'!$H$49,0)</f>
        <v>0</v>
      </c>
      <c r="BA8" s="21">
        <f>IF(BA$4='Single Project Assumptions'!$H$50,-'Single Project Assumptions'!$H$49,0)</f>
        <v>0</v>
      </c>
      <c r="BB8" s="21">
        <f>IF(BB$4='Single Project Assumptions'!$H$50,-'Single Project Assumptions'!$H$49,0)</f>
        <v>0</v>
      </c>
      <c r="BC8" s="21">
        <f>IF(BC$4='Single Project Assumptions'!$H$50,-'Single Project Assumptions'!$H$49,0)</f>
        <v>0</v>
      </c>
      <c r="BD8" s="21">
        <f>IF(BD$4='Single Project Assumptions'!$H$50,-'Single Project Assumptions'!$H$49,0)</f>
        <v>0</v>
      </c>
      <c r="BE8" s="21">
        <f>IF(BE$4='Single Project Assumptions'!$H$50,-'Single Project Assumptions'!$H$49,0)</f>
        <v>0</v>
      </c>
      <c r="BF8" s="21">
        <f>IF(BF$4='Single Project Assumptions'!$H$50,-'Single Project Assumptions'!$H$49,0)</f>
        <v>0</v>
      </c>
      <c r="BG8" s="21">
        <f>IF(BG$4='Single Project Assumptions'!$H$50,-'Single Project Assumptions'!$H$49,0)</f>
        <v>0</v>
      </c>
      <c r="BH8" s="21">
        <f>IF(BH$4='Single Project Assumptions'!$H$50,-'Single Project Assumptions'!$H$49,0)</f>
        <v>0</v>
      </c>
      <c r="BI8" s="21">
        <f>IF(BI$4='Single Project Assumptions'!$H$50,-'Single Project Assumptions'!$H$49,0)</f>
        <v>0</v>
      </c>
      <c r="BJ8" s="21">
        <f>IF(BJ$4='Single Project Assumptions'!$H$50,-'Single Project Assumptions'!$H$49,0)</f>
        <v>0</v>
      </c>
      <c r="BK8" s="21">
        <f>IF(BK$4='Single Project Assumptions'!$H$50,-'Single Project Assumptions'!$H$49,0)</f>
        <v>0</v>
      </c>
      <c r="BL8" s="21">
        <f>IF(BL$4='Single Project Assumptions'!$H$50,-'Single Project Assumptions'!$H$49,0)</f>
        <v>0</v>
      </c>
      <c r="BM8" s="21">
        <f>IF(BM$4='Single Project Assumptions'!$H$50,-'Single Project Assumptions'!$H$49,0)</f>
        <v>0</v>
      </c>
      <c r="BN8" s="21">
        <f>IF(BN$4='Single Project Assumptions'!$H$50,-'Single Project Assumptions'!$H$49,0)</f>
        <v>0</v>
      </c>
      <c r="BO8" s="21">
        <f>IF(BO$4='Single Project Assumptions'!$H$50,-'Single Project Assumptions'!$H$49,0)</f>
        <v>0</v>
      </c>
      <c r="BP8" s="21">
        <f>IF(BP$4='Single Project Assumptions'!$H$50,-'Single Project Assumptions'!$H$49,0)</f>
        <v>0</v>
      </c>
      <c r="BQ8" s="21">
        <f>IF(BQ$4='Single Project Assumptions'!$H$50,-'Single Project Assumptions'!$H$49,0)</f>
        <v>0</v>
      </c>
      <c r="BR8" s="21">
        <f>IF(BR$4='Single Project Assumptions'!$H$50,-'Single Project Assumptions'!$H$49,0)</f>
        <v>0</v>
      </c>
      <c r="BS8" s="21">
        <f>IF(BS$4='Single Project Assumptions'!$H$50,-'Single Project Assumptions'!$H$49,0)</f>
        <v>0</v>
      </c>
      <c r="BT8" s="21">
        <f>IF(BT$4='Single Project Assumptions'!$H$50,-'Single Project Assumptions'!$H$49,0)</f>
        <v>0</v>
      </c>
      <c r="BU8" s="21">
        <f>IF(BU$4='Single Project Assumptions'!$H$50,-'Single Project Assumptions'!$H$49,0)</f>
        <v>0</v>
      </c>
      <c r="BV8" s="21">
        <f>IF(BV$4='Single Project Assumptions'!$H$50,-'Single Project Assumptions'!$H$49,0)</f>
        <v>0</v>
      </c>
      <c r="BW8" s="21">
        <f>IF(BW$4='Single Project Assumptions'!$H$50,-'Single Project Assumptions'!$H$49,0)</f>
        <v>0</v>
      </c>
      <c r="BX8" s="21">
        <f>IF(BX$4='Single Project Assumptions'!$H$50,-'Single Project Assumptions'!$H$49,0)</f>
        <v>0</v>
      </c>
      <c r="BY8" s="21">
        <f>IF(BY$4='Single Project Assumptions'!$H$50,-'Single Project Assumptions'!$H$49,0)</f>
        <v>0</v>
      </c>
      <c r="BZ8" s="21">
        <f>IF(BZ$4='Single Project Assumptions'!$H$50,-'Single Project Assumptions'!$H$49,0)</f>
        <v>0</v>
      </c>
      <c r="CA8" s="21">
        <f>IF(CA$4='Single Project Assumptions'!$H$50,-'Single Project Assumptions'!$H$49,0)</f>
        <v>0</v>
      </c>
      <c r="CB8" s="21">
        <f>IF(CB$4='Single Project Assumptions'!$H$50,-'Single Project Assumptions'!$H$49,0)</f>
        <v>0</v>
      </c>
      <c r="CC8" s="21">
        <f>IF(CC$4='Single Project Assumptions'!$H$50,-'Single Project Assumptions'!$H$49,0)</f>
        <v>0</v>
      </c>
      <c r="CD8" s="21">
        <f>IF(CD$4='Single Project Assumptions'!$H$50,-'Single Project Assumptions'!$H$49,0)</f>
        <v>0</v>
      </c>
      <c r="CE8" s="21">
        <f>IF(CE$4='Single Project Assumptions'!$H$50,-'Single Project Assumptions'!$H$49,0)</f>
        <v>0</v>
      </c>
      <c r="CF8" s="21">
        <f>IF(CF$4='Single Project Assumptions'!$H$50,-'Single Project Assumptions'!$H$49,0)</f>
        <v>0</v>
      </c>
      <c r="CG8" s="21">
        <f>IF(CG$4='Single Project Assumptions'!$H$50,-'Single Project Assumptions'!$H$49,0)</f>
        <v>0</v>
      </c>
      <c r="CH8" s="21">
        <f>IF(CH$4='Single Project Assumptions'!$H$50,-'Single Project Assumptions'!$H$49,0)</f>
        <v>0</v>
      </c>
      <c r="CI8" s="21">
        <f>IF(CI$4='Single Project Assumptions'!$H$50,-'Single Project Assumptions'!$H$49,0)</f>
        <v>0</v>
      </c>
      <c r="CJ8" s="21">
        <f>IF(CJ$4='Single Project Assumptions'!$H$50,-'Single Project Assumptions'!$H$49,0)</f>
        <v>0</v>
      </c>
      <c r="CK8" s="21">
        <f>IF(CK$4='Single Project Assumptions'!$H$50,-'Single Project Assumptions'!$H$49,0)</f>
        <v>0</v>
      </c>
      <c r="CL8" s="21">
        <f>IF(CL$4='Single Project Assumptions'!$H$50,-'Single Project Assumptions'!$H$49,0)</f>
        <v>0</v>
      </c>
      <c r="CM8" s="21">
        <f>IF(CM$4='Single Project Assumptions'!$H$50,-'Single Project Assumptions'!$H$49,0)</f>
        <v>0</v>
      </c>
      <c r="CN8" s="21">
        <f>IF(CN$4='Single Project Assumptions'!$H$50,-'Single Project Assumptions'!$H$49,0)</f>
        <v>0</v>
      </c>
      <c r="CO8" s="21">
        <f>IF(CO$4='Single Project Assumptions'!$H$50,-'Single Project Assumptions'!$H$49,0)</f>
        <v>0</v>
      </c>
      <c r="CP8" s="21">
        <f>IF(CP$4='Single Project Assumptions'!$H$50,-'Single Project Assumptions'!$H$49,0)</f>
        <v>0</v>
      </c>
      <c r="CQ8" s="21">
        <f>IF(CQ$4='Single Project Assumptions'!$H$50,-'Single Project Assumptions'!$H$49,0)</f>
        <v>0</v>
      </c>
      <c r="CR8" s="21">
        <f>IF(CR$4='Single Project Assumptions'!$H$50,-'Single Project Assumptions'!$H$49,0)</f>
        <v>0</v>
      </c>
      <c r="CS8" s="21">
        <f>IF(CS$4='Single Project Assumptions'!$H$50,-'Single Project Assumptions'!$H$49,0)</f>
        <v>0</v>
      </c>
      <c r="CT8" s="21">
        <f>IF(CT$4='Single Project Assumptions'!$H$50,-'Single Project Assumptions'!$H$49,0)</f>
        <v>0</v>
      </c>
      <c r="CU8" s="21">
        <f>IF(CU$4='Single Project Assumptions'!$H$50,-'Single Project Assumptions'!$H$49,0)</f>
        <v>0</v>
      </c>
      <c r="CV8" s="21">
        <f>IF(CV$4='Single Project Assumptions'!$H$50,-'Single Project Assumptions'!$H$49,0)</f>
        <v>0</v>
      </c>
      <c r="CW8" s="21">
        <f>IF(CW$4='Single Project Assumptions'!$H$50,-'Single Project Assumptions'!$H$49,0)</f>
        <v>0</v>
      </c>
      <c r="CX8" s="21">
        <f>IF(CX$4='Single Project Assumptions'!$H$50,-'Single Project Assumptions'!$H$49,0)</f>
        <v>0</v>
      </c>
      <c r="CY8" s="21">
        <f>IF(CY$4='Single Project Assumptions'!$H$50,-'Single Project Assumptions'!$H$49,0)</f>
        <v>0</v>
      </c>
      <c r="CZ8" s="21">
        <f>IF(CZ$4='Single Project Assumptions'!$H$50,-'Single Project Assumptions'!$H$49,0)</f>
        <v>0</v>
      </c>
      <c r="DA8" s="21">
        <f>IF(DA$4='Single Project Assumptions'!$H$50,-'Single Project Assumptions'!$H$49,0)</f>
        <v>0</v>
      </c>
      <c r="DB8" s="21">
        <f>IF(DB$4='Single Project Assumptions'!$H$50,-'Single Project Assumptions'!$H$49,0)</f>
        <v>0</v>
      </c>
      <c r="DC8" s="21">
        <f>IF(DC$4='Single Project Assumptions'!$H$50,-'Single Project Assumptions'!$H$49,0)</f>
        <v>0</v>
      </c>
      <c r="DD8" s="21">
        <f>IF(DD$4='Single Project Assumptions'!$H$50,-'Single Project Assumptions'!$H$49,0)</f>
        <v>0</v>
      </c>
      <c r="DE8" s="21">
        <f>IF(DE$4='Single Project Assumptions'!$H$50,-'Single Project Assumptions'!$H$49,0)</f>
        <v>0</v>
      </c>
      <c r="DF8" s="21">
        <f>IF(DF$4='Single Project Assumptions'!$H$50,-'Single Project Assumptions'!$H$49,0)</f>
        <v>0</v>
      </c>
      <c r="DG8" s="21">
        <f>IF(DG$4='Single Project Assumptions'!$H$50,-'Single Project Assumptions'!$H$49,0)</f>
        <v>0</v>
      </c>
      <c r="DH8" s="21">
        <f>IF(DH$4='Single Project Assumptions'!$H$50,-'Single Project Assumptions'!$H$49,0)</f>
        <v>0</v>
      </c>
      <c r="DI8" s="21">
        <f>IF(DI$4='Single Project Assumptions'!$H$50,-'Single Project Assumptions'!$H$49,0)</f>
        <v>0</v>
      </c>
      <c r="DJ8" s="21">
        <f>IF(DJ$4='Single Project Assumptions'!$H$50,-'Single Project Assumptions'!$H$49,0)</f>
        <v>0</v>
      </c>
      <c r="DK8" s="21">
        <f>IF(DK$4='Single Project Assumptions'!$H$50,-'Single Project Assumptions'!$H$49,0)</f>
        <v>0</v>
      </c>
      <c r="DL8" s="21">
        <f>IF(DL$4='Single Project Assumptions'!$H$50,-'Single Project Assumptions'!$H$49,0)</f>
        <v>0</v>
      </c>
      <c r="DM8" s="21">
        <f>IF(DM$4='Single Project Assumptions'!$H$50,-'Single Project Assumptions'!$H$49,0)</f>
        <v>0</v>
      </c>
      <c r="DN8" s="21">
        <f>IF(DN$4='Single Project Assumptions'!$H$50,-'Single Project Assumptions'!$H$49,0)</f>
        <v>0</v>
      </c>
      <c r="DO8" s="21">
        <f>IF(DO$4='Single Project Assumptions'!$H$50,-'Single Project Assumptions'!$H$49,0)</f>
        <v>0</v>
      </c>
      <c r="DP8" s="21">
        <f>IF(DP$4='Single Project Assumptions'!$H$50,-'Single Project Assumptions'!$H$49,0)</f>
        <v>0</v>
      </c>
      <c r="DQ8" s="21">
        <f>IF(DQ$4='Single Project Assumptions'!$H$50,-'Single Project Assumptions'!$H$49,0)</f>
        <v>0</v>
      </c>
      <c r="DR8" s="21">
        <f>IF(DR$4='Single Project Assumptions'!$H$50,-'Single Project Assumptions'!$H$49,0)</f>
        <v>0</v>
      </c>
      <c r="DS8" s="21">
        <f>IF(DS$4='Single Project Assumptions'!$H$50,-'Single Project Assumptions'!$H$49,0)</f>
        <v>0</v>
      </c>
      <c r="DT8" s="21">
        <f>IF(DT$4='Single Project Assumptions'!$H$50,-'Single Project Assumptions'!$H$49,0)</f>
        <v>0</v>
      </c>
      <c r="DU8" s="21">
        <f>IF(DU$4='Single Project Assumptions'!$H$50,-'Single Project Assumptions'!$H$49,0)</f>
        <v>0</v>
      </c>
    </row>
    <row r="9" spans="3:125" s="3" customFormat="1" ht="22.95" customHeight="1">
      <c r="C9" s="26" t="s">
        <v>257</v>
      </c>
      <c r="D9" s="27">
        <f>SUM(E9:DU9)</f>
        <v>-40000.000000000015</v>
      </c>
      <c r="E9" s="28">
        <f t="shared" ref="E9:AJ9" si="8">SUM(E7:E8)</f>
        <v>-48333.333333333336</v>
      </c>
      <c r="F9" s="28">
        <f t="shared" si="8"/>
        <v>1666.6666666666667</v>
      </c>
      <c r="G9" s="28">
        <f t="shared" si="8"/>
        <v>1666.6666666666667</v>
      </c>
      <c r="H9" s="28">
        <f t="shared" si="8"/>
        <v>1666.6666666666667</v>
      </c>
      <c r="I9" s="28">
        <f t="shared" si="8"/>
        <v>1666.6666666666667</v>
      </c>
      <c r="J9" s="28">
        <f t="shared" si="8"/>
        <v>1666.6666666666667</v>
      </c>
      <c r="K9" s="28">
        <f t="shared" si="8"/>
        <v>0</v>
      </c>
      <c r="L9" s="28">
        <f t="shared" si="8"/>
        <v>0</v>
      </c>
      <c r="M9" s="28">
        <f t="shared" si="8"/>
        <v>0</v>
      </c>
      <c r="N9" s="28">
        <f t="shared" si="8"/>
        <v>0</v>
      </c>
      <c r="O9" s="28">
        <f t="shared" si="8"/>
        <v>0</v>
      </c>
      <c r="P9" s="28">
        <f t="shared" si="8"/>
        <v>0</v>
      </c>
      <c r="Q9" s="28">
        <f t="shared" si="8"/>
        <v>0</v>
      </c>
      <c r="R9" s="28">
        <f t="shared" si="8"/>
        <v>0</v>
      </c>
      <c r="S9" s="28">
        <f t="shared" si="8"/>
        <v>0</v>
      </c>
      <c r="T9" s="28">
        <f t="shared" si="8"/>
        <v>0</v>
      </c>
      <c r="U9" s="28">
        <f t="shared" si="8"/>
        <v>0</v>
      </c>
      <c r="V9" s="28">
        <f t="shared" si="8"/>
        <v>0</v>
      </c>
      <c r="W9" s="28">
        <f t="shared" si="8"/>
        <v>0</v>
      </c>
      <c r="X9" s="28">
        <f t="shared" si="8"/>
        <v>0</v>
      </c>
      <c r="Y9" s="28">
        <f t="shared" si="8"/>
        <v>0</v>
      </c>
      <c r="Z9" s="28">
        <f t="shared" si="8"/>
        <v>0</v>
      </c>
      <c r="AA9" s="28">
        <f t="shared" si="8"/>
        <v>0</v>
      </c>
      <c r="AB9" s="28">
        <f t="shared" si="8"/>
        <v>0</v>
      </c>
      <c r="AC9" s="28">
        <f t="shared" si="8"/>
        <v>0</v>
      </c>
      <c r="AD9" s="28">
        <f t="shared" si="8"/>
        <v>0</v>
      </c>
      <c r="AE9" s="28">
        <f t="shared" si="8"/>
        <v>0</v>
      </c>
      <c r="AF9" s="28">
        <f t="shared" si="8"/>
        <v>0</v>
      </c>
      <c r="AG9" s="28">
        <f t="shared" si="8"/>
        <v>0</v>
      </c>
      <c r="AH9" s="28">
        <f t="shared" si="8"/>
        <v>0</v>
      </c>
      <c r="AI9" s="28">
        <f t="shared" si="8"/>
        <v>0</v>
      </c>
      <c r="AJ9" s="28">
        <f t="shared" si="8"/>
        <v>0</v>
      </c>
      <c r="AK9" s="28">
        <f t="shared" ref="AK9:BP9" si="9">SUM(AK7:AK8)</f>
        <v>0</v>
      </c>
      <c r="AL9" s="28">
        <f t="shared" si="9"/>
        <v>0</v>
      </c>
      <c r="AM9" s="28">
        <f t="shared" si="9"/>
        <v>0</v>
      </c>
      <c r="AN9" s="28">
        <f t="shared" si="9"/>
        <v>0</v>
      </c>
      <c r="AO9" s="28">
        <f t="shared" si="9"/>
        <v>0</v>
      </c>
      <c r="AP9" s="28">
        <f t="shared" si="9"/>
        <v>0</v>
      </c>
      <c r="AQ9" s="28">
        <f t="shared" si="9"/>
        <v>0</v>
      </c>
      <c r="AR9" s="28">
        <f t="shared" si="9"/>
        <v>0</v>
      </c>
      <c r="AS9" s="28">
        <f t="shared" si="9"/>
        <v>0</v>
      </c>
      <c r="AT9" s="28">
        <f t="shared" si="9"/>
        <v>0</v>
      </c>
      <c r="AU9" s="28">
        <f t="shared" si="9"/>
        <v>0</v>
      </c>
      <c r="AV9" s="28">
        <f t="shared" si="9"/>
        <v>0</v>
      </c>
      <c r="AW9" s="28">
        <f t="shared" si="9"/>
        <v>0</v>
      </c>
      <c r="AX9" s="28">
        <f t="shared" si="9"/>
        <v>0</v>
      </c>
      <c r="AY9" s="28">
        <f t="shared" si="9"/>
        <v>0</v>
      </c>
      <c r="AZ9" s="28">
        <f t="shared" si="9"/>
        <v>0</v>
      </c>
      <c r="BA9" s="28">
        <f t="shared" si="9"/>
        <v>0</v>
      </c>
      <c r="BB9" s="28">
        <f t="shared" si="9"/>
        <v>0</v>
      </c>
      <c r="BC9" s="28">
        <f t="shared" si="9"/>
        <v>0</v>
      </c>
      <c r="BD9" s="28">
        <f t="shared" si="9"/>
        <v>0</v>
      </c>
      <c r="BE9" s="28">
        <f t="shared" si="9"/>
        <v>0</v>
      </c>
      <c r="BF9" s="28">
        <f t="shared" si="9"/>
        <v>0</v>
      </c>
      <c r="BG9" s="28">
        <f t="shared" si="9"/>
        <v>0</v>
      </c>
      <c r="BH9" s="28">
        <f t="shared" si="9"/>
        <v>0</v>
      </c>
      <c r="BI9" s="28">
        <f t="shared" si="9"/>
        <v>0</v>
      </c>
      <c r="BJ9" s="28">
        <f t="shared" si="9"/>
        <v>0</v>
      </c>
      <c r="BK9" s="28">
        <f t="shared" si="9"/>
        <v>0</v>
      </c>
      <c r="BL9" s="28">
        <f t="shared" si="9"/>
        <v>0</v>
      </c>
      <c r="BM9" s="28">
        <f t="shared" si="9"/>
        <v>0</v>
      </c>
      <c r="BN9" s="28">
        <f t="shared" si="9"/>
        <v>0</v>
      </c>
      <c r="BO9" s="28">
        <f t="shared" si="9"/>
        <v>0</v>
      </c>
      <c r="BP9" s="28">
        <f t="shared" si="9"/>
        <v>0</v>
      </c>
      <c r="BQ9" s="28">
        <f t="shared" ref="BQ9:CV9" si="10">SUM(BQ7:BQ8)</f>
        <v>0</v>
      </c>
      <c r="BR9" s="28">
        <f t="shared" si="10"/>
        <v>0</v>
      </c>
      <c r="BS9" s="28">
        <f t="shared" si="10"/>
        <v>0</v>
      </c>
      <c r="BT9" s="28">
        <f t="shared" si="10"/>
        <v>0</v>
      </c>
      <c r="BU9" s="28">
        <f t="shared" si="10"/>
        <v>0</v>
      </c>
      <c r="BV9" s="28">
        <f t="shared" si="10"/>
        <v>0</v>
      </c>
      <c r="BW9" s="28">
        <f t="shared" si="10"/>
        <v>0</v>
      </c>
      <c r="BX9" s="28">
        <f t="shared" si="10"/>
        <v>0</v>
      </c>
      <c r="BY9" s="28">
        <f t="shared" si="10"/>
        <v>0</v>
      </c>
      <c r="BZ9" s="28">
        <f t="shared" si="10"/>
        <v>0</v>
      </c>
      <c r="CA9" s="28">
        <f t="shared" si="10"/>
        <v>0</v>
      </c>
      <c r="CB9" s="28">
        <f t="shared" si="10"/>
        <v>0</v>
      </c>
      <c r="CC9" s="28">
        <f t="shared" si="10"/>
        <v>0</v>
      </c>
      <c r="CD9" s="28">
        <f t="shared" si="10"/>
        <v>0</v>
      </c>
      <c r="CE9" s="28">
        <f t="shared" si="10"/>
        <v>0</v>
      </c>
      <c r="CF9" s="28">
        <f t="shared" si="10"/>
        <v>0</v>
      </c>
      <c r="CG9" s="28">
        <f t="shared" si="10"/>
        <v>0</v>
      </c>
      <c r="CH9" s="28">
        <f t="shared" si="10"/>
        <v>0</v>
      </c>
      <c r="CI9" s="28">
        <f t="shared" si="10"/>
        <v>0</v>
      </c>
      <c r="CJ9" s="28">
        <f t="shared" si="10"/>
        <v>0</v>
      </c>
      <c r="CK9" s="28">
        <f t="shared" si="10"/>
        <v>0</v>
      </c>
      <c r="CL9" s="28">
        <f t="shared" si="10"/>
        <v>0</v>
      </c>
      <c r="CM9" s="28">
        <f t="shared" si="10"/>
        <v>0</v>
      </c>
      <c r="CN9" s="28">
        <f t="shared" si="10"/>
        <v>0</v>
      </c>
      <c r="CO9" s="28">
        <f t="shared" si="10"/>
        <v>0</v>
      </c>
      <c r="CP9" s="28">
        <f t="shared" si="10"/>
        <v>0</v>
      </c>
      <c r="CQ9" s="28">
        <f t="shared" si="10"/>
        <v>0</v>
      </c>
      <c r="CR9" s="28">
        <f t="shared" si="10"/>
        <v>0</v>
      </c>
      <c r="CS9" s="28">
        <f t="shared" si="10"/>
        <v>0</v>
      </c>
      <c r="CT9" s="28">
        <f t="shared" si="10"/>
        <v>0</v>
      </c>
      <c r="CU9" s="28">
        <f t="shared" si="10"/>
        <v>0</v>
      </c>
      <c r="CV9" s="28">
        <f t="shared" si="10"/>
        <v>0</v>
      </c>
      <c r="CW9" s="28">
        <f t="shared" ref="CW9:DU9" si="11">SUM(CW7:CW8)</f>
        <v>0</v>
      </c>
      <c r="CX9" s="28">
        <f t="shared" si="11"/>
        <v>0</v>
      </c>
      <c r="CY9" s="28">
        <f t="shared" si="11"/>
        <v>0</v>
      </c>
      <c r="CZ9" s="28">
        <f t="shared" si="11"/>
        <v>0</v>
      </c>
      <c r="DA9" s="28">
        <f t="shared" si="11"/>
        <v>0</v>
      </c>
      <c r="DB9" s="28">
        <f t="shared" si="11"/>
        <v>0</v>
      </c>
      <c r="DC9" s="28">
        <f t="shared" si="11"/>
        <v>0</v>
      </c>
      <c r="DD9" s="28">
        <f t="shared" si="11"/>
        <v>0</v>
      </c>
      <c r="DE9" s="28">
        <f t="shared" si="11"/>
        <v>0</v>
      </c>
      <c r="DF9" s="28">
        <f t="shared" si="11"/>
        <v>0</v>
      </c>
      <c r="DG9" s="28">
        <f t="shared" si="11"/>
        <v>0</v>
      </c>
      <c r="DH9" s="28">
        <f t="shared" si="11"/>
        <v>0</v>
      </c>
      <c r="DI9" s="28">
        <f t="shared" si="11"/>
        <v>0</v>
      </c>
      <c r="DJ9" s="28">
        <f t="shared" si="11"/>
        <v>0</v>
      </c>
      <c r="DK9" s="28">
        <f t="shared" si="11"/>
        <v>0</v>
      </c>
      <c r="DL9" s="28">
        <f t="shared" si="11"/>
        <v>0</v>
      </c>
      <c r="DM9" s="28">
        <f t="shared" si="11"/>
        <v>0</v>
      </c>
      <c r="DN9" s="28">
        <f t="shared" si="11"/>
        <v>0</v>
      </c>
      <c r="DO9" s="28">
        <f t="shared" si="11"/>
        <v>0</v>
      </c>
      <c r="DP9" s="28">
        <f t="shared" si="11"/>
        <v>0</v>
      </c>
      <c r="DQ9" s="28">
        <f t="shared" si="11"/>
        <v>0</v>
      </c>
      <c r="DR9" s="28">
        <f t="shared" si="11"/>
        <v>0</v>
      </c>
      <c r="DS9" s="28">
        <f t="shared" si="11"/>
        <v>0</v>
      </c>
      <c r="DT9" s="28">
        <f t="shared" si="11"/>
        <v>0</v>
      </c>
      <c r="DU9" s="28">
        <f t="shared" si="11"/>
        <v>0</v>
      </c>
    </row>
    <row r="10" spans="3:125" s="3" customFormat="1" ht="22.95" customHeight="1">
      <c r="D10" s="25"/>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row>
    <row r="11" spans="3:125" s="3" customFormat="1" ht="22.95" customHeight="1">
      <c r="C11" s="60" t="s">
        <v>258</v>
      </c>
      <c r="D11" s="25"/>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row>
    <row r="12" spans="3:125" s="3" customFormat="1" ht="22.95" customHeight="1">
      <c r="C12" s="3" t="s">
        <v>256</v>
      </c>
      <c r="D12" s="25">
        <f>SUM(E12:DU12)</f>
        <v>50000</v>
      </c>
      <c r="E12" s="21">
        <f t="shared" ref="E12:AJ12" si="12">-E8</f>
        <v>50000</v>
      </c>
      <c r="F12" s="21">
        <f t="shared" si="12"/>
        <v>0</v>
      </c>
      <c r="G12" s="21">
        <f t="shared" si="12"/>
        <v>0</v>
      </c>
      <c r="H12" s="21">
        <f t="shared" si="12"/>
        <v>0</v>
      </c>
      <c r="I12" s="21">
        <f t="shared" si="12"/>
        <v>0</v>
      </c>
      <c r="J12" s="21">
        <f t="shared" si="12"/>
        <v>0</v>
      </c>
      <c r="K12" s="21">
        <f t="shared" si="12"/>
        <v>0</v>
      </c>
      <c r="L12" s="21">
        <f t="shared" si="12"/>
        <v>0</v>
      </c>
      <c r="M12" s="21">
        <f t="shared" si="12"/>
        <v>0</v>
      </c>
      <c r="N12" s="21">
        <f t="shared" si="12"/>
        <v>0</v>
      </c>
      <c r="O12" s="21">
        <f t="shared" si="12"/>
        <v>0</v>
      </c>
      <c r="P12" s="21">
        <f t="shared" si="12"/>
        <v>0</v>
      </c>
      <c r="Q12" s="21">
        <f t="shared" si="12"/>
        <v>0</v>
      </c>
      <c r="R12" s="21">
        <f t="shared" si="12"/>
        <v>0</v>
      </c>
      <c r="S12" s="21">
        <f t="shared" si="12"/>
        <v>0</v>
      </c>
      <c r="T12" s="21">
        <f t="shared" si="12"/>
        <v>0</v>
      </c>
      <c r="U12" s="21">
        <f t="shared" si="12"/>
        <v>0</v>
      </c>
      <c r="V12" s="21">
        <f t="shared" si="12"/>
        <v>0</v>
      </c>
      <c r="W12" s="21">
        <f t="shared" si="12"/>
        <v>0</v>
      </c>
      <c r="X12" s="21">
        <f t="shared" si="12"/>
        <v>0</v>
      </c>
      <c r="Y12" s="21">
        <f t="shared" si="12"/>
        <v>0</v>
      </c>
      <c r="Z12" s="21">
        <f t="shared" si="12"/>
        <v>0</v>
      </c>
      <c r="AA12" s="21">
        <f t="shared" si="12"/>
        <v>0</v>
      </c>
      <c r="AB12" s="21">
        <f t="shared" si="12"/>
        <v>0</v>
      </c>
      <c r="AC12" s="21">
        <f t="shared" si="12"/>
        <v>0</v>
      </c>
      <c r="AD12" s="21">
        <f t="shared" si="12"/>
        <v>0</v>
      </c>
      <c r="AE12" s="21">
        <f t="shared" si="12"/>
        <v>0</v>
      </c>
      <c r="AF12" s="21">
        <f t="shared" si="12"/>
        <v>0</v>
      </c>
      <c r="AG12" s="21">
        <f t="shared" si="12"/>
        <v>0</v>
      </c>
      <c r="AH12" s="21">
        <f t="shared" si="12"/>
        <v>0</v>
      </c>
      <c r="AI12" s="21">
        <f t="shared" si="12"/>
        <v>0</v>
      </c>
      <c r="AJ12" s="21">
        <f t="shared" si="12"/>
        <v>0</v>
      </c>
      <c r="AK12" s="21">
        <f t="shared" ref="AK12:BP12" si="13">-AK8</f>
        <v>0</v>
      </c>
      <c r="AL12" s="21">
        <f t="shared" si="13"/>
        <v>0</v>
      </c>
      <c r="AM12" s="21">
        <f t="shared" si="13"/>
        <v>0</v>
      </c>
      <c r="AN12" s="21">
        <f t="shared" si="13"/>
        <v>0</v>
      </c>
      <c r="AO12" s="21">
        <f t="shared" si="13"/>
        <v>0</v>
      </c>
      <c r="AP12" s="21">
        <f t="shared" si="13"/>
        <v>0</v>
      </c>
      <c r="AQ12" s="21">
        <f t="shared" si="13"/>
        <v>0</v>
      </c>
      <c r="AR12" s="21">
        <f t="shared" si="13"/>
        <v>0</v>
      </c>
      <c r="AS12" s="21">
        <f t="shared" si="13"/>
        <v>0</v>
      </c>
      <c r="AT12" s="21">
        <f t="shared" si="13"/>
        <v>0</v>
      </c>
      <c r="AU12" s="21">
        <f t="shared" si="13"/>
        <v>0</v>
      </c>
      <c r="AV12" s="21">
        <f t="shared" si="13"/>
        <v>0</v>
      </c>
      <c r="AW12" s="21">
        <f t="shared" si="13"/>
        <v>0</v>
      </c>
      <c r="AX12" s="21">
        <f t="shared" si="13"/>
        <v>0</v>
      </c>
      <c r="AY12" s="21">
        <f t="shared" si="13"/>
        <v>0</v>
      </c>
      <c r="AZ12" s="21">
        <f t="shared" si="13"/>
        <v>0</v>
      </c>
      <c r="BA12" s="21">
        <f t="shared" si="13"/>
        <v>0</v>
      </c>
      <c r="BB12" s="21">
        <f t="shared" si="13"/>
        <v>0</v>
      </c>
      <c r="BC12" s="21">
        <f t="shared" si="13"/>
        <v>0</v>
      </c>
      <c r="BD12" s="21">
        <f t="shared" si="13"/>
        <v>0</v>
      </c>
      <c r="BE12" s="21">
        <f t="shared" si="13"/>
        <v>0</v>
      </c>
      <c r="BF12" s="21">
        <f t="shared" si="13"/>
        <v>0</v>
      </c>
      <c r="BG12" s="21">
        <f t="shared" si="13"/>
        <v>0</v>
      </c>
      <c r="BH12" s="21">
        <f t="shared" si="13"/>
        <v>0</v>
      </c>
      <c r="BI12" s="21">
        <f t="shared" si="13"/>
        <v>0</v>
      </c>
      <c r="BJ12" s="21">
        <f t="shared" si="13"/>
        <v>0</v>
      </c>
      <c r="BK12" s="21">
        <f t="shared" si="13"/>
        <v>0</v>
      </c>
      <c r="BL12" s="21">
        <f t="shared" si="13"/>
        <v>0</v>
      </c>
      <c r="BM12" s="21">
        <f t="shared" si="13"/>
        <v>0</v>
      </c>
      <c r="BN12" s="21">
        <f t="shared" si="13"/>
        <v>0</v>
      </c>
      <c r="BO12" s="21">
        <f t="shared" si="13"/>
        <v>0</v>
      </c>
      <c r="BP12" s="21">
        <f t="shared" si="13"/>
        <v>0</v>
      </c>
      <c r="BQ12" s="21">
        <f t="shared" ref="BQ12:CV12" si="14">-BQ8</f>
        <v>0</v>
      </c>
      <c r="BR12" s="21">
        <f t="shared" si="14"/>
        <v>0</v>
      </c>
      <c r="BS12" s="21">
        <f t="shared" si="14"/>
        <v>0</v>
      </c>
      <c r="BT12" s="21">
        <f t="shared" si="14"/>
        <v>0</v>
      </c>
      <c r="BU12" s="21">
        <f t="shared" si="14"/>
        <v>0</v>
      </c>
      <c r="BV12" s="21">
        <f t="shared" si="14"/>
        <v>0</v>
      </c>
      <c r="BW12" s="21">
        <f t="shared" si="14"/>
        <v>0</v>
      </c>
      <c r="BX12" s="21">
        <f t="shared" si="14"/>
        <v>0</v>
      </c>
      <c r="BY12" s="21">
        <f t="shared" si="14"/>
        <v>0</v>
      </c>
      <c r="BZ12" s="21">
        <f t="shared" si="14"/>
        <v>0</v>
      </c>
      <c r="CA12" s="21">
        <f t="shared" si="14"/>
        <v>0</v>
      </c>
      <c r="CB12" s="21">
        <f t="shared" si="14"/>
        <v>0</v>
      </c>
      <c r="CC12" s="21">
        <f t="shared" si="14"/>
        <v>0</v>
      </c>
      <c r="CD12" s="21">
        <f t="shared" si="14"/>
        <v>0</v>
      </c>
      <c r="CE12" s="21">
        <f t="shared" si="14"/>
        <v>0</v>
      </c>
      <c r="CF12" s="21">
        <f t="shared" si="14"/>
        <v>0</v>
      </c>
      <c r="CG12" s="21">
        <f t="shared" si="14"/>
        <v>0</v>
      </c>
      <c r="CH12" s="21">
        <f t="shared" si="14"/>
        <v>0</v>
      </c>
      <c r="CI12" s="21">
        <f t="shared" si="14"/>
        <v>0</v>
      </c>
      <c r="CJ12" s="21">
        <f t="shared" si="14"/>
        <v>0</v>
      </c>
      <c r="CK12" s="21">
        <f t="shared" si="14"/>
        <v>0</v>
      </c>
      <c r="CL12" s="21">
        <f t="shared" si="14"/>
        <v>0</v>
      </c>
      <c r="CM12" s="21">
        <f t="shared" si="14"/>
        <v>0</v>
      </c>
      <c r="CN12" s="21">
        <f t="shared" si="14"/>
        <v>0</v>
      </c>
      <c r="CO12" s="21">
        <f t="shared" si="14"/>
        <v>0</v>
      </c>
      <c r="CP12" s="21">
        <f t="shared" si="14"/>
        <v>0</v>
      </c>
      <c r="CQ12" s="21">
        <f t="shared" si="14"/>
        <v>0</v>
      </c>
      <c r="CR12" s="21">
        <f t="shared" si="14"/>
        <v>0</v>
      </c>
      <c r="CS12" s="21">
        <f t="shared" si="14"/>
        <v>0</v>
      </c>
      <c r="CT12" s="21">
        <f t="shared" si="14"/>
        <v>0</v>
      </c>
      <c r="CU12" s="21">
        <f t="shared" si="14"/>
        <v>0</v>
      </c>
      <c r="CV12" s="21">
        <f t="shared" si="14"/>
        <v>0</v>
      </c>
      <c r="CW12" s="21">
        <f t="shared" ref="CW12:DU12" si="15">-CW8</f>
        <v>0</v>
      </c>
      <c r="CX12" s="21">
        <f t="shared" si="15"/>
        <v>0</v>
      </c>
      <c r="CY12" s="21">
        <f t="shared" si="15"/>
        <v>0</v>
      </c>
      <c r="CZ12" s="21">
        <f t="shared" si="15"/>
        <v>0</v>
      </c>
      <c r="DA12" s="21">
        <f t="shared" si="15"/>
        <v>0</v>
      </c>
      <c r="DB12" s="21">
        <f t="shared" si="15"/>
        <v>0</v>
      </c>
      <c r="DC12" s="21">
        <f t="shared" si="15"/>
        <v>0</v>
      </c>
      <c r="DD12" s="21">
        <f t="shared" si="15"/>
        <v>0</v>
      </c>
      <c r="DE12" s="21">
        <f t="shared" si="15"/>
        <v>0</v>
      </c>
      <c r="DF12" s="21">
        <f t="shared" si="15"/>
        <v>0</v>
      </c>
      <c r="DG12" s="21">
        <f t="shared" si="15"/>
        <v>0</v>
      </c>
      <c r="DH12" s="21">
        <f t="shared" si="15"/>
        <v>0</v>
      </c>
      <c r="DI12" s="21">
        <f t="shared" si="15"/>
        <v>0</v>
      </c>
      <c r="DJ12" s="21">
        <f t="shared" si="15"/>
        <v>0</v>
      </c>
      <c r="DK12" s="21">
        <f t="shared" si="15"/>
        <v>0</v>
      </c>
      <c r="DL12" s="21">
        <f t="shared" si="15"/>
        <v>0</v>
      </c>
      <c r="DM12" s="21">
        <f t="shared" si="15"/>
        <v>0</v>
      </c>
      <c r="DN12" s="21">
        <f t="shared" si="15"/>
        <v>0</v>
      </c>
      <c r="DO12" s="21">
        <f t="shared" si="15"/>
        <v>0</v>
      </c>
      <c r="DP12" s="21">
        <f t="shared" si="15"/>
        <v>0</v>
      </c>
      <c r="DQ12" s="21">
        <f t="shared" si="15"/>
        <v>0</v>
      </c>
      <c r="DR12" s="21">
        <f t="shared" si="15"/>
        <v>0</v>
      </c>
      <c r="DS12" s="21">
        <f t="shared" si="15"/>
        <v>0</v>
      </c>
      <c r="DT12" s="21">
        <f t="shared" si="15"/>
        <v>0</v>
      </c>
      <c r="DU12" s="21">
        <f t="shared" si="15"/>
        <v>0</v>
      </c>
    </row>
    <row r="13" spans="3:125" s="3" customFormat="1" ht="22.95" customHeight="1">
      <c r="C13" s="3" t="s">
        <v>197</v>
      </c>
      <c r="D13" s="25">
        <f>SUM(E13:DU13)</f>
        <v>-20000</v>
      </c>
      <c r="E13" s="21">
        <f>IF(AND(E$4&gt;='Single Project Assumptions'!$H$52,'Option Phase'!E$4&lt;'Single Project Assumptions'!$H$53),-'Single Project Assumptions'!$H$51/'Single Project Assumptions'!$H$54,0)</f>
        <v>-3333.3333333333335</v>
      </c>
      <c r="F13" s="21">
        <f>IF(AND(F$4&gt;='Single Project Assumptions'!$H$52,'Option Phase'!F$4&lt;'Single Project Assumptions'!$H$53),-'Single Project Assumptions'!$H$51/'Single Project Assumptions'!$H$54,0)</f>
        <v>-3333.3333333333335</v>
      </c>
      <c r="G13" s="21">
        <f>IF(AND(G$4&gt;='Single Project Assumptions'!$H$52,'Option Phase'!G$4&lt;'Single Project Assumptions'!$H$53),-'Single Project Assumptions'!$H$51/'Single Project Assumptions'!$H$54,0)</f>
        <v>-3333.3333333333335</v>
      </c>
      <c r="H13" s="21">
        <f>IF(AND(H$4&gt;='Single Project Assumptions'!$H$52,'Option Phase'!H$4&lt;'Single Project Assumptions'!$H$53),-'Single Project Assumptions'!$H$51/'Single Project Assumptions'!$H$54,0)</f>
        <v>-3333.3333333333335</v>
      </c>
      <c r="I13" s="21">
        <f>IF(AND(I$4&gt;='Single Project Assumptions'!$H$52,'Option Phase'!I$4&lt;'Single Project Assumptions'!$H$53),-'Single Project Assumptions'!$H$51/'Single Project Assumptions'!$H$54,0)</f>
        <v>-3333.3333333333335</v>
      </c>
      <c r="J13" s="21">
        <f>IF(AND(J$4&gt;='Single Project Assumptions'!$H$52,'Option Phase'!J$4&lt;'Single Project Assumptions'!$H$53),-'Single Project Assumptions'!$H$51/'Single Project Assumptions'!$H$54,0)</f>
        <v>-3333.3333333333335</v>
      </c>
      <c r="K13" s="21">
        <f>IF(AND(K$4&gt;='Single Project Assumptions'!$H$52,'Option Phase'!K$4&lt;'Single Project Assumptions'!$H$53),-'Single Project Assumptions'!$H$51/'Single Project Assumptions'!$H$54,0)</f>
        <v>0</v>
      </c>
      <c r="L13" s="21">
        <f>IF(AND(L$4&gt;='Single Project Assumptions'!$H$52,'Option Phase'!L$4&lt;'Single Project Assumptions'!$H$53),-'Single Project Assumptions'!$H$51/'Single Project Assumptions'!$H$54,0)</f>
        <v>0</v>
      </c>
      <c r="M13" s="21">
        <f>IF(AND(M$4&gt;='Single Project Assumptions'!$H$52,'Option Phase'!M$4&lt;'Single Project Assumptions'!$H$53),-'Single Project Assumptions'!$H$51/'Single Project Assumptions'!$H$54,0)</f>
        <v>0</v>
      </c>
      <c r="N13" s="21">
        <f>IF(AND(N$4&gt;='Single Project Assumptions'!$H$52,'Option Phase'!N$4&lt;'Single Project Assumptions'!$H$53),-'Single Project Assumptions'!$H$51/'Single Project Assumptions'!$H$54,0)</f>
        <v>0</v>
      </c>
      <c r="O13" s="21">
        <f>IF(AND(O$4&gt;='Single Project Assumptions'!$H$52,'Option Phase'!O$4&lt;'Single Project Assumptions'!$H$53),-'Single Project Assumptions'!$H$51/'Single Project Assumptions'!$H$54,0)</f>
        <v>0</v>
      </c>
      <c r="P13" s="21">
        <f>IF(AND(P$4&gt;='Single Project Assumptions'!$H$52,'Option Phase'!P$4&lt;'Single Project Assumptions'!$H$53),-'Single Project Assumptions'!$H$51/'Single Project Assumptions'!$H$54,0)</f>
        <v>0</v>
      </c>
      <c r="Q13" s="21">
        <f>IF(AND(Q$4&gt;='Single Project Assumptions'!$H$52,'Option Phase'!Q$4&lt;'Single Project Assumptions'!$H$53),-'Single Project Assumptions'!$H$51/'Single Project Assumptions'!$H$54,0)</f>
        <v>0</v>
      </c>
      <c r="R13" s="21">
        <f>IF(AND(R$4&gt;='Single Project Assumptions'!$H$52,'Option Phase'!R$4&lt;'Single Project Assumptions'!$H$53),-'Single Project Assumptions'!$H$51/'Single Project Assumptions'!$H$54,0)</f>
        <v>0</v>
      </c>
      <c r="S13" s="21">
        <f>IF(AND(S$4&gt;='Single Project Assumptions'!$H$52,'Option Phase'!S$4&lt;'Single Project Assumptions'!$H$53),-'Single Project Assumptions'!$H$51/'Single Project Assumptions'!$H$54,0)</f>
        <v>0</v>
      </c>
      <c r="T13" s="21">
        <f>IF(AND(T$4&gt;='Single Project Assumptions'!$H$52,'Option Phase'!T$4&lt;'Single Project Assumptions'!$H$53),-'Single Project Assumptions'!$H$51/'Single Project Assumptions'!$H$54,0)</f>
        <v>0</v>
      </c>
      <c r="U13" s="21">
        <f>IF(AND(U$4&gt;='Single Project Assumptions'!$H$52,'Option Phase'!U$4&lt;'Single Project Assumptions'!$H$53),-'Single Project Assumptions'!$H$51/'Single Project Assumptions'!$H$54,0)</f>
        <v>0</v>
      </c>
      <c r="V13" s="21">
        <f>IF(AND(V$4&gt;='Single Project Assumptions'!$H$52,'Option Phase'!V$4&lt;'Single Project Assumptions'!$H$53),-'Single Project Assumptions'!$H$51/'Single Project Assumptions'!$H$54,0)</f>
        <v>0</v>
      </c>
      <c r="W13" s="21">
        <f>IF(AND(W$4&gt;='Single Project Assumptions'!$H$52,'Option Phase'!W$4&lt;'Single Project Assumptions'!$H$53),-'Single Project Assumptions'!$H$51/'Single Project Assumptions'!$H$54,0)</f>
        <v>0</v>
      </c>
      <c r="X13" s="21">
        <f>IF(AND(X$4&gt;='Single Project Assumptions'!$H$52,'Option Phase'!X$4&lt;'Single Project Assumptions'!$H$53),-'Single Project Assumptions'!$H$51/'Single Project Assumptions'!$H$54,0)</f>
        <v>0</v>
      </c>
      <c r="Y13" s="21">
        <f>IF(AND(Y$4&gt;='Single Project Assumptions'!$H$52,'Option Phase'!Y$4&lt;'Single Project Assumptions'!$H$53),-'Single Project Assumptions'!$H$51/'Single Project Assumptions'!$H$54,0)</f>
        <v>0</v>
      </c>
      <c r="Z13" s="21">
        <f>IF(AND(Z$4&gt;='Single Project Assumptions'!$H$52,'Option Phase'!Z$4&lt;'Single Project Assumptions'!$H$53),-'Single Project Assumptions'!$H$51/'Single Project Assumptions'!$H$54,0)</f>
        <v>0</v>
      </c>
      <c r="AA13" s="21">
        <f>IF(AND(AA$4&gt;='Single Project Assumptions'!$H$52,'Option Phase'!AA$4&lt;'Single Project Assumptions'!$H$53),-'Single Project Assumptions'!$H$51/'Single Project Assumptions'!$H$54,0)</f>
        <v>0</v>
      </c>
      <c r="AB13" s="21">
        <f>IF(AND(AB$4&gt;='Single Project Assumptions'!$H$52,'Option Phase'!AB$4&lt;'Single Project Assumptions'!$H$53),-'Single Project Assumptions'!$H$51/'Single Project Assumptions'!$H$54,0)</f>
        <v>0</v>
      </c>
      <c r="AC13" s="21">
        <f>IF(AND(AC$4&gt;='Single Project Assumptions'!$H$52,'Option Phase'!AC$4&lt;'Single Project Assumptions'!$H$53),-'Single Project Assumptions'!$H$51/'Single Project Assumptions'!$H$54,0)</f>
        <v>0</v>
      </c>
      <c r="AD13" s="21">
        <f>IF(AND(AD$4&gt;='Single Project Assumptions'!$H$52,'Option Phase'!AD$4&lt;'Single Project Assumptions'!$H$53),-'Single Project Assumptions'!$H$51/'Single Project Assumptions'!$H$54,0)</f>
        <v>0</v>
      </c>
      <c r="AE13" s="21">
        <f>IF(AND(AE$4&gt;='Single Project Assumptions'!$H$52,'Option Phase'!AE$4&lt;'Single Project Assumptions'!$H$53),-'Single Project Assumptions'!$H$51/'Single Project Assumptions'!$H$54,0)</f>
        <v>0</v>
      </c>
      <c r="AF13" s="21">
        <f>IF(AND(AF$4&gt;='Single Project Assumptions'!$H$52,'Option Phase'!AF$4&lt;'Single Project Assumptions'!$H$53),-'Single Project Assumptions'!$H$51/'Single Project Assumptions'!$H$54,0)</f>
        <v>0</v>
      </c>
      <c r="AG13" s="21">
        <f>IF(AND(AG$4&gt;='Single Project Assumptions'!$H$52,'Option Phase'!AG$4&lt;'Single Project Assumptions'!$H$53),-'Single Project Assumptions'!$H$51/'Single Project Assumptions'!$H$54,0)</f>
        <v>0</v>
      </c>
      <c r="AH13" s="21">
        <f>IF(AND(AH$4&gt;='Single Project Assumptions'!$H$52,'Option Phase'!AH$4&lt;'Single Project Assumptions'!$H$53),-'Single Project Assumptions'!$H$51/'Single Project Assumptions'!$H$54,0)</f>
        <v>0</v>
      </c>
      <c r="AI13" s="21">
        <f>IF(AND(AI$4&gt;='Single Project Assumptions'!$H$52,'Option Phase'!AI$4&lt;'Single Project Assumptions'!$H$53),-'Single Project Assumptions'!$H$51/'Single Project Assumptions'!$H$54,0)</f>
        <v>0</v>
      </c>
      <c r="AJ13" s="21">
        <f>IF(AND(AJ$4&gt;='Single Project Assumptions'!$H$52,'Option Phase'!AJ$4&lt;'Single Project Assumptions'!$H$53),-'Single Project Assumptions'!$H$51/'Single Project Assumptions'!$H$54,0)</f>
        <v>0</v>
      </c>
      <c r="AK13" s="21">
        <f>IF(AND(AK$4&gt;='Single Project Assumptions'!$H$52,'Option Phase'!AK$4&lt;'Single Project Assumptions'!$H$53),-'Single Project Assumptions'!$H$51/'Single Project Assumptions'!$H$54,0)</f>
        <v>0</v>
      </c>
      <c r="AL13" s="21">
        <f>IF(AND(AL$4&gt;='Single Project Assumptions'!$H$52,'Option Phase'!AL$4&lt;'Single Project Assumptions'!$H$53),-'Single Project Assumptions'!$H$51/'Single Project Assumptions'!$H$54,0)</f>
        <v>0</v>
      </c>
      <c r="AM13" s="21">
        <f>IF(AND(AM$4&gt;='Single Project Assumptions'!$H$52,'Option Phase'!AM$4&lt;'Single Project Assumptions'!$H$53),-'Single Project Assumptions'!$H$51/'Single Project Assumptions'!$H$54,0)</f>
        <v>0</v>
      </c>
      <c r="AN13" s="21">
        <f>IF(AND(AN$4&gt;='Single Project Assumptions'!$H$52,'Option Phase'!AN$4&lt;'Single Project Assumptions'!$H$53),-'Single Project Assumptions'!$H$51/'Single Project Assumptions'!$H$54,0)</f>
        <v>0</v>
      </c>
      <c r="AO13" s="21">
        <f>IF(AND(AO$4&gt;='Single Project Assumptions'!$H$52,'Option Phase'!AO$4&lt;'Single Project Assumptions'!$H$53),-'Single Project Assumptions'!$H$51/'Single Project Assumptions'!$H$54,0)</f>
        <v>0</v>
      </c>
      <c r="AP13" s="21">
        <f>IF(AND(AP$4&gt;='Single Project Assumptions'!$H$52,'Option Phase'!AP$4&lt;'Single Project Assumptions'!$H$53),-'Single Project Assumptions'!$H$51/'Single Project Assumptions'!$H$54,0)</f>
        <v>0</v>
      </c>
      <c r="AQ13" s="21">
        <f>IF(AND(AQ$4&gt;='Single Project Assumptions'!$H$52,'Option Phase'!AQ$4&lt;'Single Project Assumptions'!$H$53),-'Single Project Assumptions'!$H$51/'Single Project Assumptions'!$H$54,0)</f>
        <v>0</v>
      </c>
      <c r="AR13" s="21">
        <f>IF(AND(AR$4&gt;='Single Project Assumptions'!$H$52,'Option Phase'!AR$4&lt;'Single Project Assumptions'!$H$53),-'Single Project Assumptions'!$H$51/'Single Project Assumptions'!$H$54,0)</f>
        <v>0</v>
      </c>
      <c r="AS13" s="21">
        <f>IF(AND(AS$4&gt;='Single Project Assumptions'!$H$52,'Option Phase'!AS$4&lt;'Single Project Assumptions'!$H$53),-'Single Project Assumptions'!$H$51/'Single Project Assumptions'!$H$54,0)</f>
        <v>0</v>
      </c>
      <c r="AT13" s="21">
        <f>IF(AND(AT$4&gt;='Single Project Assumptions'!$H$52,'Option Phase'!AT$4&lt;'Single Project Assumptions'!$H$53),-'Single Project Assumptions'!$H$51/'Single Project Assumptions'!$H$54,0)</f>
        <v>0</v>
      </c>
      <c r="AU13" s="21">
        <f>IF(AND(AU$4&gt;='Single Project Assumptions'!$H$52,'Option Phase'!AU$4&lt;'Single Project Assumptions'!$H$53),-'Single Project Assumptions'!$H$51/'Single Project Assumptions'!$H$54,0)</f>
        <v>0</v>
      </c>
      <c r="AV13" s="21">
        <f>IF(AND(AV$4&gt;='Single Project Assumptions'!$H$52,'Option Phase'!AV$4&lt;'Single Project Assumptions'!$H$53),-'Single Project Assumptions'!$H$51/'Single Project Assumptions'!$H$54,0)</f>
        <v>0</v>
      </c>
      <c r="AW13" s="21">
        <f>IF(AND(AW$4&gt;='Single Project Assumptions'!$H$52,'Option Phase'!AW$4&lt;'Single Project Assumptions'!$H$53),-'Single Project Assumptions'!$H$51/'Single Project Assumptions'!$H$54,0)</f>
        <v>0</v>
      </c>
      <c r="AX13" s="21">
        <f>IF(AND(AX$4&gt;='Single Project Assumptions'!$H$52,'Option Phase'!AX$4&lt;'Single Project Assumptions'!$H$53),-'Single Project Assumptions'!$H$51/'Single Project Assumptions'!$H$54,0)</f>
        <v>0</v>
      </c>
      <c r="AY13" s="21">
        <f>IF(AND(AY$4&gt;='Single Project Assumptions'!$H$52,'Option Phase'!AY$4&lt;'Single Project Assumptions'!$H$53),-'Single Project Assumptions'!$H$51/'Single Project Assumptions'!$H$54,0)</f>
        <v>0</v>
      </c>
      <c r="AZ13" s="21">
        <f>IF(AND(AZ$4&gt;='Single Project Assumptions'!$H$52,'Option Phase'!AZ$4&lt;'Single Project Assumptions'!$H$53),-'Single Project Assumptions'!$H$51/'Single Project Assumptions'!$H$54,0)</f>
        <v>0</v>
      </c>
      <c r="BA13" s="21">
        <f>IF(AND(BA$4&gt;='Single Project Assumptions'!$H$52,'Option Phase'!BA$4&lt;'Single Project Assumptions'!$H$53),-'Single Project Assumptions'!$H$51/'Single Project Assumptions'!$H$54,0)</f>
        <v>0</v>
      </c>
      <c r="BB13" s="21">
        <f>IF(AND(BB$4&gt;='Single Project Assumptions'!$H$52,'Option Phase'!BB$4&lt;'Single Project Assumptions'!$H$53),-'Single Project Assumptions'!$H$51/'Single Project Assumptions'!$H$54,0)</f>
        <v>0</v>
      </c>
      <c r="BC13" s="21">
        <f>IF(AND(BC$4&gt;='Single Project Assumptions'!$H$52,'Option Phase'!BC$4&lt;'Single Project Assumptions'!$H$53),-'Single Project Assumptions'!$H$51/'Single Project Assumptions'!$H$54,0)</f>
        <v>0</v>
      </c>
      <c r="BD13" s="21">
        <f>IF(AND(BD$4&gt;='Single Project Assumptions'!$H$52,'Option Phase'!BD$4&lt;'Single Project Assumptions'!$H$53),-'Single Project Assumptions'!$H$51/'Single Project Assumptions'!$H$54,0)</f>
        <v>0</v>
      </c>
      <c r="BE13" s="21">
        <f>IF(AND(BE$4&gt;='Single Project Assumptions'!$H$52,'Option Phase'!BE$4&lt;'Single Project Assumptions'!$H$53),-'Single Project Assumptions'!$H$51/'Single Project Assumptions'!$H$54,0)</f>
        <v>0</v>
      </c>
      <c r="BF13" s="21">
        <f>IF(AND(BF$4&gt;='Single Project Assumptions'!$H$52,'Option Phase'!BF$4&lt;'Single Project Assumptions'!$H$53),-'Single Project Assumptions'!$H$51/'Single Project Assumptions'!$H$54,0)</f>
        <v>0</v>
      </c>
      <c r="BG13" s="21">
        <f>IF(AND(BG$4&gt;='Single Project Assumptions'!$H$52,'Option Phase'!BG$4&lt;'Single Project Assumptions'!$H$53),-'Single Project Assumptions'!$H$51/'Single Project Assumptions'!$H$54,0)</f>
        <v>0</v>
      </c>
      <c r="BH13" s="21">
        <f>IF(AND(BH$4&gt;='Single Project Assumptions'!$H$52,'Option Phase'!BH$4&lt;'Single Project Assumptions'!$H$53),-'Single Project Assumptions'!$H$51/'Single Project Assumptions'!$H$54,0)</f>
        <v>0</v>
      </c>
      <c r="BI13" s="21">
        <f>IF(AND(BI$4&gt;='Single Project Assumptions'!$H$52,'Option Phase'!BI$4&lt;'Single Project Assumptions'!$H$53),-'Single Project Assumptions'!$H$51/'Single Project Assumptions'!$H$54,0)</f>
        <v>0</v>
      </c>
      <c r="BJ13" s="21">
        <f>IF(AND(BJ$4&gt;='Single Project Assumptions'!$H$52,'Option Phase'!BJ$4&lt;'Single Project Assumptions'!$H$53),-'Single Project Assumptions'!$H$51/'Single Project Assumptions'!$H$54,0)</f>
        <v>0</v>
      </c>
      <c r="BK13" s="21">
        <f>IF(AND(BK$4&gt;='Single Project Assumptions'!$H$52,'Option Phase'!BK$4&lt;'Single Project Assumptions'!$H$53),-'Single Project Assumptions'!$H$51/'Single Project Assumptions'!$H$54,0)</f>
        <v>0</v>
      </c>
      <c r="BL13" s="21">
        <f>IF(AND(BL$4&gt;='Single Project Assumptions'!$H$52,'Option Phase'!BL$4&lt;'Single Project Assumptions'!$H$53),-'Single Project Assumptions'!$H$51/'Single Project Assumptions'!$H$54,0)</f>
        <v>0</v>
      </c>
      <c r="BM13" s="21">
        <f>IF(AND(BM$4&gt;='Single Project Assumptions'!$H$52,'Option Phase'!BM$4&lt;'Single Project Assumptions'!$H$53),-'Single Project Assumptions'!$H$51/'Single Project Assumptions'!$H$54,0)</f>
        <v>0</v>
      </c>
      <c r="BN13" s="21">
        <f>IF(AND(BN$4&gt;='Single Project Assumptions'!$H$52,'Option Phase'!BN$4&lt;'Single Project Assumptions'!$H$53),-'Single Project Assumptions'!$H$51/'Single Project Assumptions'!$H$54,0)</f>
        <v>0</v>
      </c>
      <c r="BO13" s="21">
        <f>IF(AND(BO$4&gt;='Single Project Assumptions'!$H$52,'Option Phase'!BO$4&lt;'Single Project Assumptions'!$H$53),-'Single Project Assumptions'!$H$51/'Single Project Assumptions'!$H$54,0)</f>
        <v>0</v>
      </c>
      <c r="BP13" s="21">
        <f>IF(AND(BP$4&gt;='Single Project Assumptions'!$H$52,'Option Phase'!BP$4&lt;'Single Project Assumptions'!$H$53),-'Single Project Assumptions'!$H$51/'Single Project Assumptions'!$H$54,0)</f>
        <v>0</v>
      </c>
      <c r="BQ13" s="21">
        <f>IF(AND(BQ$4&gt;='Single Project Assumptions'!$H$52,'Option Phase'!BQ$4&lt;'Single Project Assumptions'!$H$53),-'Single Project Assumptions'!$H$51/'Single Project Assumptions'!$H$54,0)</f>
        <v>0</v>
      </c>
      <c r="BR13" s="21">
        <f>IF(AND(BR$4&gt;='Single Project Assumptions'!$H$52,'Option Phase'!BR$4&lt;'Single Project Assumptions'!$H$53),-'Single Project Assumptions'!$H$51/'Single Project Assumptions'!$H$54,0)</f>
        <v>0</v>
      </c>
      <c r="BS13" s="21">
        <f>IF(AND(BS$4&gt;='Single Project Assumptions'!$H$52,'Option Phase'!BS$4&lt;'Single Project Assumptions'!$H$53),-'Single Project Assumptions'!$H$51/'Single Project Assumptions'!$H$54,0)</f>
        <v>0</v>
      </c>
      <c r="BT13" s="21">
        <f>IF(AND(BT$4&gt;='Single Project Assumptions'!$H$52,'Option Phase'!BT$4&lt;'Single Project Assumptions'!$H$53),-'Single Project Assumptions'!$H$51/'Single Project Assumptions'!$H$54,0)</f>
        <v>0</v>
      </c>
      <c r="BU13" s="21">
        <f>IF(AND(BU$4&gt;='Single Project Assumptions'!$H$52,'Option Phase'!BU$4&lt;'Single Project Assumptions'!$H$53),-'Single Project Assumptions'!$H$51/'Single Project Assumptions'!$H$54,0)</f>
        <v>0</v>
      </c>
      <c r="BV13" s="21">
        <f>IF(AND(BV$4&gt;='Single Project Assumptions'!$H$52,'Option Phase'!BV$4&lt;'Single Project Assumptions'!$H$53),-'Single Project Assumptions'!$H$51/'Single Project Assumptions'!$H$54,0)</f>
        <v>0</v>
      </c>
      <c r="BW13" s="21">
        <f>IF(AND(BW$4&gt;='Single Project Assumptions'!$H$52,'Option Phase'!BW$4&lt;'Single Project Assumptions'!$H$53),-'Single Project Assumptions'!$H$51/'Single Project Assumptions'!$H$54,0)</f>
        <v>0</v>
      </c>
      <c r="BX13" s="21">
        <f>IF(AND(BX$4&gt;='Single Project Assumptions'!$H$52,'Option Phase'!BX$4&lt;'Single Project Assumptions'!$H$53),-'Single Project Assumptions'!$H$51/'Single Project Assumptions'!$H$54,0)</f>
        <v>0</v>
      </c>
      <c r="BY13" s="21">
        <f>IF(AND(BY$4&gt;='Single Project Assumptions'!$H$52,'Option Phase'!BY$4&lt;'Single Project Assumptions'!$H$53),-'Single Project Assumptions'!$H$51/'Single Project Assumptions'!$H$54,0)</f>
        <v>0</v>
      </c>
      <c r="BZ13" s="21">
        <f>IF(AND(BZ$4&gt;='Single Project Assumptions'!$H$52,'Option Phase'!BZ$4&lt;'Single Project Assumptions'!$H$53),-'Single Project Assumptions'!$H$51/'Single Project Assumptions'!$H$54,0)</f>
        <v>0</v>
      </c>
      <c r="CA13" s="21">
        <f>IF(AND(CA$4&gt;='Single Project Assumptions'!$H$52,'Option Phase'!CA$4&lt;'Single Project Assumptions'!$H$53),-'Single Project Assumptions'!$H$51/'Single Project Assumptions'!$H$54,0)</f>
        <v>0</v>
      </c>
      <c r="CB13" s="21">
        <f>IF(AND(CB$4&gt;='Single Project Assumptions'!$H$52,'Option Phase'!CB$4&lt;'Single Project Assumptions'!$H$53),-'Single Project Assumptions'!$H$51/'Single Project Assumptions'!$H$54,0)</f>
        <v>0</v>
      </c>
      <c r="CC13" s="21">
        <f>IF(AND(CC$4&gt;='Single Project Assumptions'!$H$52,'Option Phase'!CC$4&lt;'Single Project Assumptions'!$H$53),-'Single Project Assumptions'!$H$51/'Single Project Assumptions'!$H$54,0)</f>
        <v>0</v>
      </c>
      <c r="CD13" s="21">
        <f>IF(AND(CD$4&gt;='Single Project Assumptions'!$H$52,'Option Phase'!CD$4&lt;'Single Project Assumptions'!$H$53),-'Single Project Assumptions'!$H$51/'Single Project Assumptions'!$H$54,0)</f>
        <v>0</v>
      </c>
      <c r="CE13" s="21">
        <f>IF(AND(CE$4&gt;='Single Project Assumptions'!$H$52,'Option Phase'!CE$4&lt;'Single Project Assumptions'!$H$53),-'Single Project Assumptions'!$H$51/'Single Project Assumptions'!$H$54,0)</f>
        <v>0</v>
      </c>
      <c r="CF13" s="21">
        <f>IF(AND(CF$4&gt;='Single Project Assumptions'!$H$52,'Option Phase'!CF$4&lt;'Single Project Assumptions'!$H$53),-'Single Project Assumptions'!$H$51/'Single Project Assumptions'!$H$54,0)</f>
        <v>0</v>
      </c>
      <c r="CG13" s="21">
        <f>IF(AND(CG$4&gt;='Single Project Assumptions'!$H$52,'Option Phase'!CG$4&lt;'Single Project Assumptions'!$H$53),-'Single Project Assumptions'!$H$51/'Single Project Assumptions'!$H$54,0)</f>
        <v>0</v>
      </c>
      <c r="CH13" s="21">
        <f>IF(AND(CH$4&gt;='Single Project Assumptions'!$H$52,'Option Phase'!CH$4&lt;'Single Project Assumptions'!$H$53),-'Single Project Assumptions'!$H$51/'Single Project Assumptions'!$H$54,0)</f>
        <v>0</v>
      </c>
      <c r="CI13" s="21">
        <f>IF(AND(CI$4&gt;='Single Project Assumptions'!$H$52,'Option Phase'!CI$4&lt;'Single Project Assumptions'!$H$53),-'Single Project Assumptions'!$H$51/'Single Project Assumptions'!$H$54,0)</f>
        <v>0</v>
      </c>
      <c r="CJ13" s="21">
        <f>IF(AND(CJ$4&gt;='Single Project Assumptions'!$H$52,'Option Phase'!CJ$4&lt;'Single Project Assumptions'!$H$53),-'Single Project Assumptions'!$H$51/'Single Project Assumptions'!$H$54,0)</f>
        <v>0</v>
      </c>
      <c r="CK13" s="21">
        <f>IF(AND(CK$4&gt;='Single Project Assumptions'!$H$52,'Option Phase'!CK$4&lt;'Single Project Assumptions'!$H$53),-'Single Project Assumptions'!$H$51/'Single Project Assumptions'!$H$54,0)</f>
        <v>0</v>
      </c>
      <c r="CL13" s="21">
        <f>IF(AND(CL$4&gt;='Single Project Assumptions'!$H$52,'Option Phase'!CL$4&lt;'Single Project Assumptions'!$H$53),-'Single Project Assumptions'!$H$51/'Single Project Assumptions'!$H$54,0)</f>
        <v>0</v>
      </c>
      <c r="CM13" s="21">
        <f>IF(AND(CM$4&gt;='Single Project Assumptions'!$H$52,'Option Phase'!CM$4&lt;'Single Project Assumptions'!$H$53),-'Single Project Assumptions'!$H$51/'Single Project Assumptions'!$H$54,0)</f>
        <v>0</v>
      </c>
      <c r="CN13" s="21">
        <f>IF(AND(CN$4&gt;='Single Project Assumptions'!$H$52,'Option Phase'!CN$4&lt;'Single Project Assumptions'!$H$53),-'Single Project Assumptions'!$H$51/'Single Project Assumptions'!$H$54,0)</f>
        <v>0</v>
      </c>
      <c r="CO13" s="21">
        <f>IF(AND(CO$4&gt;='Single Project Assumptions'!$H$52,'Option Phase'!CO$4&lt;'Single Project Assumptions'!$H$53),-'Single Project Assumptions'!$H$51/'Single Project Assumptions'!$H$54,0)</f>
        <v>0</v>
      </c>
      <c r="CP13" s="21">
        <f>IF(AND(CP$4&gt;='Single Project Assumptions'!$H$52,'Option Phase'!CP$4&lt;'Single Project Assumptions'!$H$53),-'Single Project Assumptions'!$H$51/'Single Project Assumptions'!$H$54,0)</f>
        <v>0</v>
      </c>
      <c r="CQ13" s="21">
        <f>IF(AND(CQ$4&gt;='Single Project Assumptions'!$H$52,'Option Phase'!CQ$4&lt;'Single Project Assumptions'!$H$53),-'Single Project Assumptions'!$H$51/'Single Project Assumptions'!$H$54,0)</f>
        <v>0</v>
      </c>
      <c r="CR13" s="21">
        <f>IF(AND(CR$4&gt;='Single Project Assumptions'!$H$52,'Option Phase'!CR$4&lt;'Single Project Assumptions'!$H$53),-'Single Project Assumptions'!$H$51/'Single Project Assumptions'!$H$54,0)</f>
        <v>0</v>
      </c>
      <c r="CS13" s="21">
        <f>IF(AND(CS$4&gt;='Single Project Assumptions'!$H$52,'Option Phase'!CS$4&lt;'Single Project Assumptions'!$H$53),-'Single Project Assumptions'!$H$51/'Single Project Assumptions'!$H$54,0)</f>
        <v>0</v>
      </c>
      <c r="CT13" s="21">
        <f>IF(AND(CT$4&gt;='Single Project Assumptions'!$H$52,'Option Phase'!CT$4&lt;'Single Project Assumptions'!$H$53),-'Single Project Assumptions'!$H$51/'Single Project Assumptions'!$H$54,0)</f>
        <v>0</v>
      </c>
      <c r="CU13" s="21">
        <f>IF(AND(CU$4&gt;='Single Project Assumptions'!$H$52,'Option Phase'!CU$4&lt;'Single Project Assumptions'!$H$53),-'Single Project Assumptions'!$H$51/'Single Project Assumptions'!$H$54,0)</f>
        <v>0</v>
      </c>
      <c r="CV13" s="21">
        <f>IF(AND(CV$4&gt;='Single Project Assumptions'!$H$52,'Option Phase'!CV$4&lt;'Single Project Assumptions'!$H$53),-'Single Project Assumptions'!$H$51/'Single Project Assumptions'!$H$54,0)</f>
        <v>0</v>
      </c>
      <c r="CW13" s="21">
        <f>IF(AND(CW$4&gt;='Single Project Assumptions'!$H$52,'Option Phase'!CW$4&lt;'Single Project Assumptions'!$H$53),-'Single Project Assumptions'!$H$51/'Single Project Assumptions'!$H$54,0)</f>
        <v>0</v>
      </c>
      <c r="CX13" s="21">
        <f>IF(AND(CX$4&gt;='Single Project Assumptions'!$H$52,'Option Phase'!CX$4&lt;'Single Project Assumptions'!$H$53),-'Single Project Assumptions'!$H$51/'Single Project Assumptions'!$H$54,0)</f>
        <v>0</v>
      </c>
      <c r="CY13" s="21">
        <f>IF(AND(CY$4&gt;='Single Project Assumptions'!$H$52,'Option Phase'!CY$4&lt;'Single Project Assumptions'!$H$53),-'Single Project Assumptions'!$H$51/'Single Project Assumptions'!$H$54,0)</f>
        <v>0</v>
      </c>
      <c r="CZ13" s="21">
        <f>IF(AND(CZ$4&gt;='Single Project Assumptions'!$H$52,'Option Phase'!CZ$4&lt;'Single Project Assumptions'!$H$53),-'Single Project Assumptions'!$H$51/'Single Project Assumptions'!$H$54,0)</f>
        <v>0</v>
      </c>
      <c r="DA13" s="21">
        <f>IF(AND(DA$4&gt;='Single Project Assumptions'!$H$52,'Option Phase'!DA$4&lt;'Single Project Assumptions'!$H$53),-'Single Project Assumptions'!$H$51/'Single Project Assumptions'!$H$54,0)</f>
        <v>0</v>
      </c>
      <c r="DB13" s="21">
        <f>IF(AND(DB$4&gt;='Single Project Assumptions'!$H$52,'Option Phase'!DB$4&lt;'Single Project Assumptions'!$H$53),-'Single Project Assumptions'!$H$51/'Single Project Assumptions'!$H$54,0)</f>
        <v>0</v>
      </c>
      <c r="DC13" s="21">
        <f>IF(AND(DC$4&gt;='Single Project Assumptions'!$H$52,'Option Phase'!DC$4&lt;'Single Project Assumptions'!$H$53),-'Single Project Assumptions'!$H$51/'Single Project Assumptions'!$H$54,0)</f>
        <v>0</v>
      </c>
      <c r="DD13" s="21">
        <f>IF(AND(DD$4&gt;='Single Project Assumptions'!$H$52,'Option Phase'!DD$4&lt;'Single Project Assumptions'!$H$53),-'Single Project Assumptions'!$H$51/'Single Project Assumptions'!$H$54,0)</f>
        <v>0</v>
      </c>
      <c r="DE13" s="21">
        <f>IF(AND(DE$4&gt;='Single Project Assumptions'!$H$52,'Option Phase'!DE$4&lt;'Single Project Assumptions'!$H$53),-'Single Project Assumptions'!$H$51/'Single Project Assumptions'!$H$54,0)</f>
        <v>0</v>
      </c>
      <c r="DF13" s="21">
        <f>IF(AND(DF$4&gt;='Single Project Assumptions'!$H$52,'Option Phase'!DF$4&lt;'Single Project Assumptions'!$H$53),-'Single Project Assumptions'!$H$51/'Single Project Assumptions'!$H$54,0)</f>
        <v>0</v>
      </c>
      <c r="DG13" s="21">
        <f>IF(AND(DG$4&gt;='Single Project Assumptions'!$H$52,'Option Phase'!DG$4&lt;'Single Project Assumptions'!$H$53),-'Single Project Assumptions'!$H$51/'Single Project Assumptions'!$H$54,0)</f>
        <v>0</v>
      </c>
      <c r="DH13" s="21">
        <f>IF(AND(DH$4&gt;='Single Project Assumptions'!$H$52,'Option Phase'!DH$4&lt;'Single Project Assumptions'!$H$53),-'Single Project Assumptions'!$H$51/'Single Project Assumptions'!$H$54,0)</f>
        <v>0</v>
      </c>
      <c r="DI13" s="21">
        <f>IF(AND(DI$4&gt;='Single Project Assumptions'!$H$52,'Option Phase'!DI$4&lt;'Single Project Assumptions'!$H$53),-'Single Project Assumptions'!$H$51/'Single Project Assumptions'!$H$54,0)</f>
        <v>0</v>
      </c>
      <c r="DJ13" s="21">
        <f>IF(AND(DJ$4&gt;='Single Project Assumptions'!$H$52,'Option Phase'!DJ$4&lt;'Single Project Assumptions'!$H$53),-'Single Project Assumptions'!$H$51/'Single Project Assumptions'!$H$54,0)</f>
        <v>0</v>
      </c>
      <c r="DK13" s="21">
        <f>IF(AND(DK$4&gt;='Single Project Assumptions'!$H$52,'Option Phase'!DK$4&lt;'Single Project Assumptions'!$H$53),-'Single Project Assumptions'!$H$51/'Single Project Assumptions'!$H$54,0)</f>
        <v>0</v>
      </c>
      <c r="DL13" s="21">
        <f>IF(AND(DL$4&gt;='Single Project Assumptions'!$H$52,'Option Phase'!DL$4&lt;'Single Project Assumptions'!$H$53),-'Single Project Assumptions'!$H$51/'Single Project Assumptions'!$H$54,0)</f>
        <v>0</v>
      </c>
      <c r="DM13" s="21">
        <f>IF(AND(DM$4&gt;='Single Project Assumptions'!$H$52,'Option Phase'!DM$4&lt;'Single Project Assumptions'!$H$53),-'Single Project Assumptions'!$H$51/'Single Project Assumptions'!$H$54,0)</f>
        <v>0</v>
      </c>
      <c r="DN13" s="21">
        <f>IF(AND(DN$4&gt;='Single Project Assumptions'!$H$52,'Option Phase'!DN$4&lt;'Single Project Assumptions'!$H$53),-'Single Project Assumptions'!$H$51/'Single Project Assumptions'!$H$54,0)</f>
        <v>0</v>
      </c>
      <c r="DO13" s="21">
        <f>IF(AND(DO$4&gt;='Single Project Assumptions'!$H$52,'Option Phase'!DO$4&lt;'Single Project Assumptions'!$H$53),-'Single Project Assumptions'!$H$51/'Single Project Assumptions'!$H$54,0)</f>
        <v>0</v>
      </c>
      <c r="DP13" s="21">
        <f>IF(AND(DP$4&gt;='Single Project Assumptions'!$H$52,'Option Phase'!DP$4&lt;'Single Project Assumptions'!$H$53),-'Single Project Assumptions'!$H$51/'Single Project Assumptions'!$H$54,0)</f>
        <v>0</v>
      </c>
      <c r="DQ13" s="21">
        <f>IF(AND(DQ$4&gt;='Single Project Assumptions'!$H$52,'Option Phase'!DQ$4&lt;'Single Project Assumptions'!$H$53),-'Single Project Assumptions'!$H$51/'Single Project Assumptions'!$H$54,0)</f>
        <v>0</v>
      </c>
      <c r="DR13" s="21">
        <f>IF(AND(DR$4&gt;='Single Project Assumptions'!$H$52,'Option Phase'!DR$4&lt;'Single Project Assumptions'!$H$53),-'Single Project Assumptions'!$H$51/'Single Project Assumptions'!$H$54,0)</f>
        <v>0</v>
      </c>
      <c r="DS13" s="21">
        <f>IF(AND(DS$4&gt;='Single Project Assumptions'!$H$52,'Option Phase'!DS$4&lt;'Single Project Assumptions'!$H$53),-'Single Project Assumptions'!$H$51/'Single Project Assumptions'!$H$54,0)</f>
        <v>0</v>
      </c>
      <c r="DT13" s="21">
        <f>IF(AND(DT$4&gt;='Single Project Assumptions'!$H$52,'Option Phase'!DT$4&lt;'Single Project Assumptions'!$H$53),-'Single Project Assumptions'!$H$51/'Single Project Assumptions'!$H$54,0)</f>
        <v>0</v>
      </c>
      <c r="DU13" s="21">
        <f>IF(AND(DU$4&gt;='Single Project Assumptions'!$H$52,'Option Phase'!DU$4&lt;'Single Project Assumptions'!$H$53),-'Single Project Assumptions'!$H$51/'Single Project Assumptions'!$H$54,0)</f>
        <v>0</v>
      </c>
    </row>
    <row r="14" spans="3:125" s="3" customFormat="1" ht="22.95" customHeight="1">
      <c r="C14" s="26" t="s">
        <v>259</v>
      </c>
      <c r="D14" s="27">
        <f>SUM(E14:DU14)</f>
        <v>29999.999999999989</v>
      </c>
      <c r="E14" s="28">
        <f t="shared" ref="E14:AJ14" si="16">SUM(E12:E13)</f>
        <v>46666.666666666664</v>
      </c>
      <c r="F14" s="28">
        <f t="shared" si="16"/>
        <v>-3333.3333333333335</v>
      </c>
      <c r="G14" s="28">
        <f t="shared" si="16"/>
        <v>-3333.3333333333335</v>
      </c>
      <c r="H14" s="28">
        <f t="shared" si="16"/>
        <v>-3333.3333333333335</v>
      </c>
      <c r="I14" s="28">
        <f t="shared" si="16"/>
        <v>-3333.3333333333335</v>
      </c>
      <c r="J14" s="28">
        <f t="shared" si="16"/>
        <v>-3333.3333333333335</v>
      </c>
      <c r="K14" s="28">
        <f t="shared" si="16"/>
        <v>0</v>
      </c>
      <c r="L14" s="28">
        <f t="shared" si="16"/>
        <v>0</v>
      </c>
      <c r="M14" s="28">
        <f t="shared" si="16"/>
        <v>0</v>
      </c>
      <c r="N14" s="28">
        <f t="shared" si="16"/>
        <v>0</v>
      </c>
      <c r="O14" s="28">
        <f t="shared" si="16"/>
        <v>0</v>
      </c>
      <c r="P14" s="28">
        <f t="shared" si="16"/>
        <v>0</v>
      </c>
      <c r="Q14" s="28">
        <f t="shared" si="16"/>
        <v>0</v>
      </c>
      <c r="R14" s="28">
        <f t="shared" si="16"/>
        <v>0</v>
      </c>
      <c r="S14" s="28">
        <f t="shared" si="16"/>
        <v>0</v>
      </c>
      <c r="T14" s="28">
        <f t="shared" si="16"/>
        <v>0</v>
      </c>
      <c r="U14" s="28">
        <f t="shared" si="16"/>
        <v>0</v>
      </c>
      <c r="V14" s="28">
        <f t="shared" si="16"/>
        <v>0</v>
      </c>
      <c r="W14" s="28">
        <f t="shared" si="16"/>
        <v>0</v>
      </c>
      <c r="X14" s="28">
        <f t="shared" si="16"/>
        <v>0</v>
      </c>
      <c r="Y14" s="28">
        <f t="shared" si="16"/>
        <v>0</v>
      </c>
      <c r="Z14" s="28">
        <f t="shared" si="16"/>
        <v>0</v>
      </c>
      <c r="AA14" s="28">
        <f t="shared" si="16"/>
        <v>0</v>
      </c>
      <c r="AB14" s="28">
        <f t="shared" si="16"/>
        <v>0</v>
      </c>
      <c r="AC14" s="28">
        <f t="shared" si="16"/>
        <v>0</v>
      </c>
      <c r="AD14" s="28">
        <f t="shared" si="16"/>
        <v>0</v>
      </c>
      <c r="AE14" s="28">
        <f t="shared" si="16"/>
        <v>0</v>
      </c>
      <c r="AF14" s="28">
        <f t="shared" si="16"/>
        <v>0</v>
      </c>
      <c r="AG14" s="28">
        <f t="shared" si="16"/>
        <v>0</v>
      </c>
      <c r="AH14" s="28">
        <f t="shared" si="16"/>
        <v>0</v>
      </c>
      <c r="AI14" s="28">
        <f t="shared" si="16"/>
        <v>0</v>
      </c>
      <c r="AJ14" s="28">
        <f t="shared" si="16"/>
        <v>0</v>
      </c>
      <c r="AK14" s="28">
        <f t="shared" ref="AK14:BP14" si="17">SUM(AK12:AK13)</f>
        <v>0</v>
      </c>
      <c r="AL14" s="28">
        <f t="shared" si="17"/>
        <v>0</v>
      </c>
      <c r="AM14" s="28">
        <f t="shared" si="17"/>
        <v>0</v>
      </c>
      <c r="AN14" s="28">
        <f t="shared" si="17"/>
        <v>0</v>
      </c>
      <c r="AO14" s="28">
        <f t="shared" si="17"/>
        <v>0</v>
      </c>
      <c r="AP14" s="28">
        <f t="shared" si="17"/>
        <v>0</v>
      </c>
      <c r="AQ14" s="28">
        <f t="shared" si="17"/>
        <v>0</v>
      </c>
      <c r="AR14" s="28">
        <f t="shared" si="17"/>
        <v>0</v>
      </c>
      <c r="AS14" s="28">
        <f t="shared" si="17"/>
        <v>0</v>
      </c>
      <c r="AT14" s="28">
        <f t="shared" si="17"/>
        <v>0</v>
      </c>
      <c r="AU14" s="28">
        <f t="shared" si="17"/>
        <v>0</v>
      </c>
      <c r="AV14" s="28">
        <f t="shared" si="17"/>
        <v>0</v>
      </c>
      <c r="AW14" s="28">
        <f t="shared" si="17"/>
        <v>0</v>
      </c>
      <c r="AX14" s="28">
        <f t="shared" si="17"/>
        <v>0</v>
      </c>
      <c r="AY14" s="28">
        <f t="shared" si="17"/>
        <v>0</v>
      </c>
      <c r="AZ14" s="28">
        <f t="shared" si="17"/>
        <v>0</v>
      </c>
      <c r="BA14" s="28">
        <f t="shared" si="17"/>
        <v>0</v>
      </c>
      <c r="BB14" s="28">
        <f t="shared" si="17"/>
        <v>0</v>
      </c>
      <c r="BC14" s="28">
        <f t="shared" si="17"/>
        <v>0</v>
      </c>
      <c r="BD14" s="28">
        <f t="shared" si="17"/>
        <v>0</v>
      </c>
      <c r="BE14" s="28">
        <f t="shared" si="17"/>
        <v>0</v>
      </c>
      <c r="BF14" s="28">
        <f t="shared" si="17"/>
        <v>0</v>
      </c>
      <c r="BG14" s="28">
        <f t="shared" si="17"/>
        <v>0</v>
      </c>
      <c r="BH14" s="28">
        <f t="shared" si="17"/>
        <v>0</v>
      </c>
      <c r="BI14" s="28">
        <f t="shared" si="17"/>
        <v>0</v>
      </c>
      <c r="BJ14" s="28">
        <f t="shared" si="17"/>
        <v>0</v>
      </c>
      <c r="BK14" s="28">
        <f t="shared" si="17"/>
        <v>0</v>
      </c>
      <c r="BL14" s="28">
        <f t="shared" si="17"/>
        <v>0</v>
      </c>
      <c r="BM14" s="28">
        <f t="shared" si="17"/>
        <v>0</v>
      </c>
      <c r="BN14" s="28">
        <f t="shared" si="17"/>
        <v>0</v>
      </c>
      <c r="BO14" s="28">
        <f t="shared" si="17"/>
        <v>0</v>
      </c>
      <c r="BP14" s="28">
        <f t="shared" si="17"/>
        <v>0</v>
      </c>
      <c r="BQ14" s="28">
        <f t="shared" ref="BQ14:CV14" si="18">SUM(BQ12:BQ13)</f>
        <v>0</v>
      </c>
      <c r="BR14" s="28">
        <f t="shared" si="18"/>
        <v>0</v>
      </c>
      <c r="BS14" s="28">
        <f t="shared" si="18"/>
        <v>0</v>
      </c>
      <c r="BT14" s="28">
        <f t="shared" si="18"/>
        <v>0</v>
      </c>
      <c r="BU14" s="28">
        <f t="shared" si="18"/>
        <v>0</v>
      </c>
      <c r="BV14" s="28">
        <f t="shared" si="18"/>
        <v>0</v>
      </c>
      <c r="BW14" s="28">
        <f t="shared" si="18"/>
        <v>0</v>
      </c>
      <c r="BX14" s="28">
        <f t="shared" si="18"/>
        <v>0</v>
      </c>
      <c r="BY14" s="28">
        <f t="shared" si="18"/>
        <v>0</v>
      </c>
      <c r="BZ14" s="28">
        <f t="shared" si="18"/>
        <v>0</v>
      </c>
      <c r="CA14" s="28">
        <f t="shared" si="18"/>
        <v>0</v>
      </c>
      <c r="CB14" s="28">
        <f t="shared" si="18"/>
        <v>0</v>
      </c>
      <c r="CC14" s="28">
        <f t="shared" si="18"/>
        <v>0</v>
      </c>
      <c r="CD14" s="28">
        <f t="shared" si="18"/>
        <v>0</v>
      </c>
      <c r="CE14" s="28">
        <f t="shared" si="18"/>
        <v>0</v>
      </c>
      <c r="CF14" s="28">
        <f t="shared" si="18"/>
        <v>0</v>
      </c>
      <c r="CG14" s="28">
        <f t="shared" si="18"/>
        <v>0</v>
      </c>
      <c r="CH14" s="28">
        <f t="shared" si="18"/>
        <v>0</v>
      </c>
      <c r="CI14" s="28">
        <f t="shared" si="18"/>
        <v>0</v>
      </c>
      <c r="CJ14" s="28">
        <f t="shared" si="18"/>
        <v>0</v>
      </c>
      <c r="CK14" s="28">
        <f t="shared" si="18"/>
        <v>0</v>
      </c>
      <c r="CL14" s="28">
        <f t="shared" si="18"/>
        <v>0</v>
      </c>
      <c r="CM14" s="28">
        <f t="shared" si="18"/>
        <v>0</v>
      </c>
      <c r="CN14" s="28">
        <f t="shared" si="18"/>
        <v>0</v>
      </c>
      <c r="CO14" s="28">
        <f t="shared" si="18"/>
        <v>0</v>
      </c>
      <c r="CP14" s="28">
        <f t="shared" si="18"/>
        <v>0</v>
      </c>
      <c r="CQ14" s="28">
        <f t="shared" si="18"/>
        <v>0</v>
      </c>
      <c r="CR14" s="28">
        <f t="shared" si="18"/>
        <v>0</v>
      </c>
      <c r="CS14" s="28">
        <f t="shared" si="18"/>
        <v>0</v>
      </c>
      <c r="CT14" s="28">
        <f t="shared" si="18"/>
        <v>0</v>
      </c>
      <c r="CU14" s="28">
        <f t="shared" si="18"/>
        <v>0</v>
      </c>
      <c r="CV14" s="28">
        <f t="shared" si="18"/>
        <v>0</v>
      </c>
      <c r="CW14" s="28">
        <f t="shared" ref="CW14:DU14" si="19">SUM(CW12:CW13)</f>
        <v>0</v>
      </c>
      <c r="CX14" s="28">
        <f t="shared" si="19"/>
        <v>0</v>
      </c>
      <c r="CY14" s="28">
        <f t="shared" si="19"/>
        <v>0</v>
      </c>
      <c r="CZ14" s="28">
        <f t="shared" si="19"/>
        <v>0</v>
      </c>
      <c r="DA14" s="28">
        <f t="shared" si="19"/>
        <v>0</v>
      </c>
      <c r="DB14" s="28">
        <f t="shared" si="19"/>
        <v>0</v>
      </c>
      <c r="DC14" s="28">
        <f t="shared" si="19"/>
        <v>0</v>
      </c>
      <c r="DD14" s="28">
        <f t="shared" si="19"/>
        <v>0</v>
      </c>
      <c r="DE14" s="28">
        <f t="shared" si="19"/>
        <v>0</v>
      </c>
      <c r="DF14" s="28">
        <f t="shared" si="19"/>
        <v>0</v>
      </c>
      <c r="DG14" s="28">
        <f t="shared" si="19"/>
        <v>0</v>
      </c>
      <c r="DH14" s="28">
        <f t="shared" si="19"/>
        <v>0</v>
      </c>
      <c r="DI14" s="28">
        <f t="shared" si="19"/>
        <v>0</v>
      </c>
      <c r="DJ14" s="28">
        <f t="shared" si="19"/>
        <v>0</v>
      </c>
      <c r="DK14" s="28">
        <f t="shared" si="19"/>
        <v>0</v>
      </c>
      <c r="DL14" s="28">
        <f t="shared" si="19"/>
        <v>0</v>
      </c>
      <c r="DM14" s="28">
        <f t="shared" si="19"/>
        <v>0</v>
      </c>
      <c r="DN14" s="28">
        <f t="shared" si="19"/>
        <v>0</v>
      </c>
      <c r="DO14" s="28">
        <f t="shared" si="19"/>
        <v>0</v>
      </c>
      <c r="DP14" s="28">
        <f t="shared" si="19"/>
        <v>0</v>
      </c>
      <c r="DQ14" s="28">
        <f t="shared" si="19"/>
        <v>0</v>
      </c>
      <c r="DR14" s="28">
        <f t="shared" si="19"/>
        <v>0</v>
      </c>
      <c r="DS14" s="28">
        <f t="shared" si="19"/>
        <v>0</v>
      </c>
      <c r="DT14" s="28">
        <f t="shared" si="19"/>
        <v>0</v>
      </c>
      <c r="DU14" s="28">
        <f t="shared" si="19"/>
        <v>0</v>
      </c>
    </row>
    <row r="15" spans="3:125" s="3" customFormat="1" ht="22.95" customHeight="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row>
    <row r="16" spans="3:125" s="3" customFormat="1" ht="22.95" customHeight="1"/>
    <row r="17" s="3" customFormat="1" ht="22.95" customHeight="1"/>
    <row r="18" s="3" customFormat="1" ht="22.95" customHeight="1"/>
    <row r="19" s="3" customFormat="1" ht="22.95" customHeight="1"/>
    <row r="20" s="3" customFormat="1" ht="22.95" customHeight="1"/>
    <row r="21" s="3" customFormat="1" ht="22.95" customHeight="1"/>
    <row r="22" s="3" customFormat="1" ht="22.95" customHeight="1"/>
    <row r="23" s="3" customFormat="1" ht="22.95" customHeight="1"/>
    <row r="24" s="3" customFormat="1" ht="22.95" customHeight="1"/>
    <row r="25" s="3" customFormat="1" ht="22.95" customHeight="1"/>
    <row r="26" s="3" customFormat="1" ht="22.95" customHeight="1"/>
    <row r="27" s="3" customFormat="1" ht="22.95" customHeight="1"/>
    <row r="28" s="3" customFormat="1" ht="22.95" customHeight="1"/>
    <row r="29" s="3" customFormat="1" ht="22.95" customHeight="1"/>
    <row r="30" s="3" customFormat="1" ht="22.95" customHeight="1"/>
    <row r="31" s="3" customFormat="1" ht="22.95" customHeight="1"/>
    <row r="32" s="3" customFormat="1" ht="22.95" customHeight="1"/>
    <row r="33" s="3" customFormat="1" ht="22.95" customHeight="1"/>
    <row r="34" s="3" customFormat="1" ht="22.95" customHeight="1"/>
    <row r="35" s="3" customFormat="1" ht="22.95" customHeight="1"/>
    <row r="36" s="3" customFormat="1" ht="22.95" customHeight="1"/>
    <row r="37" s="3" customFormat="1" ht="22.95" customHeight="1"/>
    <row r="38" s="3" customFormat="1" ht="22.95" customHeight="1"/>
    <row r="39" s="3" customFormat="1" ht="22.95" customHeight="1"/>
    <row r="40" s="3" customFormat="1" ht="22.95" customHeight="1"/>
    <row r="41" s="3" customFormat="1" ht="22.95" customHeight="1"/>
    <row r="42" s="3" customFormat="1" ht="22.95" customHeight="1"/>
    <row r="43" s="3" customFormat="1" ht="22.95" customHeight="1"/>
    <row r="44" s="3" customFormat="1" ht="22.95" customHeight="1"/>
    <row r="45" s="3" customFormat="1" ht="22.95" customHeight="1"/>
    <row r="46" s="3" customFormat="1" ht="22.95" customHeight="1"/>
    <row r="47" s="3" customFormat="1" ht="22.95" customHeight="1"/>
    <row r="48" s="3" customFormat="1" ht="22.95" customHeight="1"/>
    <row r="49" s="3" customFormat="1" ht="22.95" customHeight="1"/>
    <row r="50" s="3" customFormat="1" ht="22.95" customHeight="1"/>
    <row r="51" s="3" customFormat="1" ht="22.95" customHeight="1"/>
    <row r="52" s="3" customFormat="1" ht="22.95" customHeight="1"/>
    <row r="53" s="3" customFormat="1" ht="22.95" customHeight="1"/>
    <row r="54" s="3" customFormat="1" ht="22.95" customHeight="1"/>
    <row r="55" s="3" customFormat="1" ht="22.95" customHeight="1"/>
    <row r="56" s="3" customFormat="1" ht="22.95" customHeight="1"/>
    <row r="57" s="3" customFormat="1" ht="22.95" customHeight="1"/>
    <row r="58" s="3" customFormat="1" ht="22.95" customHeight="1"/>
    <row r="59" s="3" customFormat="1" ht="22.95" customHeight="1"/>
    <row r="60" s="3" customFormat="1" ht="22.95" customHeight="1"/>
    <row r="61" s="3" customFormat="1" ht="22.95" customHeight="1"/>
    <row r="62" s="3" customFormat="1" ht="22.95" customHeight="1"/>
    <row r="63" s="3" customFormat="1" ht="22.95" customHeight="1"/>
    <row r="64" s="3" customFormat="1" ht="22.95" customHeight="1"/>
    <row r="65" s="3" customFormat="1" ht="22.95" customHeight="1"/>
    <row r="66" s="3" customFormat="1" ht="22.95" customHeight="1"/>
    <row r="67" s="3" customFormat="1" ht="22.95" customHeight="1"/>
    <row r="68" s="3" customFormat="1" ht="22.95" customHeight="1"/>
    <row r="69" s="3" customFormat="1" ht="22.95" customHeight="1"/>
    <row r="70" s="3" customFormat="1" ht="22.95" customHeight="1"/>
    <row r="71" s="3" customFormat="1" ht="22.95" customHeight="1"/>
    <row r="72" s="3" customFormat="1" ht="22.95" customHeight="1"/>
    <row r="73" s="3" customFormat="1" ht="22.95" customHeight="1"/>
    <row r="74" s="3" customFormat="1" ht="22.95" customHeight="1"/>
    <row r="75" s="3" customFormat="1" ht="22.95" customHeight="1"/>
    <row r="76" s="3" customFormat="1" ht="22.95" customHeight="1"/>
    <row r="77" s="3" customFormat="1" ht="22.95" customHeight="1"/>
    <row r="78" s="3" customFormat="1" ht="22.95" customHeight="1"/>
    <row r="79" s="3" customFormat="1" ht="22.95" customHeight="1"/>
    <row r="80" s="3" customFormat="1" ht="22.95" customHeight="1"/>
    <row r="81" s="3" customFormat="1" ht="22.95" customHeight="1"/>
    <row r="82" s="3" customFormat="1" ht="22.95" customHeight="1"/>
    <row r="83" s="3" customFormat="1" ht="22.95" customHeight="1"/>
    <row r="84" s="3" customFormat="1" ht="22.95" customHeight="1"/>
    <row r="85" s="3" customFormat="1" ht="22.95" customHeight="1"/>
    <row r="86" s="3" customFormat="1" ht="22.95" customHeight="1"/>
    <row r="87" s="3" customFormat="1" ht="22.95" customHeight="1"/>
    <row r="88" s="3" customFormat="1" ht="22.95" customHeight="1"/>
    <row r="89" s="3" customFormat="1" ht="22.95" customHeight="1"/>
    <row r="90" s="3" customFormat="1" ht="22.95" customHeight="1"/>
    <row r="91" s="3" customFormat="1" ht="22.95" customHeight="1"/>
    <row r="92" s="3" customFormat="1" ht="22.95" customHeight="1"/>
    <row r="93" s="3" customFormat="1" ht="22.95" customHeight="1"/>
    <row r="94" s="3" customFormat="1" ht="22.95" customHeight="1"/>
    <row r="95" s="3" customFormat="1" ht="22.95" customHeight="1"/>
    <row r="96" s="3" customFormat="1" ht="22.95" customHeight="1"/>
    <row r="97" s="3" customFormat="1" ht="22.95" customHeight="1"/>
    <row r="98" s="3" customFormat="1" ht="22.95" customHeight="1"/>
    <row r="99" s="3" customFormat="1" ht="22.95" customHeight="1"/>
    <row r="100" s="3" customFormat="1" ht="22.95" customHeight="1"/>
    <row r="101" s="3" customFormat="1" ht="22.95" customHeight="1"/>
    <row r="102" s="3" customFormat="1" ht="22.95" customHeight="1"/>
    <row r="103" s="3" customFormat="1" ht="22.95" customHeight="1"/>
    <row r="104" s="3" customFormat="1" ht="22.95" customHeight="1"/>
    <row r="105" s="3" customFormat="1" ht="22.95" customHeight="1"/>
    <row r="106" s="3" customFormat="1" ht="22.95" customHeight="1"/>
    <row r="107" s="3" customFormat="1" ht="22.95" customHeight="1"/>
    <row r="108" s="3" customFormat="1" ht="22.95" customHeight="1"/>
    <row r="109" s="3" customFormat="1" ht="22.95" customHeight="1"/>
    <row r="110" s="3" customFormat="1" ht="22.95" customHeight="1"/>
    <row r="111" s="3" customFormat="1" ht="22.95" customHeight="1"/>
    <row r="112" s="3" customFormat="1" ht="22.95" customHeight="1"/>
    <row r="113" s="3" customFormat="1" ht="22.95" customHeight="1"/>
    <row r="114" s="3" customFormat="1" ht="22.95" customHeight="1"/>
    <row r="115" s="3" customFormat="1" ht="22.95" customHeight="1"/>
    <row r="116" s="3" customFormat="1" ht="22.95" customHeight="1"/>
    <row r="117" s="3" customFormat="1" ht="22.95" customHeight="1"/>
    <row r="118" s="3" customFormat="1" ht="22.95" customHeight="1"/>
    <row r="119" s="3" customFormat="1" ht="22.95" customHeight="1"/>
    <row r="120" s="3" customFormat="1" ht="22.95" customHeight="1"/>
    <row r="121" s="3" customFormat="1" ht="22.95" customHeight="1"/>
    <row r="122" s="3" customFormat="1" ht="22.95" customHeight="1"/>
    <row r="123" s="3" customFormat="1" ht="22.95" customHeight="1"/>
    <row r="124" s="3" customFormat="1" ht="22.95" customHeight="1"/>
    <row r="125" s="3" customFormat="1" ht="22.95" customHeight="1"/>
    <row r="126" s="3" customFormat="1" ht="22.95" customHeight="1"/>
    <row r="127" s="3" customFormat="1" ht="22.95" customHeight="1"/>
    <row r="128" s="3" customFormat="1" ht="22.95" customHeight="1"/>
    <row r="129" s="3" customFormat="1" ht="22.95" customHeight="1"/>
    <row r="130" s="3" customFormat="1" ht="22.95" customHeight="1"/>
    <row r="131" s="3" customFormat="1" ht="22.95" customHeight="1"/>
    <row r="132" s="3" customFormat="1" ht="22.95" customHeight="1"/>
    <row r="133" s="3" customFormat="1" ht="22.95" customHeight="1"/>
    <row r="134" s="3" customFormat="1" ht="22.95" customHeight="1"/>
    <row r="135" s="3" customFormat="1" ht="22.95" customHeight="1"/>
    <row r="136" s="3" customFormat="1" ht="22.95" customHeight="1"/>
    <row r="137" s="3" customFormat="1" ht="22.95" customHeight="1"/>
    <row r="138" s="3" customFormat="1" ht="22.95" customHeight="1"/>
    <row r="139" s="3" customFormat="1" ht="22.95" customHeight="1"/>
    <row r="140" s="3" customFormat="1" ht="22.95" customHeight="1"/>
    <row r="141" s="3" customFormat="1" ht="22.95" customHeight="1"/>
    <row r="142" s="3" customFormat="1" ht="22.95" customHeight="1"/>
    <row r="143" s="3" customFormat="1" ht="22.95" customHeight="1"/>
    <row r="144" s="3" customFormat="1" ht="22.95" customHeight="1"/>
    <row r="145" s="3" customFormat="1" ht="22.95" customHeight="1"/>
    <row r="146" s="3" customFormat="1" ht="22.95" customHeight="1"/>
    <row r="147" s="3" customFormat="1" ht="22.95" customHeight="1"/>
    <row r="148" s="3" customFormat="1" ht="22.95" customHeight="1"/>
    <row r="149" s="3" customFormat="1" ht="22.95" customHeight="1"/>
    <row r="150" s="3" customFormat="1" ht="22.95" customHeight="1"/>
    <row r="151" s="3" customFormat="1" ht="22.95" customHeight="1"/>
    <row r="152" s="3" customFormat="1" ht="22.95" customHeight="1"/>
    <row r="153" s="3" customFormat="1" ht="22.95" customHeight="1"/>
    <row r="154" s="3" customFormat="1" ht="22.95" customHeight="1"/>
    <row r="155" s="3" customFormat="1" ht="22.95" customHeight="1"/>
    <row r="156" s="3" customFormat="1" ht="22.95" customHeight="1"/>
    <row r="157" s="3" customFormat="1" ht="22.95" customHeight="1"/>
    <row r="158" s="3" customFormat="1" ht="22.95" customHeight="1"/>
    <row r="159" s="3" customFormat="1" ht="22.95" customHeight="1"/>
    <row r="160" s="3" customFormat="1" ht="22.95" customHeight="1"/>
    <row r="161" s="3" customFormat="1" ht="22.95" customHeight="1"/>
    <row r="162" s="3" customFormat="1" ht="22.95" customHeight="1"/>
    <row r="163" s="3" customFormat="1" ht="22.95" customHeight="1"/>
    <row r="164" s="3" customFormat="1" ht="22.95" customHeight="1"/>
    <row r="165" s="3" customFormat="1" ht="22.95" customHeight="1"/>
    <row r="166" s="3" customFormat="1" ht="22.95" customHeight="1"/>
    <row r="167" s="3" customFormat="1" ht="22.95" customHeight="1"/>
    <row r="168" s="3" customFormat="1" ht="22.95" customHeight="1"/>
    <row r="169" s="3" customFormat="1" ht="22.95" customHeight="1"/>
    <row r="170" s="3" customFormat="1" ht="22.95" customHeight="1"/>
    <row r="171" s="3" customFormat="1" ht="22.95" customHeight="1"/>
    <row r="172" s="3" customFormat="1" ht="22.95" customHeight="1"/>
    <row r="173" s="3" customFormat="1" ht="22.95" customHeight="1"/>
    <row r="174" s="3" customFormat="1" ht="22.95" customHeight="1"/>
    <row r="175" s="3" customFormat="1" ht="22.95" customHeight="1"/>
    <row r="176" s="3" customFormat="1" ht="22.95" customHeight="1"/>
    <row r="177" s="3" customFormat="1" ht="22.95" customHeight="1"/>
    <row r="178" s="3" customFormat="1" ht="22.95" customHeight="1"/>
    <row r="179" s="3" customFormat="1" ht="22.95" customHeight="1"/>
    <row r="180" s="3" customFormat="1" ht="22.95" customHeight="1"/>
    <row r="181" s="3" customFormat="1" ht="22.95" customHeight="1"/>
    <row r="182" s="3" customFormat="1" ht="22.95" customHeight="1"/>
    <row r="183" s="3" customFormat="1" ht="22.95" customHeight="1"/>
    <row r="184" s="3" customFormat="1" ht="22.95" customHeight="1"/>
    <row r="185" s="3" customFormat="1" ht="22.95" customHeight="1"/>
    <row r="186" s="3" customFormat="1" ht="22.95" customHeight="1"/>
    <row r="187" s="3" customFormat="1" ht="22.95" customHeight="1"/>
    <row r="188" s="3" customFormat="1" ht="22.95" customHeight="1"/>
    <row r="189" s="3" customFormat="1" ht="22.95" customHeight="1"/>
    <row r="190" s="3" customFormat="1" ht="22.95" customHeight="1"/>
    <row r="191" s="3" customFormat="1" ht="22.95" customHeight="1"/>
    <row r="192" s="3" customFormat="1" ht="22.95" customHeight="1"/>
    <row r="193" s="3" customFormat="1" ht="22.95" customHeight="1"/>
    <row r="194" s="3" customFormat="1" ht="22.95" customHeight="1"/>
    <row r="195" s="3" customFormat="1" ht="22.95" customHeight="1"/>
    <row r="196" s="3" customFormat="1" ht="22.95" customHeight="1"/>
    <row r="197" s="3" customFormat="1" ht="22.95" customHeight="1"/>
    <row r="198" s="3" customFormat="1" ht="22.95" customHeight="1"/>
    <row r="199" s="3" customFormat="1" ht="22.95" customHeight="1"/>
    <row r="200" s="3" customFormat="1" ht="22.95" customHeight="1"/>
    <row r="201" s="3" customFormat="1" ht="22.95" customHeight="1"/>
    <row r="202" s="3" customFormat="1" ht="22.95" customHeight="1"/>
    <row r="203" s="3" customFormat="1" ht="22.95" customHeight="1"/>
    <row r="204" s="3" customFormat="1" ht="22.95" customHeight="1"/>
    <row r="205" s="3" customFormat="1" ht="22.95" customHeight="1"/>
    <row r="206" s="3" customFormat="1" ht="22.95" customHeight="1"/>
    <row r="207" s="3" customFormat="1" ht="22.95" customHeight="1"/>
    <row r="208" s="3" customFormat="1" ht="22.95" customHeight="1"/>
    <row r="209" s="3" customFormat="1" ht="22.95" customHeight="1"/>
    <row r="210" s="3" customFormat="1" ht="22.95" customHeight="1"/>
    <row r="211" s="3" customFormat="1" ht="22.95" customHeight="1"/>
    <row r="212" s="3" customFormat="1" ht="22.95" customHeight="1"/>
    <row r="213" s="3" customFormat="1" ht="22.95" customHeight="1"/>
    <row r="214" s="3" customFormat="1" ht="22.95" customHeight="1"/>
    <row r="215" s="3" customFormat="1" ht="22.95" customHeight="1"/>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tint="0.89996032593768116"/>
  </sheetPr>
  <dimension ref="C1:DU220"/>
  <sheetViews>
    <sheetView workbookViewId="0"/>
  </sheetViews>
  <sheetFormatPr baseColWidth="10" defaultColWidth="10.796875" defaultRowHeight="13.8"/>
  <cols>
    <col min="1" max="2" width="2.5" style="2" customWidth="1"/>
    <col min="3" max="3" width="36.69921875" style="2" customWidth="1"/>
    <col min="4" max="7" width="10.796875" style="2" customWidth="1"/>
    <col min="8" max="16384" width="10.796875" style="2"/>
  </cols>
  <sheetData>
    <row r="1" spans="3:125" s="3" customFormat="1" ht="22.95" customHeight="1"/>
    <row r="2" spans="3:125" s="3" customFormat="1" ht="22.95" customHeight="1">
      <c r="D2" s="57" t="s">
        <v>260</v>
      </c>
      <c r="E2" s="3">
        <f>IF(E4='Single Project Assumptions'!$H$11,1,0)</f>
        <v>0</v>
      </c>
      <c r="F2" s="3">
        <f>IF(F4='Single Project Assumptions'!$H$11,1,0)</f>
        <v>0</v>
      </c>
      <c r="G2" s="3">
        <f>IF(G4='Single Project Assumptions'!$H$11,1,0)</f>
        <v>0</v>
      </c>
      <c r="H2" s="3">
        <f>IF(H4='Single Project Assumptions'!$H$11,1,0)</f>
        <v>0</v>
      </c>
      <c r="I2" s="3">
        <f>IF(I4='Single Project Assumptions'!$H$11,1,0)</f>
        <v>0</v>
      </c>
      <c r="J2" s="3">
        <f>IF(J4='Single Project Assumptions'!$H$11,1,0)</f>
        <v>0</v>
      </c>
      <c r="K2" s="3">
        <f>IF(K4='Single Project Assumptions'!$H$11,1,0)</f>
        <v>1</v>
      </c>
      <c r="L2" s="3">
        <f>IF(L4='Single Project Assumptions'!$H$11,1,0)</f>
        <v>0</v>
      </c>
      <c r="M2" s="3">
        <f>IF(M4='Single Project Assumptions'!$H$11,1,0)</f>
        <v>0</v>
      </c>
      <c r="N2" s="3">
        <f>IF(N4='Single Project Assumptions'!$H$11,1,0)</f>
        <v>0</v>
      </c>
      <c r="O2" s="3">
        <f>IF(O4='Single Project Assumptions'!$H$11,1,0)</f>
        <v>0</v>
      </c>
      <c r="P2" s="3">
        <f>IF(P4='Single Project Assumptions'!$H$11,1,0)</f>
        <v>0</v>
      </c>
      <c r="Q2" s="3">
        <f>IF(Q4='Single Project Assumptions'!$H$11,1,0)</f>
        <v>0</v>
      </c>
      <c r="R2" s="3">
        <f>IF(R4='Single Project Assumptions'!$H$11,1,0)</f>
        <v>0</v>
      </c>
      <c r="S2" s="3">
        <f>IF(S4='Single Project Assumptions'!$H$11,1,0)</f>
        <v>0</v>
      </c>
      <c r="T2" s="3">
        <f>IF(T4='Single Project Assumptions'!$H$11,1,0)</f>
        <v>0</v>
      </c>
      <c r="U2" s="3">
        <f>IF(U4='Single Project Assumptions'!$H$11,1,0)</f>
        <v>0</v>
      </c>
      <c r="V2" s="3">
        <f>IF(V4='Single Project Assumptions'!$H$11,1,0)</f>
        <v>0</v>
      </c>
      <c r="W2" s="3">
        <f>IF(W4='Single Project Assumptions'!$H$11,1,0)</f>
        <v>0</v>
      </c>
      <c r="X2" s="3">
        <f>IF(X4='Single Project Assumptions'!$H$11,1,0)</f>
        <v>0</v>
      </c>
      <c r="Y2" s="3">
        <f>IF(Y4='Single Project Assumptions'!$H$11,1,0)</f>
        <v>0</v>
      </c>
      <c r="Z2" s="3">
        <f>IF(Z4='Single Project Assumptions'!$H$11,1,0)</f>
        <v>0</v>
      </c>
      <c r="AA2" s="3">
        <f>IF(AA4='Single Project Assumptions'!$H$11,1,0)</f>
        <v>0</v>
      </c>
      <c r="AB2" s="3">
        <f>IF(AB4='Single Project Assumptions'!$H$11,1,0)</f>
        <v>0</v>
      </c>
      <c r="AC2" s="3">
        <f>IF(AC4='Single Project Assumptions'!$H$11,1,0)</f>
        <v>0</v>
      </c>
      <c r="AD2" s="3">
        <f>IF(AD4='Single Project Assumptions'!$H$11,1,0)</f>
        <v>0</v>
      </c>
      <c r="AE2" s="3">
        <f>IF(AE4='Single Project Assumptions'!$H$11,1,0)</f>
        <v>0</v>
      </c>
      <c r="AF2" s="3">
        <f>IF(AF4='Single Project Assumptions'!$H$11,1,0)</f>
        <v>0</v>
      </c>
      <c r="AG2" s="3">
        <f>IF(AG4='Single Project Assumptions'!$H$11,1,0)</f>
        <v>0</v>
      </c>
      <c r="AH2" s="3">
        <f>IF(AH4='Single Project Assumptions'!$H$11,1,0)</f>
        <v>0</v>
      </c>
      <c r="AI2" s="3">
        <f>IF(AI4='Single Project Assumptions'!$H$11,1,0)</f>
        <v>0</v>
      </c>
      <c r="AJ2" s="3">
        <f>IF(AJ4='Single Project Assumptions'!$H$11,1,0)</f>
        <v>0</v>
      </c>
      <c r="AK2" s="3">
        <f>IF(AK4='Single Project Assumptions'!$H$11,1,0)</f>
        <v>0</v>
      </c>
      <c r="AL2" s="3">
        <f>IF(AL4='Single Project Assumptions'!$H$11,1,0)</f>
        <v>0</v>
      </c>
      <c r="AM2" s="3">
        <f>IF(AM4='Single Project Assumptions'!$H$11,1,0)</f>
        <v>0</v>
      </c>
      <c r="AN2" s="3">
        <f>IF(AN4='Single Project Assumptions'!$H$11,1,0)</f>
        <v>0</v>
      </c>
      <c r="AO2" s="3">
        <f>IF(AO4='Single Project Assumptions'!$H$11,1,0)</f>
        <v>0</v>
      </c>
      <c r="AP2" s="3">
        <f>IF(AP4='Single Project Assumptions'!$H$11,1,0)</f>
        <v>0</v>
      </c>
      <c r="AQ2" s="3">
        <f>IF(AQ4='Single Project Assumptions'!$H$11,1,0)</f>
        <v>0</v>
      </c>
      <c r="AR2" s="3">
        <f>IF(AR4='Single Project Assumptions'!$H$11,1,0)</f>
        <v>0</v>
      </c>
      <c r="AS2" s="3">
        <f>IF(AS4='Single Project Assumptions'!$H$11,1,0)</f>
        <v>0</v>
      </c>
      <c r="AT2" s="3">
        <f>IF(AT4='Single Project Assumptions'!$H$11,1,0)</f>
        <v>0</v>
      </c>
      <c r="AU2" s="3">
        <f>IF(AU4='Single Project Assumptions'!$H$11,1,0)</f>
        <v>0</v>
      </c>
      <c r="AV2" s="3">
        <f>IF(AV4='Single Project Assumptions'!$H$11,1,0)</f>
        <v>0</v>
      </c>
      <c r="AW2" s="3">
        <f>IF(AW4='Single Project Assumptions'!$H$11,1,0)</f>
        <v>0</v>
      </c>
      <c r="AX2" s="3">
        <f>IF(AX4='Single Project Assumptions'!$H$11,1,0)</f>
        <v>0</v>
      </c>
      <c r="AY2" s="3">
        <f>IF(AY4='Single Project Assumptions'!$H$11,1,0)</f>
        <v>0</v>
      </c>
      <c r="AZ2" s="3">
        <f>IF(AZ4='Single Project Assumptions'!$H$11,1,0)</f>
        <v>0</v>
      </c>
      <c r="BA2" s="3">
        <f>IF(BA4='Single Project Assumptions'!$H$11,1,0)</f>
        <v>0</v>
      </c>
      <c r="BB2" s="3">
        <f>IF(BB4='Single Project Assumptions'!$H$11,1,0)</f>
        <v>0</v>
      </c>
      <c r="BC2" s="3">
        <f>IF(BC4='Single Project Assumptions'!$H$11,1,0)</f>
        <v>0</v>
      </c>
      <c r="BD2" s="3">
        <f>IF(BD4='Single Project Assumptions'!$H$11,1,0)</f>
        <v>0</v>
      </c>
      <c r="BE2" s="3">
        <f>IF(BE4='Single Project Assumptions'!$H$11,1,0)</f>
        <v>0</v>
      </c>
      <c r="BF2" s="3">
        <f>IF(BF4='Single Project Assumptions'!$H$11,1,0)</f>
        <v>0</v>
      </c>
      <c r="BG2" s="3">
        <f>IF(BG4='Single Project Assumptions'!$H$11,1,0)</f>
        <v>0</v>
      </c>
      <c r="BH2" s="3">
        <f>IF(BH4='Single Project Assumptions'!$H$11,1,0)</f>
        <v>0</v>
      </c>
      <c r="BI2" s="3">
        <f>IF(BI4='Single Project Assumptions'!$H$11,1,0)</f>
        <v>0</v>
      </c>
      <c r="BJ2" s="3">
        <f>IF(BJ4='Single Project Assumptions'!$H$11,1,0)</f>
        <v>0</v>
      </c>
      <c r="BK2" s="3">
        <f>IF(BK4='Single Project Assumptions'!$H$11,1,0)</f>
        <v>0</v>
      </c>
      <c r="BL2" s="3">
        <f>IF(BL4='Single Project Assumptions'!$H$11,1,0)</f>
        <v>0</v>
      </c>
      <c r="BM2" s="3">
        <f>IF(BM4='Single Project Assumptions'!$H$11,1,0)</f>
        <v>0</v>
      </c>
      <c r="BN2" s="3">
        <f>IF(BN4='Single Project Assumptions'!$H$11,1,0)</f>
        <v>0</v>
      </c>
      <c r="BO2" s="3">
        <f>IF(BO4='Single Project Assumptions'!$H$11,1,0)</f>
        <v>0</v>
      </c>
      <c r="BP2" s="3">
        <f>IF(BP4='Single Project Assumptions'!$H$11,1,0)</f>
        <v>0</v>
      </c>
      <c r="BQ2" s="3">
        <f>IF(BQ4='Single Project Assumptions'!$H$11,1,0)</f>
        <v>0</v>
      </c>
      <c r="BR2" s="3">
        <f>IF(BR4='Single Project Assumptions'!$H$11,1,0)</f>
        <v>0</v>
      </c>
      <c r="BS2" s="3">
        <f>IF(BS4='Single Project Assumptions'!$H$11,1,0)</f>
        <v>0</v>
      </c>
      <c r="BT2" s="3">
        <f>IF(BT4='Single Project Assumptions'!$H$11,1,0)</f>
        <v>0</v>
      </c>
      <c r="BU2" s="3">
        <f>IF(BU4='Single Project Assumptions'!$H$11,1,0)</f>
        <v>0</v>
      </c>
      <c r="BV2" s="3">
        <f>IF(BV4='Single Project Assumptions'!$H$11,1,0)</f>
        <v>0</v>
      </c>
      <c r="BW2" s="3">
        <f>IF(BW4='Single Project Assumptions'!$H$11,1,0)</f>
        <v>0</v>
      </c>
      <c r="BX2" s="3">
        <f>IF(BX4='Single Project Assumptions'!$H$11,1,0)</f>
        <v>0</v>
      </c>
      <c r="BY2" s="3">
        <f>IF(BY4='Single Project Assumptions'!$H$11,1,0)</f>
        <v>0</v>
      </c>
      <c r="BZ2" s="3">
        <f>IF(BZ4='Single Project Assumptions'!$H$11,1,0)</f>
        <v>0</v>
      </c>
      <c r="CA2" s="3">
        <f>IF(CA4='Single Project Assumptions'!$H$11,1,0)</f>
        <v>0</v>
      </c>
      <c r="CB2" s="3">
        <f>IF(CB4='Single Project Assumptions'!$H$11,1,0)</f>
        <v>0</v>
      </c>
      <c r="CC2" s="3">
        <f>IF(CC4='Single Project Assumptions'!$H$11,1,0)</f>
        <v>0</v>
      </c>
      <c r="CD2" s="3">
        <f>IF(CD4='Single Project Assumptions'!$H$11,1,0)</f>
        <v>0</v>
      </c>
      <c r="CE2" s="3">
        <f>IF(CE4='Single Project Assumptions'!$H$11,1,0)</f>
        <v>0</v>
      </c>
      <c r="CF2" s="3">
        <f>IF(CF4='Single Project Assumptions'!$H$11,1,0)</f>
        <v>0</v>
      </c>
      <c r="CG2" s="3">
        <f>IF(CG4='Single Project Assumptions'!$H$11,1,0)</f>
        <v>0</v>
      </c>
      <c r="CH2" s="3">
        <f>IF(CH4='Single Project Assumptions'!$H$11,1,0)</f>
        <v>0</v>
      </c>
      <c r="CI2" s="3">
        <f>IF(CI4='Single Project Assumptions'!$H$11,1,0)</f>
        <v>0</v>
      </c>
      <c r="CJ2" s="3">
        <f>IF(CJ4='Single Project Assumptions'!$H$11,1,0)</f>
        <v>0</v>
      </c>
      <c r="CK2" s="3">
        <f>IF(CK4='Single Project Assumptions'!$H$11,1,0)</f>
        <v>0</v>
      </c>
      <c r="CL2" s="3">
        <f>IF(CL4='Single Project Assumptions'!$H$11,1,0)</f>
        <v>0</v>
      </c>
      <c r="CM2" s="3">
        <f>IF(CM4='Single Project Assumptions'!$H$11,1,0)</f>
        <v>0</v>
      </c>
      <c r="CN2" s="3">
        <f>IF(CN4='Single Project Assumptions'!$H$11,1,0)</f>
        <v>0</v>
      </c>
      <c r="CO2" s="3">
        <f>IF(CO4='Single Project Assumptions'!$H$11,1,0)</f>
        <v>0</v>
      </c>
      <c r="CP2" s="3">
        <f>IF(CP4='Single Project Assumptions'!$H$11,1,0)</f>
        <v>0</v>
      </c>
      <c r="CQ2" s="3">
        <f>IF(CQ4='Single Project Assumptions'!$H$11,1,0)</f>
        <v>0</v>
      </c>
      <c r="CR2" s="3">
        <f>IF(CR4='Single Project Assumptions'!$H$11,1,0)</f>
        <v>0</v>
      </c>
      <c r="CS2" s="3">
        <f>IF(CS4='Single Project Assumptions'!$H$11,1,0)</f>
        <v>0</v>
      </c>
      <c r="CT2" s="3">
        <f>IF(CT4='Single Project Assumptions'!$H$11,1,0)</f>
        <v>0</v>
      </c>
      <c r="CU2" s="3">
        <f>IF(CU4='Single Project Assumptions'!$H$11,1,0)</f>
        <v>0</v>
      </c>
      <c r="CV2" s="3">
        <f>IF(CV4='Single Project Assumptions'!$H$11,1,0)</f>
        <v>0</v>
      </c>
      <c r="CW2" s="3">
        <f>IF(CW4='Single Project Assumptions'!$H$11,1,0)</f>
        <v>0</v>
      </c>
      <c r="CX2" s="3">
        <f>IF(CX4='Single Project Assumptions'!$H$11,1,0)</f>
        <v>0</v>
      </c>
      <c r="CY2" s="3">
        <f>IF(CY4='Single Project Assumptions'!$H$11,1,0)</f>
        <v>0</v>
      </c>
      <c r="CZ2" s="3">
        <f>IF(CZ4='Single Project Assumptions'!$H$11,1,0)</f>
        <v>0</v>
      </c>
      <c r="DA2" s="3">
        <f>IF(DA4='Single Project Assumptions'!$H$11,1,0)</f>
        <v>0</v>
      </c>
      <c r="DB2" s="3">
        <f>IF(DB4='Single Project Assumptions'!$H$11,1,0)</f>
        <v>0</v>
      </c>
      <c r="DC2" s="3">
        <f>IF(DC4='Single Project Assumptions'!$H$11,1,0)</f>
        <v>0</v>
      </c>
      <c r="DD2" s="3">
        <f>IF(DD4='Single Project Assumptions'!$H$11,1,0)</f>
        <v>0</v>
      </c>
      <c r="DE2" s="3">
        <f>IF(DE4='Single Project Assumptions'!$H$11,1,0)</f>
        <v>0</v>
      </c>
      <c r="DF2" s="3">
        <f>IF(DF4='Single Project Assumptions'!$H$11,1,0)</f>
        <v>0</v>
      </c>
      <c r="DG2" s="3">
        <f>IF(DG4='Single Project Assumptions'!$H$11,1,0)</f>
        <v>0</v>
      </c>
      <c r="DH2" s="3">
        <f>IF(DH4='Single Project Assumptions'!$H$11,1,0)</f>
        <v>0</v>
      </c>
      <c r="DI2" s="3">
        <f>IF(DI4='Single Project Assumptions'!$H$11,1,0)</f>
        <v>0</v>
      </c>
      <c r="DJ2" s="3">
        <f>IF(DJ4='Single Project Assumptions'!$H$11,1,0)</f>
        <v>0</v>
      </c>
      <c r="DK2" s="3">
        <f>IF(DK4='Single Project Assumptions'!$H$11,1,0)</f>
        <v>0</v>
      </c>
      <c r="DL2" s="3">
        <f>IF(DL4='Single Project Assumptions'!$H$11,1,0)</f>
        <v>0</v>
      </c>
      <c r="DM2" s="3">
        <f>IF(DM4='Single Project Assumptions'!$H$11,1,0)</f>
        <v>0</v>
      </c>
      <c r="DN2" s="3">
        <f>IF(DN4='Single Project Assumptions'!$H$11,1,0)</f>
        <v>0</v>
      </c>
      <c r="DO2" s="3">
        <f>IF(DO4='Single Project Assumptions'!$H$11,1,0)</f>
        <v>0</v>
      </c>
      <c r="DP2" s="3">
        <f>IF(DP4='Single Project Assumptions'!$H$11,1,0)</f>
        <v>0</v>
      </c>
      <c r="DQ2" s="3">
        <f>IF(DQ4='Single Project Assumptions'!$H$11,1,0)</f>
        <v>0</v>
      </c>
      <c r="DR2" s="3">
        <f>IF(DR4='Single Project Assumptions'!$H$11,1,0)</f>
        <v>0</v>
      </c>
      <c r="DS2" s="3">
        <f>IF(DS4='Single Project Assumptions'!$H$11,1,0)</f>
        <v>0</v>
      </c>
      <c r="DT2" s="3">
        <f>IF(DT4='Single Project Assumptions'!$H$11,1,0)</f>
        <v>0</v>
      </c>
      <c r="DU2" s="3">
        <f>IF(DU4='Single Project Assumptions'!$H$11,1,0)</f>
        <v>0</v>
      </c>
    </row>
    <row r="3" spans="3:125" s="3" customFormat="1" ht="22.95" customHeight="1">
      <c r="D3" s="57" t="s">
        <v>83</v>
      </c>
      <c r="E3" s="3">
        <f t="shared" ref="E3:AJ3" si="0">YEAR(E4)</f>
        <v>2026</v>
      </c>
      <c r="F3" s="3">
        <f t="shared" si="0"/>
        <v>2027</v>
      </c>
      <c r="G3" s="3">
        <f t="shared" si="0"/>
        <v>2027</v>
      </c>
      <c r="H3" s="3">
        <f t="shared" si="0"/>
        <v>2027</v>
      </c>
      <c r="I3" s="3">
        <f t="shared" si="0"/>
        <v>2027</v>
      </c>
      <c r="J3" s="3">
        <f t="shared" si="0"/>
        <v>2027</v>
      </c>
      <c r="K3" s="3">
        <f t="shared" si="0"/>
        <v>2027</v>
      </c>
      <c r="L3" s="3">
        <f t="shared" si="0"/>
        <v>2027</v>
      </c>
      <c r="M3" s="3">
        <f t="shared" si="0"/>
        <v>2027</v>
      </c>
      <c r="N3" s="3">
        <f t="shared" si="0"/>
        <v>2027</v>
      </c>
      <c r="O3" s="3">
        <f t="shared" si="0"/>
        <v>2027</v>
      </c>
      <c r="P3" s="3">
        <f t="shared" si="0"/>
        <v>2027</v>
      </c>
      <c r="Q3" s="3">
        <f t="shared" si="0"/>
        <v>2027</v>
      </c>
      <c r="R3" s="3">
        <f t="shared" si="0"/>
        <v>2028</v>
      </c>
      <c r="S3" s="3">
        <f t="shared" si="0"/>
        <v>2028</v>
      </c>
      <c r="T3" s="3">
        <f t="shared" si="0"/>
        <v>2028</v>
      </c>
      <c r="U3" s="3">
        <f t="shared" si="0"/>
        <v>2028</v>
      </c>
      <c r="V3" s="3">
        <f t="shared" si="0"/>
        <v>2028</v>
      </c>
      <c r="W3" s="3">
        <f t="shared" si="0"/>
        <v>2028</v>
      </c>
      <c r="X3" s="3">
        <f t="shared" si="0"/>
        <v>2028</v>
      </c>
      <c r="Y3" s="3">
        <f t="shared" si="0"/>
        <v>2028</v>
      </c>
      <c r="Z3" s="3">
        <f t="shared" si="0"/>
        <v>2028</v>
      </c>
      <c r="AA3" s="3">
        <f t="shared" si="0"/>
        <v>2028</v>
      </c>
      <c r="AB3" s="3">
        <f t="shared" si="0"/>
        <v>2028</v>
      </c>
      <c r="AC3" s="3">
        <f t="shared" si="0"/>
        <v>2028</v>
      </c>
      <c r="AD3" s="3">
        <f t="shared" si="0"/>
        <v>2029</v>
      </c>
      <c r="AE3" s="3">
        <f t="shared" si="0"/>
        <v>2029</v>
      </c>
      <c r="AF3" s="3">
        <f t="shared" si="0"/>
        <v>2029</v>
      </c>
      <c r="AG3" s="3">
        <f t="shared" si="0"/>
        <v>2029</v>
      </c>
      <c r="AH3" s="3">
        <f t="shared" si="0"/>
        <v>2029</v>
      </c>
      <c r="AI3" s="3">
        <f t="shared" si="0"/>
        <v>2029</v>
      </c>
      <c r="AJ3" s="3">
        <f t="shared" si="0"/>
        <v>2029</v>
      </c>
      <c r="AK3" s="3">
        <f t="shared" ref="AK3:BP3" si="1">YEAR(AK4)</f>
        <v>2029</v>
      </c>
      <c r="AL3" s="3">
        <f t="shared" si="1"/>
        <v>2029</v>
      </c>
      <c r="AM3" s="3">
        <f t="shared" si="1"/>
        <v>2029</v>
      </c>
      <c r="AN3" s="3">
        <f t="shared" si="1"/>
        <v>2029</v>
      </c>
      <c r="AO3" s="3">
        <f t="shared" si="1"/>
        <v>2029</v>
      </c>
      <c r="AP3" s="3">
        <f t="shared" si="1"/>
        <v>2030</v>
      </c>
      <c r="AQ3" s="3">
        <f t="shared" si="1"/>
        <v>2030</v>
      </c>
      <c r="AR3" s="3">
        <f t="shared" si="1"/>
        <v>2030</v>
      </c>
      <c r="AS3" s="3">
        <f t="shared" si="1"/>
        <v>2030</v>
      </c>
      <c r="AT3" s="3">
        <f t="shared" si="1"/>
        <v>2030</v>
      </c>
      <c r="AU3" s="3">
        <f t="shared" si="1"/>
        <v>2030</v>
      </c>
      <c r="AV3" s="3">
        <f t="shared" si="1"/>
        <v>2030</v>
      </c>
      <c r="AW3" s="3">
        <f t="shared" si="1"/>
        <v>2030</v>
      </c>
      <c r="AX3" s="3">
        <f t="shared" si="1"/>
        <v>2030</v>
      </c>
      <c r="AY3" s="3">
        <f t="shared" si="1"/>
        <v>2030</v>
      </c>
      <c r="AZ3" s="3">
        <f t="shared" si="1"/>
        <v>2030</v>
      </c>
      <c r="BA3" s="3">
        <f t="shared" si="1"/>
        <v>2030</v>
      </c>
      <c r="BB3" s="3">
        <f t="shared" si="1"/>
        <v>2031</v>
      </c>
      <c r="BC3" s="3">
        <f t="shared" si="1"/>
        <v>2031</v>
      </c>
      <c r="BD3" s="3">
        <f t="shared" si="1"/>
        <v>2031</v>
      </c>
      <c r="BE3" s="3">
        <f t="shared" si="1"/>
        <v>2031</v>
      </c>
      <c r="BF3" s="3">
        <f t="shared" si="1"/>
        <v>2031</v>
      </c>
      <c r="BG3" s="3">
        <f t="shared" si="1"/>
        <v>2031</v>
      </c>
      <c r="BH3" s="3">
        <f t="shared" si="1"/>
        <v>2031</v>
      </c>
      <c r="BI3" s="3">
        <f t="shared" si="1"/>
        <v>2031</v>
      </c>
      <c r="BJ3" s="3">
        <f t="shared" si="1"/>
        <v>2031</v>
      </c>
      <c r="BK3" s="3">
        <f t="shared" si="1"/>
        <v>2031</v>
      </c>
      <c r="BL3" s="3">
        <f t="shared" si="1"/>
        <v>2031</v>
      </c>
      <c r="BM3" s="3">
        <f t="shared" si="1"/>
        <v>2031</v>
      </c>
      <c r="BN3" s="3">
        <f t="shared" si="1"/>
        <v>2032</v>
      </c>
      <c r="BO3" s="3">
        <f t="shared" si="1"/>
        <v>2032</v>
      </c>
      <c r="BP3" s="3">
        <f t="shared" si="1"/>
        <v>2032</v>
      </c>
      <c r="BQ3" s="3">
        <f t="shared" ref="BQ3:CV3" si="2">YEAR(BQ4)</f>
        <v>2032</v>
      </c>
      <c r="BR3" s="3">
        <f t="shared" si="2"/>
        <v>2032</v>
      </c>
      <c r="BS3" s="3">
        <f t="shared" si="2"/>
        <v>2032</v>
      </c>
      <c r="BT3" s="3">
        <f t="shared" si="2"/>
        <v>2032</v>
      </c>
      <c r="BU3" s="3">
        <f t="shared" si="2"/>
        <v>2032</v>
      </c>
      <c r="BV3" s="3">
        <f t="shared" si="2"/>
        <v>2032</v>
      </c>
      <c r="BW3" s="3">
        <f t="shared" si="2"/>
        <v>2032</v>
      </c>
      <c r="BX3" s="3">
        <f t="shared" si="2"/>
        <v>2032</v>
      </c>
      <c r="BY3" s="3">
        <f t="shared" si="2"/>
        <v>2032</v>
      </c>
      <c r="BZ3" s="3">
        <f t="shared" si="2"/>
        <v>2033</v>
      </c>
      <c r="CA3" s="3">
        <f t="shared" si="2"/>
        <v>2033</v>
      </c>
      <c r="CB3" s="3">
        <f t="shared" si="2"/>
        <v>2033</v>
      </c>
      <c r="CC3" s="3">
        <f t="shared" si="2"/>
        <v>2033</v>
      </c>
      <c r="CD3" s="3">
        <f t="shared" si="2"/>
        <v>2033</v>
      </c>
      <c r="CE3" s="3">
        <f t="shared" si="2"/>
        <v>2033</v>
      </c>
      <c r="CF3" s="3">
        <f t="shared" si="2"/>
        <v>2033</v>
      </c>
      <c r="CG3" s="3">
        <f t="shared" si="2"/>
        <v>2033</v>
      </c>
      <c r="CH3" s="3">
        <f t="shared" si="2"/>
        <v>2033</v>
      </c>
      <c r="CI3" s="3">
        <f t="shared" si="2"/>
        <v>2033</v>
      </c>
      <c r="CJ3" s="3">
        <f t="shared" si="2"/>
        <v>2033</v>
      </c>
      <c r="CK3" s="3">
        <f t="shared" si="2"/>
        <v>2033</v>
      </c>
      <c r="CL3" s="3">
        <f t="shared" si="2"/>
        <v>2034</v>
      </c>
      <c r="CM3" s="3">
        <f t="shared" si="2"/>
        <v>2034</v>
      </c>
      <c r="CN3" s="3">
        <f t="shared" si="2"/>
        <v>2034</v>
      </c>
      <c r="CO3" s="3">
        <f t="shared" si="2"/>
        <v>2034</v>
      </c>
      <c r="CP3" s="3">
        <f t="shared" si="2"/>
        <v>2034</v>
      </c>
      <c r="CQ3" s="3">
        <f t="shared" si="2"/>
        <v>2034</v>
      </c>
      <c r="CR3" s="3">
        <f t="shared" si="2"/>
        <v>2034</v>
      </c>
      <c r="CS3" s="3">
        <f t="shared" si="2"/>
        <v>2034</v>
      </c>
      <c r="CT3" s="3">
        <f t="shared" si="2"/>
        <v>2034</v>
      </c>
      <c r="CU3" s="3">
        <f t="shared" si="2"/>
        <v>2034</v>
      </c>
      <c r="CV3" s="3">
        <f t="shared" si="2"/>
        <v>2034</v>
      </c>
      <c r="CW3" s="3">
        <f t="shared" ref="CW3:DU3" si="3">YEAR(CW4)</f>
        <v>2034</v>
      </c>
      <c r="CX3" s="3">
        <f t="shared" si="3"/>
        <v>2035</v>
      </c>
      <c r="CY3" s="3">
        <f t="shared" si="3"/>
        <v>2035</v>
      </c>
      <c r="CZ3" s="3">
        <f t="shared" si="3"/>
        <v>2035</v>
      </c>
      <c r="DA3" s="3">
        <f t="shared" si="3"/>
        <v>2035</v>
      </c>
      <c r="DB3" s="3">
        <f t="shared" si="3"/>
        <v>2035</v>
      </c>
      <c r="DC3" s="3">
        <f t="shared" si="3"/>
        <v>2035</v>
      </c>
      <c r="DD3" s="3">
        <f t="shared" si="3"/>
        <v>2035</v>
      </c>
      <c r="DE3" s="3">
        <f t="shared" si="3"/>
        <v>2035</v>
      </c>
      <c r="DF3" s="3">
        <f t="shared" si="3"/>
        <v>2035</v>
      </c>
      <c r="DG3" s="3">
        <f t="shared" si="3"/>
        <v>2035</v>
      </c>
      <c r="DH3" s="3">
        <f t="shared" si="3"/>
        <v>2035</v>
      </c>
      <c r="DI3" s="3">
        <f t="shared" si="3"/>
        <v>2035</v>
      </c>
      <c r="DJ3" s="3">
        <f t="shared" si="3"/>
        <v>2036</v>
      </c>
      <c r="DK3" s="3">
        <f t="shared" si="3"/>
        <v>2036</v>
      </c>
      <c r="DL3" s="3">
        <f t="shared" si="3"/>
        <v>2036</v>
      </c>
      <c r="DM3" s="3">
        <f t="shared" si="3"/>
        <v>2036</v>
      </c>
      <c r="DN3" s="3">
        <f t="shared" si="3"/>
        <v>2036</v>
      </c>
      <c r="DO3" s="3">
        <f t="shared" si="3"/>
        <v>2036</v>
      </c>
      <c r="DP3" s="3">
        <f t="shared" si="3"/>
        <v>2036</v>
      </c>
      <c r="DQ3" s="3">
        <f t="shared" si="3"/>
        <v>2036</v>
      </c>
      <c r="DR3" s="3">
        <f t="shared" si="3"/>
        <v>2036</v>
      </c>
      <c r="DS3" s="3">
        <f t="shared" si="3"/>
        <v>2036</v>
      </c>
      <c r="DT3" s="3">
        <f t="shared" si="3"/>
        <v>2036</v>
      </c>
      <c r="DU3" s="3">
        <f t="shared" si="3"/>
        <v>2036</v>
      </c>
    </row>
    <row r="4" spans="3:125" s="3" customFormat="1" ht="22.95" customHeight="1">
      <c r="C4" s="5" t="s">
        <v>261</v>
      </c>
      <c r="D4" s="23" t="s">
        <v>72</v>
      </c>
      <c r="E4" s="20">
        <f>'Single Project Assumptions'!D6</f>
        <v>46387</v>
      </c>
      <c r="F4" s="20">
        <f t="shared" ref="F4:AK4" si="4">EOMONTH(E4,1)</f>
        <v>46418</v>
      </c>
      <c r="G4" s="20">
        <f t="shared" si="4"/>
        <v>46446</v>
      </c>
      <c r="H4" s="20">
        <f t="shared" si="4"/>
        <v>46477</v>
      </c>
      <c r="I4" s="20">
        <f t="shared" si="4"/>
        <v>46507</v>
      </c>
      <c r="J4" s="20">
        <f t="shared" si="4"/>
        <v>46538</v>
      </c>
      <c r="K4" s="20">
        <f t="shared" si="4"/>
        <v>46568</v>
      </c>
      <c r="L4" s="20">
        <f t="shared" si="4"/>
        <v>46599</v>
      </c>
      <c r="M4" s="20">
        <f t="shared" si="4"/>
        <v>46630</v>
      </c>
      <c r="N4" s="20">
        <f t="shared" si="4"/>
        <v>46660</v>
      </c>
      <c r="O4" s="20">
        <f t="shared" si="4"/>
        <v>46691</v>
      </c>
      <c r="P4" s="20">
        <f t="shared" si="4"/>
        <v>46721</v>
      </c>
      <c r="Q4" s="20">
        <f t="shared" si="4"/>
        <v>46752</v>
      </c>
      <c r="R4" s="20">
        <f t="shared" si="4"/>
        <v>46783</v>
      </c>
      <c r="S4" s="20">
        <f t="shared" si="4"/>
        <v>46812</v>
      </c>
      <c r="T4" s="20">
        <f t="shared" si="4"/>
        <v>46843</v>
      </c>
      <c r="U4" s="20">
        <f t="shared" si="4"/>
        <v>46873</v>
      </c>
      <c r="V4" s="20">
        <f t="shared" si="4"/>
        <v>46904</v>
      </c>
      <c r="W4" s="20">
        <f t="shared" si="4"/>
        <v>46934</v>
      </c>
      <c r="X4" s="20">
        <f t="shared" si="4"/>
        <v>46965</v>
      </c>
      <c r="Y4" s="20">
        <f t="shared" si="4"/>
        <v>46996</v>
      </c>
      <c r="Z4" s="20">
        <f t="shared" si="4"/>
        <v>47026</v>
      </c>
      <c r="AA4" s="20">
        <f t="shared" si="4"/>
        <v>47057</v>
      </c>
      <c r="AB4" s="20">
        <f t="shared" si="4"/>
        <v>47087</v>
      </c>
      <c r="AC4" s="20">
        <f t="shared" si="4"/>
        <v>47118</v>
      </c>
      <c r="AD4" s="20">
        <f t="shared" si="4"/>
        <v>47149</v>
      </c>
      <c r="AE4" s="20">
        <f t="shared" si="4"/>
        <v>47177</v>
      </c>
      <c r="AF4" s="20">
        <f t="shared" si="4"/>
        <v>47208</v>
      </c>
      <c r="AG4" s="20">
        <f t="shared" si="4"/>
        <v>47238</v>
      </c>
      <c r="AH4" s="20">
        <f t="shared" si="4"/>
        <v>47269</v>
      </c>
      <c r="AI4" s="20">
        <f t="shared" si="4"/>
        <v>47299</v>
      </c>
      <c r="AJ4" s="20">
        <f t="shared" si="4"/>
        <v>47330</v>
      </c>
      <c r="AK4" s="20">
        <f t="shared" si="4"/>
        <v>47361</v>
      </c>
      <c r="AL4" s="20">
        <f t="shared" ref="AL4:BQ4" si="5">EOMONTH(AK4,1)</f>
        <v>47391</v>
      </c>
      <c r="AM4" s="20">
        <f t="shared" si="5"/>
        <v>47422</v>
      </c>
      <c r="AN4" s="20">
        <f t="shared" si="5"/>
        <v>47452</v>
      </c>
      <c r="AO4" s="20">
        <f t="shared" si="5"/>
        <v>47483</v>
      </c>
      <c r="AP4" s="20">
        <f t="shared" si="5"/>
        <v>47514</v>
      </c>
      <c r="AQ4" s="20">
        <f t="shared" si="5"/>
        <v>47542</v>
      </c>
      <c r="AR4" s="20">
        <f t="shared" si="5"/>
        <v>47573</v>
      </c>
      <c r="AS4" s="20">
        <f t="shared" si="5"/>
        <v>47603</v>
      </c>
      <c r="AT4" s="20">
        <f t="shared" si="5"/>
        <v>47634</v>
      </c>
      <c r="AU4" s="20">
        <f t="shared" si="5"/>
        <v>47664</v>
      </c>
      <c r="AV4" s="20">
        <f t="shared" si="5"/>
        <v>47695</v>
      </c>
      <c r="AW4" s="20">
        <f t="shared" si="5"/>
        <v>47726</v>
      </c>
      <c r="AX4" s="20">
        <f t="shared" si="5"/>
        <v>47756</v>
      </c>
      <c r="AY4" s="20">
        <f t="shared" si="5"/>
        <v>47787</v>
      </c>
      <c r="AZ4" s="20">
        <f t="shared" si="5"/>
        <v>47817</v>
      </c>
      <c r="BA4" s="20">
        <f t="shared" si="5"/>
        <v>47848</v>
      </c>
      <c r="BB4" s="20">
        <f t="shared" si="5"/>
        <v>47879</v>
      </c>
      <c r="BC4" s="20">
        <f t="shared" si="5"/>
        <v>47907</v>
      </c>
      <c r="BD4" s="20">
        <f t="shared" si="5"/>
        <v>47938</v>
      </c>
      <c r="BE4" s="20">
        <f t="shared" si="5"/>
        <v>47968</v>
      </c>
      <c r="BF4" s="20">
        <f t="shared" si="5"/>
        <v>47999</v>
      </c>
      <c r="BG4" s="20">
        <f t="shared" si="5"/>
        <v>48029</v>
      </c>
      <c r="BH4" s="20">
        <f t="shared" si="5"/>
        <v>48060</v>
      </c>
      <c r="BI4" s="20">
        <f t="shared" si="5"/>
        <v>48091</v>
      </c>
      <c r="BJ4" s="20">
        <f t="shared" si="5"/>
        <v>48121</v>
      </c>
      <c r="BK4" s="20">
        <f t="shared" si="5"/>
        <v>48152</v>
      </c>
      <c r="BL4" s="20">
        <f t="shared" si="5"/>
        <v>48182</v>
      </c>
      <c r="BM4" s="20">
        <f t="shared" si="5"/>
        <v>48213</v>
      </c>
      <c r="BN4" s="20">
        <f t="shared" si="5"/>
        <v>48244</v>
      </c>
      <c r="BO4" s="20">
        <f t="shared" si="5"/>
        <v>48273</v>
      </c>
      <c r="BP4" s="20">
        <f t="shared" si="5"/>
        <v>48304</v>
      </c>
      <c r="BQ4" s="20">
        <f t="shared" si="5"/>
        <v>48334</v>
      </c>
      <c r="BR4" s="20">
        <f t="shared" ref="BR4:CW4" si="6">EOMONTH(BQ4,1)</f>
        <v>48365</v>
      </c>
      <c r="BS4" s="20">
        <f t="shared" si="6"/>
        <v>48395</v>
      </c>
      <c r="BT4" s="20">
        <f t="shared" si="6"/>
        <v>48426</v>
      </c>
      <c r="BU4" s="20">
        <f t="shared" si="6"/>
        <v>48457</v>
      </c>
      <c r="BV4" s="20">
        <f t="shared" si="6"/>
        <v>48487</v>
      </c>
      <c r="BW4" s="20">
        <f t="shared" si="6"/>
        <v>48518</v>
      </c>
      <c r="BX4" s="20">
        <f t="shared" si="6"/>
        <v>48548</v>
      </c>
      <c r="BY4" s="20">
        <f t="shared" si="6"/>
        <v>48579</v>
      </c>
      <c r="BZ4" s="20">
        <f t="shared" si="6"/>
        <v>48610</v>
      </c>
      <c r="CA4" s="20">
        <f t="shared" si="6"/>
        <v>48638</v>
      </c>
      <c r="CB4" s="20">
        <f t="shared" si="6"/>
        <v>48669</v>
      </c>
      <c r="CC4" s="20">
        <f t="shared" si="6"/>
        <v>48699</v>
      </c>
      <c r="CD4" s="20">
        <f t="shared" si="6"/>
        <v>48730</v>
      </c>
      <c r="CE4" s="20">
        <f t="shared" si="6"/>
        <v>48760</v>
      </c>
      <c r="CF4" s="20">
        <f t="shared" si="6"/>
        <v>48791</v>
      </c>
      <c r="CG4" s="20">
        <f t="shared" si="6"/>
        <v>48822</v>
      </c>
      <c r="CH4" s="20">
        <f t="shared" si="6"/>
        <v>48852</v>
      </c>
      <c r="CI4" s="20">
        <f t="shared" si="6"/>
        <v>48883</v>
      </c>
      <c r="CJ4" s="20">
        <f t="shared" si="6"/>
        <v>48913</v>
      </c>
      <c r="CK4" s="20">
        <f t="shared" si="6"/>
        <v>48944</v>
      </c>
      <c r="CL4" s="20">
        <f t="shared" si="6"/>
        <v>48975</v>
      </c>
      <c r="CM4" s="20">
        <f t="shared" si="6"/>
        <v>49003</v>
      </c>
      <c r="CN4" s="20">
        <f t="shared" si="6"/>
        <v>49034</v>
      </c>
      <c r="CO4" s="20">
        <f t="shared" si="6"/>
        <v>49064</v>
      </c>
      <c r="CP4" s="20">
        <f t="shared" si="6"/>
        <v>49095</v>
      </c>
      <c r="CQ4" s="20">
        <f t="shared" si="6"/>
        <v>49125</v>
      </c>
      <c r="CR4" s="20">
        <f t="shared" si="6"/>
        <v>49156</v>
      </c>
      <c r="CS4" s="20">
        <f t="shared" si="6"/>
        <v>49187</v>
      </c>
      <c r="CT4" s="20">
        <f t="shared" si="6"/>
        <v>49217</v>
      </c>
      <c r="CU4" s="20">
        <f t="shared" si="6"/>
        <v>49248</v>
      </c>
      <c r="CV4" s="20">
        <f t="shared" si="6"/>
        <v>49278</v>
      </c>
      <c r="CW4" s="20">
        <f t="shared" si="6"/>
        <v>49309</v>
      </c>
      <c r="CX4" s="20">
        <f t="shared" ref="CX4:DU4" si="7">EOMONTH(CW4,1)</f>
        <v>49340</v>
      </c>
      <c r="CY4" s="20">
        <f t="shared" si="7"/>
        <v>49368</v>
      </c>
      <c r="CZ4" s="20">
        <f t="shared" si="7"/>
        <v>49399</v>
      </c>
      <c r="DA4" s="20">
        <f t="shared" si="7"/>
        <v>49429</v>
      </c>
      <c r="DB4" s="20">
        <f t="shared" si="7"/>
        <v>49460</v>
      </c>
      <c r="DC4" s="20">
        <f t="shared" si="7"/>
        <v>49490</v>
      </c>
      <c r="DD4" s="20">
        <f t="shared" si="7"/>
        <v>49521</v>
      </c>
      <c r="DE4" s="20">
        <f t="shared" si="7"/>
        <v>49552</v>
      </c>
      <c r="DF4" s="20">
        <f t="shared" si="7"/>
        <v>49582</v>
      </c>
      <c r="DG4" s="20">
        <f t="shared" si="7"/>
        <v>49613</v>
      </c>
      <c r="DH4" s="20">
        <f t="shared" si="7"/>
        <v>49643</v>
      </c>
      <c r="DI4" s="20">
        <f t="shared" si="7"/>
        <v>49674</v>
      </c>
      <c r="DJ4" s="20">
        <f t="shared" si="7"/>
        <v>49705</v>
      </c>
      <c r="DK4" s="20">
        <f t="shared" si="7"/>
        <v>49734</v>
      </c>
      <c r="DL4" s="20">
        <f t="shared" si="7"/>
        <v>49765</v>
      </c>
      <c r="DM4" s="20">
        <f t="shared" si="7"/>
        <v>49795</v>
      </c>
      <c r="DN4" s="20">
        <f t="shared" si="7"/>
        <v>49826</v>
      </c>
      <c r="DO4" s="20">
        <f t="shared" si="7"/>
        <v>49856</v>
      </c>
      <c r="DP4" s="20">
        <f t="shared" si="7"/>
        <v>49887</v>
      </c>
      <c r="DQ4" s="20">
        <f t="shared" si="7"/>
        <v>49918</v>
      </c>
      <c r="DR4" s="20">
        <f t="shared" si="7"/>
        <v>49948</v>
      </c>
      <c r="DS4" s="20">
        <f t="shared" si="7"/>
        <v>49979</v>
      </c>
      <c r="DT4" s="20">
        <f t="shared" si="7"/>
        <v>50009</v>
      </c>
      <c r="DU4" s="20">
        <f t="shared" si="7"/>
        <v>50040</v>
      </c>
    </row>
    <row r="5" spans="3:125" s="3" customFormat="1" ht="22.95" customHeight="1">
      <c r="D5" s="24"/>
    </row>
    <row r="6" spans="3:125" s="3" customFormat="1" ht="22.95" customHeight="1">
      <c r="C6" s="3" t="s">
        <v>130</v>
      </c>
      <c r="D6" s="25">
        <f t="shared" ref="D6:D11" si="8">SUM(E6:DU6)</f>
        <v>-3750000</v>
      </c>
      <c r="E6" s="21">
        <f>-IF(AND(E$4&gt;='Single Project Assumptions'!$H$11,'Entitlement Phase'!E$4&lt;'Single Project Assumptions'!$H$13),('Single Project Assumptions'!$H$21/'Single Project Assumptions'!$H$12),0)</f>
        <v>0</v>
      </c>
      <c r="F6" s="21">
        <f>-IF(AND(F$4&gt;='Single Project Assumptions'!$H$11,'Entitlement Phase'!F$4&lt;'Single Project Assumptions'!$H$13),('Single Project Assumptions'!$H$21/'Single Project Assumptions'!$H$12),0)</f>
        <v>0</v>
      </c>
      <c r="G6" s="21">
        <f>-IF(AND(G$4&gt;='Single Project Assumptions'!$H$11,'Entitlement Phase'!G$4&lt;'Single Project Assumptions'!$H$13),('Single Project Assumptions'!$H$21/'Single Project Assumptions'!$H$12),0)</f>
        <v>0</v>
      </c>
      <c r="H6" s="21">
        <f>-IF(AND(H$4&gt;='Single Project Assumptions'!$H$11,'Entitlement Phase'!H$4&lt;'Single Project Assumptions'!$H$13),('Single Project Assumptions'!$H$21/'Single Project Assumptions'!$H$12),0)</f>
        <v>0</v>
      </c>
      <c r="I6" s="21">
        <f>-IF(AND(I$4&gt;='Single Project Assumptions'!$H$11,'Entitlement Phase'!I$4&lt;'Single Project Assumptions'!$H$13),('Single Project Assumptions'!$H$21/'Single Project Assumptions'!$H$12),0)</f>
        <v>0</v>
      </c>
      <c r="J6" s="21">
        <f>-IF(AND(J$4&gt;='Single Project Assumptions'!$H$11,'Entitlement Phase'!J$4&lt;'Single Project Assumptions'!$H$13),('Single Project Assumptions'!$H$21/'Single Project Assumptions'!$H$12),0)</f>
        <v>0</v>
      </c>
      <c r="K6" s="21">
        <f>-IF(AND(K$4&gt;='Single Project Assumptions'!$H$11,'Entitlement Phase'!K$4&lt;'Single Project Assumptions'!$H$13),('Single Project Assumptions'!$H$21/'Single Project Assumptions'!$H$12),0)</f>
        <v>-312500</v>
      </c>
      <c r="L6" s="21">
        <f>-IF(AND(L$4&gt;='Single Project Assumptions'!$H$11,'Entitlement Phase'!L$4&lt;'Single Project Assumptions'!$H$13),('Single Project Assumptions'!$H$21/'Single Project Assumptions'!$H$12),0)</f>
        <v>-312500</v>
      </c>
      <c r="M6" s="21">
        <f>-IF(AND(M$4&gt;='Single Project Assumptions'!$H$11,'Entitlement Phase'!M$4&lt;'Single Project Assumptions'!$H$13),('Single Project Assumptions'!$H$21/'Single Project Assumptions'!$H$12),0)</f>
        <v>-312500</v>
      </c>
      <c r="N6" s="21">
        <f>-IF(AND(N$4&gt;='Single Project Assumptions'!$H$11,'Entitlement Phase'!N$4&lt;'Single Project Assumptions'!$H$13),('Single Project Assumptions'!$H$21/'Single Project Assumptions'!$H$12),0)</f>
        <v>-312500</v>
      </c>
      <c r="O6" s="21">
        <f>-IF(AND(O$4&gt;='Single Project Assumptions'!$H$11,'Entitlement Phase'!O$4&lt;'Single Project Assumptions'!$H$13),('Single Project Assumptions'!$H$21/'Single Project Assumptions'!$H$12),0)</f>
        <v>-312500</v>
      </c>
      <c r="P6" s="21">
        <f>-IF(AND(P$4&gt;='Single Project Assumptions'!$H$11,'Entitlement Phase'!P$4&lt;'Single Project Assumptions'!$H$13),('Single Project Assumptions'!$H$21/'Single Project Assumptions'!$H$12),0)</f>
        <v>-312500</v>
      </c>
      <c r="Q6" s="21">
        <f>-IF(AND(Q$4&gt;='Single Project Assumptions'!$H$11,'Entitlement Phase'!Q$4&lt;'Single Project Assumptions'!$H$13),('Single Project Assumptions'!$H$21/'Single Project Assumptions'!$H$12),0)</f>
        <v>-312500</v>
      </c>
      <c r="R6" s="21">
        <f>-IF(AND(R$4&gt;='Single Project Assumptions'!$H$11,'Entitlement Phase'!R$4&lt;'Single Project Assumptions'!$H$13),('Single Project Assumptions'!$H$21/'Single Project Assumptions'!$H$12),0)</f>
        <v>-312500</v>
      </c>
      <c r="S6" s="21">
        <f>-IF(AND(S$4&gt;='Single Project Assumptions'!$H$11,'Entitlement Phase'!S$4&lt;'Single Project Assumptions'!$H$13),('Single Project Assumptions'!$H$21/'Single Project Assumptions'!$H$12),0)</f>
        <v>-312500</v>
      </c>
      <c r="T6" s="21">
        <f>-IF(AND(T$4&gt;='Single Project Assumptions'!$H$11,'Entitlement Phase'!T$4&lt;'Single Project Assumptions'!$H$13),('Single Project Assumptions'!$H$21/'Single Project Assumptions'!$H$12),0)</f>
        <v>-312500</v>
      </c>
      <c r="U6" s="21">
        <f>-IF(AND(U$4&gt;='Single Project Assumptions'!$H$11,'Entitlement Phase'!U$4&lt;'Single Project Assumptions'!$H$13),('Single Project Assumptions'!$H$21/'Single Project Assumptions'!$H$12),0)</f>
        <v>-312500</v>
      </c>
      <c r="V6" s="21">
        <f>-IF(AND(V$4&gt;='Single Project Assumptions'!$H$11,'Entitlement Phase'!V$4&lt;'Single Project Assumptions'!$H$13),('Single Project Assumptions'!$H$21/'Single Project Assumptions'!$H$12),0)</f>
        <v>-312500</v>
      </c>
      <c r="W6" s="21">
        <f>-IF(AND(W$4&gt;='Single Project Assumptions'!$H$11,'Entitlement Phase'!W$4&lt;'Single Project Assumptions'!$H$13),('Single Project Assumptions'!$H$21/'Single Project Assumptions'!$H$12),0)</f>
        <v>0</v>
      </c>
      <c r="X6" s="21">
        <f>-IF(AND(X$4&gt;='Single Project Assumptions'!$H$11,'Entitlement Phase'!X$4&lt;'Single Project Assumptions'!$H$13),('Single Project Assumptions'!$H$21/'Single Project Assumptions'!$H$12),0)</f>
        <v>0</v>
      </c>
      <c r="Y6" s="21">
        <f>-IF(AND(Y$4&gt;='Single Project Assumptions'!$H$11,'Entitlement Phase'!Y$4&lt;'Single Project Assumptions'!$H$13),('Single Project Assumptions'!$H$21/'Single Project Assumptions'!$H$12),0)</f>
        <v>0</v>
      </c>
      <c r="Z6" s="21">
        <f>-IF(AND(Z$4&gt;='Single Project Assumptions'!$H$11,'Entitlement Phase'!Z$4&lt;'Single Project Assumptions'!$H$13),('Single Project Assumptions'!$H$21/'Single Project Assumptions'!$H$12),0)</f>
        <v>0</v>
      </c>
      <c r="AA6" s="21">
        <f>-IF(AND(AA$4&gt;='Single Project Assumptions'!$H$11,'Entitlement Phase'!AA$4&lt;'Single Project Assumptions'!$H$13),('Single Project Assumptions'!$H$21/'Single Project Assumptions'!$H$12),0)</f>
        <v>0</v>
      </c>
      <c r="AB6" s="21">
        <f>-IF(AND(AB$4&gt;='Single Project Assumptions'!$H$11,'Entitlement Phase'!AB$4&lt;'Single Project Assumptions'!$H$13),('Single Project Assumptions'!$H$21/'Single Project Assumptions'!$H$12),0)</f>
        <v>0</v>
      </c>
      <c r="AC6" s="21">
        <f>-IF(AND(AC$4&gt;='Single Project Assumptions'!$H$11,'Entitlement Phase'!AC$4&lt;'Single Project Assumptions'!$H$13),('Single Project Assumptions'!$H$21/'Single Project Assumptions'!$H$12),0)</f>
        <v>0</v>
      </c>
      <c r="AD6" s="21">
        <f>-IF(AND(AD$4&gt;='Single Project Assumptions'!$H$11,'Entitlement Phase'!AD$4&lt;'Single Project Assumptions'!$H$13),('Single Project Assumptions'!$H$21/'Single Project Assumptions'!$H$12),0)</f>
        <v>0</v>
      </c>
      <c r="AE6" s="21">
        <f>-IF(AND(AE$4&gt;='Single Project Assumptions'!$H$11,'Entitlement Phase'!AE$4&lt;'Single Project Assumptions'!$H$13),('Single Project Assumptions'!$H$21/'Single Project Assumptions'!$H$12),0)</f>
        <v>0</v>
      </c>
      <c r="AF6" s="21">
        <f>-IF(AND(AF$4&gt;='Single Project Assumptions'!$H$11,'Entitlement Phase'!AF$4&lt;'Single Project Assumptions'!$H$13),('Single Project Assumptions'!$H$21/'Single Project Assumptions'!$H$12),0)</f>
        <v>0</v>
      </c>
      <c r="AG6" s="21">
        <f>-IF(AND(AG$4&gt;='Single Project Assumptions'!$H$11,'Entitlement Phase'!AG$4&lt;'Single Project Assumptions'!$H$13),('Single Project Assumptions'!$H$21/'Single Project Assumptions'!$H$12),0)</f>
        <v>0</v>
      </c>
      <c r="AH6" s="21">
        <f>-IF(AND(AH$4&gt;='Single Project Assumptions'!$H$11,'Entitlement Phase'!AH$4&lt;'Single Project Assumptions'!$H$13),('Single Project Assumptions'!$H$21/'Single Project Assumptions'!$H$12),0)</f>
        <v>0</v>
      </c>
      <c r="AI6" s="21">
        <f>-IF(AND(AI$4&gt;='Single Project Assumptions'!$H$11,'Entitlement Phase'!AI$4&lt;'Single Project Assumptions'!$H$13),('Single Project Assumptions'!$H$21/'Single Project Assumptions'!$H$12),0)</f>
        <v>0</v>
      </c>
      <c r="AJ6" s="21">
        <f>-IF(AND(AJ$4&gt;='Single Project Assumptions'!$H$11,'Entitlement Phase'!AJ$4&lt;'Single Project Assumptions'!$H$13),('Single Project Assumptions'!$H$21/'Single Project Assumptions'!$H$12),0)</f>
        <v>0</v>
      </c>
      <c r="AK6" s="21">
        <f>-IF(AND(AK$4&gt;='Single Project Assumptions'!$H$11,'Entitlement Phase'!AK$4&lt;'Single Project Assumptions'!$H$13),('Single Project Assumptions'!$H$21/'Single Project Assumptions'!$H$12),0)</f>
        <v>0</v>
      </c>
      <c r="AL6" s="21">
        <f>-IF(AND(AL$4&gt;='Single Project Assumptions'!$H$11,'Entitlement Phase'!AL$4&lt;'Single Project Assumptions'!$H$13),('Single Project Assumptions'!$H$21/'Single Project Assumptions'!$H$12),0)</f>
        <v>0</v>
      </c>
      <c r="AM6" s="21">
        <f>-IF(AND(AM$4&gt;='Single Project Assumptions'!$H$11,'Entitlement Phase'!AM$4&lt;'Single Project Assumptions'!$H$13),('Single Project Assumptions'!$H$21/'Single Project Assumptions'!$H$12),0)</f>
        <v>0</v>
      </c>
      <c r="AN6" s="21">
        <f>-IF(AND(AN$4&gt;='Single Project Assumptions'!$H$11,'Entitlement Phase'!AN$4&lt;'Single Project Assumptions'!$H$13),('Single Project Assumptions'!$H$21/'Single Project Assumptions'!$H$12),0)</f>
        <v>0</v>
      </c>
      <c r="AO6" s="21">
        <f>-IF(AND(AO$4&gt;='Single Project Assumptions'!$H$11,'Entitlement Phase'!AO$4&lt;'Single Project Assumptions'!$H$13),('Single Project Assumptions'!$H$21/'Single Project Assumptions'!$H$12),0)</f>
        <v>0</v>
      </c>
      <c r="AP6" s="21">
        <f>-IF(AND(AP$4&gt;='Single Project Assumptions'!$H$11,'Entitlement Phase'!AP$4&lt;'Single Project Assumptions'!$H$13),('Single Project Assumptions'!$H$21/'Single Project Assumptions'!$H$12),0)</f>
        <v>0</v>
      </c>
      <c r="AQ6" s="21">
        <f>-IF(AND(AQ$4&gt;='Single Project Assumptions'!$H$11,'Entitlement Phase'!AQ$4&lt;'Single Project Assumptions'!$H$13),('Single Project Assumptions'!$H$21/'Single Project Assumptions'!$H$12),0)</f>
        <v>0</v>
      </c>
      <c r="AR6" s="21">
        <f>-IF(AND(AR$4&gt;='Single Project Assumptions'!$H$11,'Entitlement Phase'!AR$4&lt;'Single Project Assumptions'!$H$13),('Single Project Assumptions'!$H$21/'Single Project Assumptions'!$H$12),0)</f>
        <v>0</v>
      </c>
      <c r="AS6" s="21">
        <f>-IF(AND(AS$4&gt;='Single Project Assumptions'!$H$11,'Entitlement Phase'!AS$4&lt;'Single Project Assumptions'!$H$13),('Single Project Assumptions'!$H$21/'Single Project Assumptions'!$H$12),0)</f>
        <v>0</v>
      </c>
      <c r="AT6" s="21">
        <f>-IF(AND(AT$4&gt;='Single Project Assumptions'!$H$11,'Entitlement Phase'!AT$4&lt;'Single Project Assumptions'!$H$13),('Single Project Assumptions'!$H$21/'Single Project Assumptions'!$H$12),0)</f>
        <v>0</v>
      </c>
      <c r="AU6" s="21">
        <f>-IF(AND(AU$4&gt;='Single Project Assumptions'!$H$11,'Entitlement Phase'!AU$4&lt;'Single Project Assumptions'!$H$13),('Single Project Assumptions'!$H$21/'Single Project Assumptions'!$H$12),0)</f>
        <v>0</v>
      </c>
      <c r="AV6" s="21">
        <f>-IF(AND(AV$4&gt;='Single Project Assumptions'!$H$11,'Entitlement Phase'!AV$4&lt;'Single Project Assumptions'!$H$13),('Single Project Assumptions'!$H$21/'Single Project Assumptions'!$H$12),0)</f>
        <v>0</v>
      </c>
      <c r="AW6" s="21">
        <f>-IF(AND(AW$4&gt;='Single Project Assumptions'!$H$11,'Entitlement Phase'!AW$4&lt;'Single Project Assumptions'!$H$13),('Single Project Assumptions'!$H$21/'Single Project Assumptions'!$H$12),0)</f>
        <v>0</v>
      </c>
      <c r="AX6" s="21">
        <f>-IF(AND(AX$4&gt;='Single Project Assumptions'!$H$11,'Entitlement Phase'!AX$4&lt;'Single Project Assumptions'!$H$13),('Single Project Assumptions'!$H$21/'Single Project Assumptions'!$H$12),0)</f>
        <v>0</v>
      </c>
      <c r="AY6" s="21">
        <f>-IF(AND(AY$4&gt;='Single Project Assumptions'!$H$11,'Entitlement Phase'!AY$4&lt;'Single Project Assumptions'!$H$13),('Single Project Assumptions'!$H$21/'Single Project Assumptions'!$H$12),0)</f>
        <v>0</v>
      </c>
      <c r="AZ6" s="21">
        <f>-IF(AND(AZ$4&gt;='Single Project Assumptions'!$H$11,'Entitlement Phase'!AZ$4&lt;'Single Project Assumptions'!$H$13),('Single Project Assumptions'!$H$21/'Single Project Assumptions'!$H$12),0)</f>
        <v>0</v>
      </c>
      <c r="BA6" s="21">
        <f>-IF(AND(BA$4&gt;='Single Project Assumptions'!$H$11,'Entitlement Phase'!BA$4&lt;'Single Project Assumptions'!$H$13),('Single Project Assumptions'!$H$21/'Single Project Assumptions'!$H$12),0)</f>
        <v>0</v>
      </c>
      <c r="BB6" s="21">
        <f>-IF(AND(BB$4&gt;='Single Project Assumptions'!$H$11,'Entitlement Phase'!BB$4&lt;'Single Project Assumptions'!$H$13),('Single Project Assumptions'!$H$21/'Single Project Assumptions'!$H$12),0)</f>
        <v>0</v>
      </c>
      <c r="BC6" s="21">
        <f>-IF(AND(BC$4&gt;='Single Project Assumptions'!$H$11,'Entitlement Phase'!BC$4&lt;'Single Project Assumptions'!$H$13),('Single Project Assumptions'!$H$21/'Single Project Assumptions'!$H$12),0)</f>
        <v>0</v>
      </c>
      <c r="BD6" s="21">
        <f>-IF(AND(BD$4&gt;='Single Project Assumptions'!$H$11,'Entitlement Phase'!BD$4&lt;'Single Project Assumptions'!$H$13),('Single Project Assumptions'!$H$21/'Single Project Assumptions'!$H$12),0)</f>
        <v>0</v>
      </c>
      <c r="BE6" s="21">
        <f>-IF(AND(BE$4&gt;='Single Project Assumptions'!$H$11,'Entitlement Phase'!BE$4&lt;'Single Project Assumptions'!$H$13),('Single Project Assumptions'!$H$21/'Single Project Assumptions'!$H$12),0)</f>
        <v>0</v>
      </c>
      <c r="BF6" s="21">
        <f>-IF(AND(BF$4&gt;='Single Project Assumptions'!$H$11,'Entitlement Phase'!BF$4&lt;'Single Project Assumptions'!$H$13),('Single Project Assumptions'!$H$21/'Single Project Assumptions'!$H$12),0)</f>
        <v>0</v>
      </c>
      <c r="BG6" s="21">
        <f>-IF(AND(BG$4&gt;='Single Project Assumptions'!$H$11,'Entitlement Phase'!BG$4&lt;'Single Project Assumptions'!$H$13),('Single Project Assumptions'!$H$21/'Single Project Assumptions'!$H$12),0)</f>
        <v>0</v>
      </c>
      <c r="BH6" s="21">
        <f>-IF(AND(BH$4&gt;='Single Project Assumptions'!$H$11,'Entitlement Phase'!BH$4&lt;'Single Project Assumptions'!$H$13),('Single Project Assumptions'!$H$21/'Single Project Assumptions'!$H$12),0)</f>
        <v>0</v>
      </c>
      <c r="BI6" s="21">
        <f>-IF(AND(BI$4&gt;='Single Project Assumptions'!$H$11,'Entitlement Phase'!BI$4&lt;'Single Project Assumptions'!$H$13),('Single Project Assumptions'!$H$21/'Single Project Assumptions'!$H$12),0)</f>
        <v>0</v>
      </c>
      <c r="BJ6" s="21">
        <f>-IF(AND(BJ$4&gt;='Single Project Assumptions'!$H$11,'Entitlement Phase'!BJ$4&lt;'Single Project Assumptions'!$H$13),('Single Project Assumptions'!$H$21/'Single Project Assumptions'!$H$12),0)</f>
        <v>0</v>
      </c>
      <c r="BK6" s="21">
        <f>-IF(AND(BK$4&gt;='Single Project Assumptions'!$H$11,'Entitlement Phase'!BK$4&lt;'Single Project Assumptions'!$H$13),('Single Project Assumptions'!$H$21/'Single Project Assumptions'!$H$12),0)</f>
        <v>0</v>
      </c>
      <c r="BL6" s="21">
        <f>-IF(AND(BL$4&gt;='Single Project Assumptions'!$H$11,'Entitlement Phase'!BL$4&lt;'Single Project Assumptions'!$H$13),('Single Project Assumptions'!$H$21/'Single Project Assumptions'!$H$12),0)</f>
        <v>0</v>
      </c>
      <c r="BM6" s="21">
        <f>-IF(AND(BM$4&gt;='Single Project Assumptions'!$H$11,'Entitlement Phase'!BM$4&lt;'Single Project Assumptions'!$H$13),('Single Project Assumptions'!$H$21/'Single Project Assumptions'!$H$12),0)</f>
        <v>0</v>
      </c>
      <c r="BN6" s="21">
        <f>-IF(AND(BN$4&gt;='Single Project Assumptions'!$H$11,'Entitlement Phase'!BN$4&lt;'Single Project Assumptions'!$H$13),('Single Project Assumptions'!$H$21/'Single Project Assumptions'!$H$12),0)</f>
        <v>0</v>
      </c>
      <c r="BO6" s="21">
        <f>-IF(AND(BO$4&gt;='Single Project Assumptions'!$H$11,'Entitlement Phase'!BO$4&lt;'Single Project Assumptions'!$H$13),('Single Project Assumptions'!$H$21/'Single Project Assumptions'!$H$12),0)</f>
        <v>0</v>
      </c>
      <c r="BP6" s="21">
        <f>-IF(AND(BP$4&gt;='Single Project Assumptions'!$H$11,'Entitlement Phase'!BP$4&lt;'Single Project Assumptions'!$H$13),('Single Project Assumptions'!$H$21/'Single Project Assumptions'!$H$12),0)</f>
        <v>0</v>
      </c>
      <c r="BQ6" s="21">
        <f>-IF(AND(BQ$4&gt;='Single Project Assumptions'!$H$11,'Entitlement Phase'!BQ$4&lt;'Single Project Assumptions'!$H$13),('Single Project Assumptions'!$H$21/'Single Project Assumptions'!$H$12),0)</f>
        <v>0</v>
      </c>
      <c r="BR6" s="21">
        <f>-IF(AND(BR$4&gt;='Single Project Assumptions'!$H$11,'Entitlement Phase'!BR$4&lt;'Single Project Assumptions'!$H$13),('Single Project Assumptions'!$H$21/'Single Project Assumptions'!$H$12),0)</f>
        <v>0</v>
      </c>
      <c r="BS6" s="21">
        <f>-IF(AND(BS$4&gt;='Single Project Assumptions'!$H$11,'Entitlement Phase'!BS$4&lt;'Single Project Assumptions'!$H$13),('Single Project Assumptions'!$H$21/'Single Project Assumptions'!$H$12),0)</f>
        <v>0</v>
      </c>
      <c r="BT6" s="21">
        <f>-IF(AND(BT$4&gt;='Single Project Assumptions'!$H$11,'Entitlement Phase'!BT$4&lt;'Single Project Assumptions'!$H$13),('Single Project Assumptions'!$H$21/'Single Project Assumptions'!$H$12),0)</f>
        <v>0</v>
      </c>
      <c r="BU6" s="21">
        <f>-IF(AND(BU$4&gt;='Single Project Assumptions'!$H$11,'Entitlement Phase'!BU$4&lt;'Single Project Assumptions'!$H$13),('Single Project Assumptions'!$H$21/'Single Project Assumptions'!$H$12),0)</f>
        <v>0</v>
      </c>
      <c r="BV6" s="21">
        <f>-IF(AND(BV$4&gt;='Single Project Assumptions'!$H$11,'Entitlement Phase'!BV$4&lt;'Single Project Assumptions'!$H$13),('Single Project Assumptions'!$H$21/'Single Project Assumptions'!$H$12),0)</f>
        <v>0</v>
      </c>
      <c r="BW6" s="21">
        <f>-IF(AND(BW$4&gt;='Single Project Assumptions'!$H$11,'Entitlement Phase'!BW$4&lt;'Single Project Assumptions'!$H$13),('Single Project Assumptions'!$H$21/'Single Project Assumptions'!$H$12),0)</f>
        <v>0</v>
      </c>
      <c r="BX6" s="21">
        <f>-IF(AND(BX$4&gt;='Single Project Assumptions'!$H$11,'Entitlement Phase'!BX$4&lt;'Single Project Assumptions'!$H$13),('Single Project Assumptions'!$H$21/'Single Project Assumptions'!$H$12),0)</f>
        <v>0</v>
      </c>
      <c r="BY6" s="21">
        <f>-IF(AND(BY$4&gt;='Single Project Assumptions'!$H$11,'Entitlement Phase'!BY$4&lt;'Single Project Assumptions'!$H$13),('Single Project Assumptions'!$H$21/'Single Project Assumptions'!$H$12),0)</f>
        <v>0</v>
      </c>
      <c r="BZ6" s="21">
        <f>-IF(AND(BZ$4&gt;='Single Project Assumptions'!$H$11,'Entitlement Phase'!BZ$4&lt;'Single Project Assumptions'!$H$13),('Single Project Assumptions'!$H$21/'Single Project Assumptions'!$H$12),0)</f>
        <v>0</v>
      </c>
      <c r="CA6" s="21">
        <f>-IF(AND(CA$4&gt;='Single Project Assumptions'!$H$11,'Entitlement Phase'!CA$4&lt;'Single Project Assumptions'!$H$13),('Single Project Assumptions'!$H$21/'Single Project Assumptions'!$H$12),0)</f>
        <v>0</v>
      </c>
      <c r="CB6" s="21">
        <f>-IF(AND(CB$4&gt;='Single Project Assumptions'!$H$11,'Entitlement Phase'!CB$4&lt;'Single Project Assumptions'!$H$13),('Single Project Assumptions'!$H$21/'Single Project Assumptions'!$H$12),0)</f>
        <v>0</v>
      </c>
      <c r="CC6" s="21">
        <f>-IF(AND(CC$4&gt;='Single Project Assumptions'!$H$11,'Entitlement Phase'!CC$4&lt;'Single Project Assumptions'!$H$13),('Single Project Assumptions'!$H$21/'Single Project Assumptions'!$H$12),0)</f>
        <v>0</v>
      </c>
      <c r="CD6" s="21">
        <f>-IF(AND(CD$4&gt;='Single Project Assumptions'!$H$11,'Entitlement Phase'!CD$4&lt;'Single Project Assumptions'!$H$13),('Single Project Assumptions'!$H$21/'Single Project Assumptions'!$H$12),0)</f>
        <v>0</v>
      </c>
      <c r="CE6" s="21">
        <f>-IF(AND(CE$4&gt;='Single Project Assumptions'!$H$11,'Entitlement Phase'!CE$4&lt;'Single Project Assumptions'!$H$13),('Single Project Assumptions'!$H$21/'Single Project Assumptions'!$H$12),0)</f>
        <v>0</v>
      </c>
      <c r="CF6" s="21">
        <f>-IF(AND(CF$4&gt;='Single Project Assumptions'!$H$11,'Entitlement Phase'!CF$4&lt;'Single Project Assumptions'!$H$13),('Single Project Assumptions'!$H$21/'Single Project Assumptions'!$H$12),0)</f>
        <v>0</v>
      </c>
      <c r="CG6" s="21">
        <f>-IF(AND(CG$4&gt;='Single Project Assumptions'!$H$11,'Entitlement Phase'!CG$4&lt;'Single Project Assumptions'!$H$13),('Single Project Assumptions'!$H$21/'Single Project Assumptions'!$H$12),0)</f>
        <v>0</v>
      </c>
      <c r="CH6" s="21">
        <f>-IF(AND(CH$4&gt;='Single Project Assumptions'!$H$11,'Entitlement Phase'!CH$4&lt;'Single Project Assumptions'!$H$13),('Single Project Assumptions'!$H$21/'Single Project Assumptions'!$H$12),0)</f>
        <v>0</v>
      </c>
      <c r="CI6" s="21">
        <f>-IF(AND(CI$4&gt;='Single Project Assumptions'!$H$11,'Entitlement Phase'!CI$4&lt;'Single Project Assumptions'!$H$13),('Single Project Assumptions'!$H$21/'Single Project Assumptions'!$H$12),0)</f>
        <v>0</v>
      </c>
      <c r="CJ6" s="21">
        <f>-IF(AND(CJ$4&gt;='Single Project Assumptions'!$H$11,'Entitlement Phase'!CJ$4&lt;'Single Project Assumptions'!$H$13),('Single Project Assumptions'!$H$21/'Single Project Assumptions'!$H$12),0)</f>
        <v>0</v>
      </c>
      <c r="CK6" s="21">
        <f>-IF(AND(CK$4&gt;='Single Project Assumptions'!$H$11,'Entitlement Phase'!CK$4&lt;'Single Project Assumptions'!$H$13),('Single Project Assumptions'!$H$21/'Single Project Assumptions'!$H$12),0)</f>
        <v>0</v>
      </c>
      <c r="CL6" s="21">
        <f>-IF(AND(CL$4&gt;='Single Project Assumptions'!$H$11,'Entitlement Phase'!CL$4&lt;'Single Project Assumptions'!$H$13),('Single Project Assumptions'!$H$21/'Single Project Assumptions'!$H$12),0)</f>
        <v>0</v>
      </c>
      <c r="CM6" s="21">
        <f>-IF(AND(CM$4&gt;='Single Project Assumptions'!$H$11,'Entitlement Phase'!CM$4&lt;'Single Project Assumptions'!$H$13),('Single Project Assumptions'!$H$21/'Single Project Assumptions'!$H$12),0)</f>
        <v>0</v>
      </c>
      <c r="CN6" s="21">
        <f>-IF(AND(CN$4&gt;='Single Project Assumptions'!$H$11,'Entitlement Phase'!CN$4&lt;'Single Project Assumptions'!$H$13),('Single Project Assumptions'!$H$21/'Single Project Assumptions'!$H$12),0)</f>
        <v>0</v>
      </c>
      <c r="CO6" s="21">
        <f>-IF(AND(CO$4&gt;='Single Project Assumptions'!$H$11,'Entitlement Phase'!CO$4&lt;'Single Project Assumptions'!$H$13),('Single Project Assumptions'!$H$21/'Single Project Assumptions'!$H$12),0)</f>
        <v>0</v>
      </c>
      <c r="CP6" s="21">
        <f>-IF(AND(CP$4&gt;='Single Project Assumptions'!$H$11,'Entitlement Phase'!CP$4&lt;'Single Project Assumptions'!$H$13),('Single Project Assumptions'!$H$21/'Single Project Assumptions'!$H$12),0)</f>
        <v>0</v>
      </c>
      <c r="CQ6" s="21">
        <f>-IF(AND(CQ$4&gt;='Single Project Assumptions'!$H$11,'Entitlement Phase'!CQ$4&lt;'Single Project Assumptions'!$H$13),('Single Project Assumptions'!$H$21/'Single Project Assumptions'!$H$12),0)</f>
        <v>0</v>
      </c>
      <c r="CR6" s="21">
        <f>-IF(AND(CR$4&gt;='Single Project Assumptions'!$H$11,'Entitlement Phase'!CR$4&lt;'Single Project Assumptions'!$H$13),('Single Project Assumptions'!$H$21/'Single Project Assumptions'!$H$12),0)</f>
        <v>0</v>
      </c>
      <c r="CS6" s="21">
        <f>-IF(AND(CS$4&gt;='Single Project Assumptions'!$H$11,'Entitlement Phase'!CS$4&lt;'Single Project Assumptions'!$H$13),('Single Project Assumptions'!$H$21/'Single Project Assumptions'!$H$12),0)</f>
        <v>0</v>
      </c>
      <c r="CT6" s="21">
        <f>-IF(AND(CT$4&gt;='Single Project Assumptions'!$H$11,'Entitlement Phase'!CT$4&lt;'Single Project Assumptions'!$H$13),('Single Project Assumptions'!$H$21/'Single Project Assumptions'!$H$12),0)</f>
        <v>0</v>
      </c>
      <c r="CU6" s="21">
        <f>-IF(AND(CU$4&gt;='Single Project Assumptions'!$H$11,'Entitlement Phase'!CU$4&lt;'Single Project Assumptions'!$H$13),('Single Project Assumptions'!$H$21/'Single Project Assumptions'!$H$12),0)</f>
        <v>0</v>
      </c>
      <c r="CV6" s="21">
        <f>-IF(AND(CV$4&gt;='Single Project Assumptions'!$H$11,'Entitlement Phase'!CV$4&lt;'Single Project Assumptions'!$H$13),('Single Project Assumptions'!$H$21/'Single Project Assumptions'!$H$12),0)</f>
        <v>0</v>
      </c>
      <c r="CW6" s="21">
        <f>-IF(AND(CW$4&gt;='Single Project Assumptions'!$H$11,'Entitlement Phase'!CW$4&lt;'Single Project Assumptions'!$H$13),('Single Project Assumptions'!$H$21/'Single Project Assumptions'!$H$12),0)</f>
        <v>0</v>
      </c>
      <c r="CX6" s="21">
        <f>-IF(AND(CX$4&gt;='Single Project Assumptions'!$H$11,'Entitlement Phase'!CX$4&lt;'Single Project Assumptions'!$H$13),('Single Project Assumptions'!$H$21/'Single Project Assumptions'!$H$12),0)</f>
        <v>0</v>
      </c>
      <c r="CY6" s="21">
        <f>-IF(AND(CY$4&gt;='Single Project Assumptions'!$H$11,'Entitlement Phase'!CY$4&lt;'Single Project Assumptions'!$H$13),('Single Project Assumptions'!$H$21/'Single Project Assumptions'!$H$12),0)</f>
        <v>0</v>
      </c>
      <c r="CZ6" s="21">
        <f>-IF(AND(CZ$4&gt;='Single Project Assumptions'!$H$11,'Entitlement Phase'!CZ$4&lt;'Single Project Assumptions'!$H$13),('Single Project Assumptions'!$H$21/'Single Project Assumptions'!$H$12),0)</f>
        <v>0</v>
      </c>
      <c r="DA6" s="21">
        <f>-IF(AND(DA$4&gt;='Single Project Assumptions'!$H$11,'Entitlement Phase'!DA$4&lt;'Single Project Assumptions'!$H$13),('Single Project Assumptions'!$H$21/'Single Project Assumptions'!$H$12),0)</f>
        <v>0</v>
      </c>
      <c r="DB6" s="21">
        <f>-IF(AND(DB$4&gt;='Single Project Assumptions'!$H$11,'Entitlement Phase'!DB$4&lt;'Single Project Assumptions'!$H$13),('Single Project Assumptions'!$H$21/'Single Project Assumptions'!$H$12),0)</f>
        <v>0</v>
      </c>
      <c r="DC6" s="21">
        <f>-IF(AND(DC$4&gt;='Single Project Assumptions'!$H$11,'Entitlement Phase'!DC$4&lt;'Single Project Assumptions'!$H$13),('Single Project Assumptions'!$H$21/'Single Project Assumptions'!$H$12),0)</f>
        <v>0</v>
      </c>
      <c r="DD6" s="21">
        <f>-IF(AND(DD$4&gt;='Single Project Assumptions'!$H$11,'Entitlement Phase'!DD$4&lt;'Single Project Assumptions'!$H$13),('Single Project Assumptions'!$H$21/'Single Project Assumptions'!$H$12),0)</f>
        <v>0</v>
      </c>
      <c r="DE6" s="21">
        <f>-IF(AND(DE$4&gt;='Single Project Assumptions'!$H$11,'Entitlement Phase'!DE$4&lt;'Single Project Assumptions'!$H$13),('Single Project Assumptions'!$H$21/'Single Project Assumptions'!$H$12),0)</f>
        <v>0</v>
      </c>
      <c r="DF6" s="21">
        <f>-IF(AND(DF$4&gt;='Single Project Assumptions'!$H$11,'Entitlement Phase'!DF$4&lt;'Single Project Assumptions'!$H$13),('Single Project Assumptions'!$H$21/'Single Project Assumptions'!$H$12),0)</f>
        <v>0</v>
      </c>
      <c r="DG6" s="21">
        <f>-IF(AND(DG$4&gt;='Single Project Assumptions'!$H$11,'Entitlement Phase'!DG$4&lt;'Single Project Assumptions'!$H$13),('Single Project Assumptions'!$H$21/'Single Project Assumptions'!$H$12),0)</f>
        <v>0</v>
      </c>
      <c r="DH6" s="21">
        <f>-IF(AND(DH$4&gt;='Single Project Assumptions'!$H$11,'Entitlement Phase'!DH$4&lt;'Single Project Assumptions'!$H$13),('Single Project Assumptions'!$H$21/'Single Project Assumptions'!$H$12),0)</f>
        <v>0</v>
      </c>
      <c r="DI6" s="21">
        <f>-IF(AND(DI$4&gt;='Single Project Assumptions'!$H$11,'Entitlement Phase'!DI$4&lt;'Single Project Assumptions'!$H$13),('Single Project Assumptions'!$H$21/'Single Project Assumptions'!$H$12),0)</f>
        <v>0</v>
      </c>
      <c r="DJ6" s="21">
        <f>-IF(AND(DJ$4&gt;='Single Project Assumptions'!$H$11,'Entitlement Phase'!DJ$4&lt;'Single Project Assumptions'!$H$13),('Single Project Assumptions'!$H$21/'Single Project Assumptions'!$H$12),0)</f>
        <v>0</v>
      </c>
      <c r="DK6" s="21">
        <f>-IF(AND(DK$4&gt;='Single Project Assumptions'!$H$11,'Entitlement Phase'!DK$4&lt;'Single Project Assumptions'!$H$13),('Single Project Assumptions'!$H$21/'Single Project Assumptions'!$H$12),0)</f>
        <v>0</v>
      </c>
      <c r="DL6" s="21">
        <f>-IF(AND(DL$4&gt;='Single Project Assumptions'!$H$11,'Entitlement Phase'!DL$4&lt;'Single Project Assumptions'!$H$13),('Single Project Assumptions'!$H$21/'Single Project Assumptions'!$H$12),0)</f>
        <v>0</v>
      </c>
      <c r="DM6" s="21">
        <f>-IF(AND(DM$4&gt;='Single Project Assumptions'!$H$11,'Entitlement Phase'!DM$4&lt;'Single Project Assumptions'!$H$13),('Single Project Assumptions'!$H$21/'Single Project Assumptions'!$H$12),0)</f>
        <v>0</v>
      </c>
      <c r="DN6" s="21">
        <f>-IF(AND(DN$4&gt;='Single Project Assumptions'!$H$11,'Entitlement Phase'!DN$4&lt;'Single Project Assumptions'!$H$13),('Single Project Assumptions'!$H$21/'Single Project Assumptions'!$H$12),0)</f>
        <v>0</v>
      </c>
      <c r="DO6" s="21">
        <f>-IF(AND(DO$4&gt;='Single Project Assumptions'!$H$11,'Entitlement Phase'!DO$4&lt;'Single Project Assumptions'!$H$13),('Single Project Assumptions'!$H$21/'Single Project Assumptions'!$H$12),0)</f>
        <v>0</v>
      </c>
      <c r="DP6" s="21">
        <f>-IF(AND(DP$4&gt;='Single Project Assumptions'!$H$11,'Entitlement Phase'!DP$4&lt;'Single Project Assumptions'!$H$13),('Single Project Assumptions'!$H$21/'Single Project Assumptions'!$H$12),0)</f>
        <v>0</v>
      </c>
      <c r="DQ6" s="21">
        <f>-IF(AND(DQ$4&gt;='Single Project Assumptions'!$H$11,'Entitlement Phase'!DQ$4&lt;'Single Project Assumptions'!$H$13),('Single Project Assumptions'!$H$21/'Single Project Assumptions'!$H$12),0)</f>
        <v>0</v>
      </c>
      <c r="DR6" s="21">
        <f>-IF(AND(DR$4&gt;='Single Project Assumptions'!$H$11,'Entitlement Phase'!DR$4&lt;'Single Project Assumptions'!$H$13),('Single Project Assumptions'!$H$21/'Single Project Assumptions'!$H$12),0)</f>
        <v>0</v>
      </c>
      <c r="DS6" s="21">
        <f>-IF(AND(DS$4&gt;='Single Project Assumptions'!$H$11,'Entitlement Phase'!DS$4&lt;'Single Project Assumptions'!$H$13),('Single Project Assumptions'!$H$21/'Single Project Assumptions'!$H$12),0)</f>
        <v>0</v>
      </c>
      <c r="DT6" s="21">
        <f>-IF(AND(DT$4&gt;='Single Project Assumptions'!$H$11,'Entitlement Phase'!DT$4&lt;'Single Project Assumptions'!$H$13),('Single Project Assumptions'!$H$21/'Single Project Assumptions'!$H$12),0)</f>
        <v>0</v>
      </c>
      <c r="DU6" s="21">
        <f>-IF(AND(DU$4&gt;='Single Project Assumptions'!$H$11,'Entitlement Phase'!DU$4&lt;'Single Project Assumptions'!$H$13),('Single Project Assumptions'!$H$21/'Single Project Assumptions'!$H$12),0)</f>
        <v>0</v>
      </c>
    </row>
    <row r="7" spans="3:125" s="3" customFormat="1" ht="22.95" customHeight="1">
      <c r="C7" s="3" t="s">
        <v>262</v>
      </c>
      <c r="D7" s="25">
        <f t="shared" si="8"/>
        <v>-75000</v>
      </c>
      <c r="E7" s="21">
        <f>IF(AND(E$4&gt;='Single Project Assumptions'!$H$59,'Entitlement Phase'!E$4&lt;'Single Project Assumptions'!$H$60),(-'Single Project Assumptions'!$H$58)/'Single Project Assumptions'!$H$12,0)</f>
        <v>0</v>
      </c>
      <c r="F7" s="21">
        <f>IF(AND(F$4&gt;='Single Project Assumptions'!$H$59,'Entitlement Phase'!F$4&lt;'Single Project Assumptions'!$H$60),(-'Single Project Assumptions'!$H$58)/'Single Project Assumptions'!$H$12,0)</f>
        <v>0</v>
      </c>
      <c r="G7" s="21">
        <f>IF(AND(G$4&gt;='Single Project Assumptions'!$H$59,'Entitlement Phase'!G$4&lt;'Single Project Assumptions'!$H$60),(-'Single Project Assumptions'!$H$58)/'Single Project Assumptions'!$H$12,0)</f>
        <v>0</v>
      </c>
      <c r="H7" s="21">
        <f>IF(AND(H$4&gt;='Single Project Assumptions'!$H$59,'Entitlement Phase'!H$4&lt;'Single Project Assumptions'!$H$60),(-'Single Project Assumptions'!$H$58)/'Single Project Assumptions'!$H$12,0)</f>
        <v>0</v>
      </c>
      <c r="I7" s="21">
        <f>IF(AND(I$4&gt;='Single Project Assumptions'!$H$59,'Entitlement Phase'!I$4&lt;'Single Project Assumptions'!$H$60),(-'Single Project Assumptions'!$H$58)/'Single Project Assumptions'!$H$12,0)</f>
        <v>0</v>
      </c>
      <c r="J7" s="21">
        <f>IF(AND(J$4&gt;='Single Project Assumptions'!$H$59,'Entitlement Phase'!J$4&lt;'Single Project Assumptions'!$H$60),(-'Single Project Assumptions'!$H$58)/'Single Project Assumptions'!$H$12,0)</f>
        <v>0</v>
      </c>
      <c r="K7" s="21">
        <f>IF(AND(K$4&gt;='Single Project Assumptions'!$H$59,'Entitlement Phase'!K$4&lt;'Single Project Assumptions'!$H$60),(-'Single Project Assumptions'!$H$58)/'Single Project Assumptions'!$H$12,0)</f>
        <v>-6250</v>
      </c>
      <c r="L7" s="21">
        <f>IF(AND(L$4&gt;='Single Project Assumptions'!$H$59,'Entitlement Phase'!L$4&lt;'Single Project Assumptions'!$H$60),(-'Single Project Assumptions'!$H$58)/'Single Project Assumptions'!$H$12,0)</f>
        <v>-6250</v>
      </c>
      <c r="M7" s="21">
        <f>IF(AND(M$4&gt;='Single Project Assumptions'!$H$59,'Entitlement Phase'!M$4&lt;'Single Project Assumptions'!$H$60),(-'Single Project Assumptions'!$H$58)/'Single Project Assumptions'!$H$12,0)</f>
        <v>-6250</v>
      </c>
      <c r="N7" s="21">
        <f>IF(AND(N$4&gt;='Single Project Assumptions'!$H$59,'Entitlement Phase'!N$4&lt;'Single Project Assumptions'!$H$60),(-'Single Project Assumptions'!$H$58)/'Single Project Assumptions'!$H$12,0)</f>
        <v>-6250</v>
      </c>
      <c r="O7" s="21">
        <f>IF(AND(O$4&gt;='Single Project Assumptions'!$H$59,'Entitlement Phase'!O$4&lt;'Single Project Assumptions'!$H$60),(-'Single Project Assumptions'!$H$58)/'Single Project Assumptions'!$H$12,0)</f>
        <v>-6250</v>
      </c>
      <c r="P7" s="21">
        <f>IF(AND(P$4&gt;='Single Project Assumptions'!$H$59,'Entitlement Phase'!P$4&lt;'Single Project Assumptions'!$H$60),(-'Single Project Assumptions'!$H$58)/'Single Project Assumptions'!$H$12,0)</f>
        <v>-6250</v>
      </c>
      <c r="Q7" s="21">
        <f>IF(AND(Q$4&gt;='Single Project Assumptions'!$H$59,'Entitlement Phase'!Q$4&lt;'Single Project Assumptions'!$H$60),(-'Single Project Assumptions'!$H$58)/'Single Project Assumptions'!$H$12,0)</f>
        <v>-6250</v>
      </c>
      <c r="R7" s="21">
        <f>IF(AND(R$4&gt;='Single Project Assumptions'!$H$59,'Entitlement Phase'!R$4&lt;'Single Project Assumptions'!$H$60),(-'Single Project Assumptions'!$H$58)/'Single Project Assumptions'!$H$12,0)</f>
        <v>-6250</v>
      </c>
      <c r="S7" s="21">
        <f>IF(AND(S$4&gt;='Single Project Assumptions'!$H$59,'Entitlement Phase'!S$4&lt;'Single Project Assumptions'!$H$60),(-'Single Project Assumptions'!$H$58)/'Single Project Assumptions'!$H$12,0)</f>
        <v>-6250</v>
      </c>
      <c r="T7" s="21">
        <f>IF(AND(T$4&gt;='Single Project Assumptions'!$H$59,'Entitlement Phase'!T$4&lt;'Single Project Assumptions'!$H$60),(-'Single Project Assumptions'!$H$58)/'Single Project Assumptions'!$H$12,0)</f>
        <v>-6250</v>
      </c>
      <c r="U7" s="21">
        <f>IF(AND(U$4&gt;='Single Project Assumptions'!$H$59,'Entitlement Phase'!U$4&lt;'Single Project Assumptions'!$H$60),(-'Single Project Assumptions'!$H$58)/'Single Project Assumptions'!$H$12,0)</f>
        <v>-6250</v>
      </c>
      <c r="V7" s="21">
        <f>IF(AND(V$4&gt;='Single Project Assumptions'!$H$59,'Entitlement Phase'!V$4&lt;'Single Project Assumptions'!$H$60),(-'Single Project Assumptions'!$H$58)/'Single Project Assumptions'!$H$12,0)</f>
        <v>-6250</v>
      </c>
      <c r="W7" s="21">
        <f>IF(AND(W$4&gt;='Single Project Assumptions'!$H$59,'Entitlement Phase'!W$4&lt;'Single Project Assumptions'!$H$60),(-'Single Project Assumptions'!$H$58)/'Single Project Assumptions'!$H$12,0)</f>
        <v>0</v>
      </c>
      <c r="X7" s="21">
        <f>IF(AND(X$4&gt;='Single Project Assumptions'!$H$59,'Entitlement Phase'!X$4&lt;'Single Project Assumptions'!$H$60),(-'Single Project Assumptions'!$H$58)/'Single Project Assumptions'!$H$12,0)</f>
        <v>0</v>
      </c>
      <c r="Y7" s="21">
        <f>IF(AND(Y$4&gt;='Single Project Assumptions'!$H$59,'Entitlement Phase'!Y$4&lt;'Single Project Assumptions'!$H$60),(-'Single Project Assumptions'!$H$58)/'Single Project Assumptions'!$H$12,0)</f>
        <v>0</v>
      </c>
      <c r="Z7" s="21">
        <f>IF(AND(Z$4&gt;='Single Project Assumptions'!$H$59,'Entitlement Phase'!Z$4&lt;'Single Project Assumptions'!$H$60),(-'Single Project Assumptions'!$H$58)/'Single Project Assumptions'!$H$12,0)</f>
        <v>0</v>
      </c>
      <c r="AA7" s="21">
        <f>IF(AND(AA$4&gt;='Single Project Assumptions'!$H$59,'Entitlement Phase'!AA$4&lt;'Single Project Assumptions'!$H$60),(-'Single Project Assumptions'!$H$58)/'Single Project Assumptions'!$H$12,0)</f>
        <v>0</v>
      </c>
      <c r="AB7" s="21">
        <f>IF(AND(AB$4&gt;='Single Project Assumptions'!$H$59,'Entitlement Phase'!AB$4&lt;'Single Project Assumptions'!$H$60),(-'Single Project Assumptions'!$H$58)/'Single Project Assumptions'!$H$12,0)</f>
        <v>0</v>
      </c>
      <c r="AC7" s="21">
        <f>IF(AND(AC$4&gt;='Single Project Assumptions'!$H$59,'Entitlement Phase'!AC$4&lt;'Single Project Assumptions'!$H$60),(-'Single Project Assumptions'!$H$58)/'Single Project Assumptions'!$H$12,0)</f>
        <v>0</v>
      </c>
      <c r="AD7" s="21">
        <f>IF(AND(AD$4&gt;='Single Project Assumptions'!$H$59,'Entitlement Phase'!AD$4&lt;'Single Project Assumptions'!$H$60),(-'Single Project Assumptions'!$H$58)/'Single Project Assumptions'!$H$12,0)</f>
        <v>0</v>
      </c>
      <c r="AE7" s="21">
        <f>IF(AND(AE$4&gt;='Single Project Assumptions'!$H$59,'Entitlement Phase'!AE$4&lt;'Single Project Assumptions'!$H$60),(-'Single Project Assumptions'!$H$58)/'Single Project Assumptions'!$H$12,0)</f>
        <v>0</v>
      </c>
      <c r="AF7" s="21">
        <f>IF(AND(AF$4&gt;='Single Project Assumptions'!$H$59,'Entitlement Phase'!AF$4&lt;'Single Project Assumptions'!$H$60),(-'Single Project Assumptions'!$H$58)/'Single Project Assumptions'!$H$12,0)</f>
        <v>0</v>
      </c>
      <c r="AG7" s="21">
        <f>IF(AND(AG$4&gt;='Single Project Assumptions'!$H$59,'Entitlement Phase'!AG$4&lt;'Single Project Assumptions'!$H$60),(-'Single Project Assumptions'!$H$58)/'Single Project Assumptions'!$H$12,0)</f>
        <v>0</v>
      </c>
      <c r="AH7" s="21">
        <f>IF(AND(AH$4&gt;='Single Project Assumptions'!$H$59,'Entitlement Phase'!AH$4&lt;'Single Project Assumptions'!$H$60),(-'Single Project Assumptions'!$H$58)/'Single Project Assumptions'!$H$12,0)</f>
        <v>0</v>
      </c>
      <c r="AI7" s="21">
        <f>IF(AND(AI$4&gt;='Single Project Assumptions'!$H$59,'Entitlement Phase'!AI$4&lt;'Single Project Assumptions'!$H$60),(-'Single Project Assumptions'!$H$58)/'Single Project Assumptions'!$H$12,0)</f>
        <v>0</v>
      </c>
      <c r="AJ7" s="21">
        <f>IF(AND(AJ$4&gt;='Single Project Assumptions'!$H$59,'Entitlement Phase'!AJ$4&lt;'Single Project Assumptions'!$H$60),(-'Single Project Assumptions'!$H$58)/'Single Project Assumptions'!$H$12,0)</f>
        <v>0</v>
      </c>
      <c r="AK7" s="21">
        <f>IF(AND(AK$4&gt;='Single Project Assumptions'!$H$59,'Entitlement Phase'!AK$4&lt;'Single Project Assumptions'!$H$60),(-'Single Project Assumptions'!$H$58)/'Single Project Assumptions'!$H$12,0)</f>
        <v>0</v>
      </c>
      <c r="AL7" s="21">
        <f>IF(AND(AL$4&gt;='Single Project Assumptions'!$H$59,'Entitlement Phase'!AL$4&lt;'Single Project Assumptions'!$H$60),(-'Single Project Assumptions'!$H$58)/'Single Project Assumptions'!$H$12,0)</f>
        <v>0</v>
      </c>
      <c r="AM7" s="21">
        <f>IF(AND(AM$4&gt;='Single Project Assumptions'!$H$59,'Entitlement Phase'!AM$4&lt;'Single Project Assumptions'!$H$60),(-'Single Project Assumptions'!$H$58)/'Single Project Assumptions'!$H$12,0)</f>
        <v>0</v>
      </c>
      <c r="AN7" s="21">
        <f>IF(AND(AN$4&gt;='Single Project Assumptions'!$H$59,'Entitlement Phase'!AN$4&lt;'Single Project Assumptions'!$H$60),(-'Single Project Assumptions'!$H$58)/'Single Project Assumptions'!$H$12,0)</f>
        <v>0</v>
      </c>
      <c r="AO7" s="21">
        <f>IF(AND(AO$4&gt;='Single Project Assumptions'!$H$59,'Entitlement Phase'!AO$4&lt;'Single Project Assumptions'!$H$60),(-'Single Project Assumptions'!$H$58)/'Single Project Assumptions'!$H$12,0)</f>
        <v>0</v>
      </c>
      <c r="AP7" s="21">
        <f>IF(AND(AP$4&gt;='Single Project Assumptions'!$H$59,'Entitlement Phase'!AP$4&lt;'Single Project Assumptions'!$H$60),(-'Single Project Assumptions'!$H$58)/'Single Project Assumptions'!$H$12,0)</f>
        <v>0</v>
      </c>
      <c r="AQ7" s="21">
        <f>IF(AND(AQ$4&gt;='Single Project Assumptions'!$H$59,'Entitlement Phase'!AQ$4&lt;'Single Project Assumptions'!$H$60),(-'Single Project Assumptions'!$H$58)/'Single Project Assumptions'!$H$12,0)</f>
        <v>0</v>
      </c>
      <c r="AR7" s="21">
        <f>IF(AND(AR$4&gt;='Single Project Assumptions'!$H$59,'Entitlement Phase'!AR$4&lt;'Single Project Assumptions'!$H$60),(-'Single Project Assumptions'!$H$58)/'Single Project Assumptions'!$H$12,0)</f>
        <v>0</v>
      </c>
      <c r="AS7" s="21">
        <f>IF(AND(AS$4&gt;='Single Project Assumptions'!$H$59,'Entitlement Phase'!AS$4&lt;'Single Project Assumptions'!$H$60),(-'Single Project Assumptions'!$H$58)/'Single Project Assumptions'!$H$12,0)</f>
        <v>0</v>
      </c>
      <c r="AT7" s="21">
        <f>IF(AND(AT$4&gt;='Single Project Assumptions'!$H$59,'Entitlement Phase'!AT$4&lt;'Single Project Assumptions'!$H$60),(-'Single Project Assumptions'!$H$58)/'Single Project Assumptions'!$H$12,0)</f>
        <v>0</v>
      </c>
      <c r="AU7" s="21">
        <f>IF(AND(AU$4&gt;='Single Project Assumptions'!$H$59,'Entitlement Phase'!AU$4&lt;'Single Project Assumptions'!$H$60),(-'Single Project Assumptions'!$H$58)/'Single Project Assumptions'!$H$12,0)</f>
        <v>0</v>
      </c>
      <c r="AV7" s="21">
        <f>IF(AND(AV$4&gt;='Single Project Assumptions'!$H$59,'Entitlement Phase'!AV$4&lt;'Single Project Assumptions'!$H$60),(-'Single Project Assumptions'!$H$58)/'Single Project Assumptions'!$H$12,0)</f>
        <v>0</v>
      </c>
      <c r="AW7" s="21">
        <f>IF(AND(AW$4&gt;='Single Project Assumptions'!$H$59,'Entitlement Phase'!AW$4&lt;'Single Project Assumptions'!$H$60),(-'Single Project Assumptions'!$H$58)/'Single Project Assumptions'!$H$12,0)</f>
        <v>0</v>
      </c>
      <c r="AX7" s="21">
        <f>IF(AND(AX$4&gt;='Single Project Assumptions'!$H$59,'Entitlement Phase'!AX$4&lt;'Single Project Assumptions'!$H$60),(-'Single Project Assumptions'!$H$58)/'Single Project Assumptions'!$H$12,0)</f>
        <v>0</v>
      </c>
      <c r="AY7" s="21">
        <f>IF(AND(AY$4&gt;='Single Project Assumptions'!$H$59,'Entitlement Phase'!AY$4&lt;'Single Project Assumptions'!$H$60),(-'Single Project Assumptions'!$H$58)/'Single Project Assumptions'!$H$12,0)</f>
        <v>0</v>
      </c>
      <c r="AZ7" s="21">
        <f>IF(AND(AZ$4&gt;='Single Project Assumptions'!$H$59,'Entitlement Phase'!AZ$4&lt;'Single Project Assumptions'!$H$60),(-'Single Project Assumptions'!$H$58)/'Single Project Assumptions'!$H$12,0)</f>
        <v>0</v>
      </c>
      <c r="BA7" s="21">
        <f>IF(AND(BA$4&gt;='Single Project Assumptions'!$H$59,'Entitlement Phase'!BA$4&lt;'Single Project Assumptions'!$H$60),(-'Single Project Assumptions'!$H$58)/'Single Project Assumptions'!$H$12,0)</f>
        <v>0</v>
      </c>
      <c r="BB7" s="21">
        <f>IF(AND(BB$4&gt;='Single Project Assumptions'!$H$59,'Entitlement Phase'!BB$4&lt;'Single Project Assumptions'!$H$60),(-'Single Project Assumptions'!$H$58)/'Single Project Assumptions'!$H$12,0)</f>
        <v>0</v>
      </c>
      <c r="BC7" s="21">
        <f>IF(AND(BC$4&gt;='Single Project Assumptions'!$H$59,'Entitlement Phase'!BC$4&lt;'Single Project Assumptions'!$H$60),(-'Single Project Assumptions'!$H$58)/'Single Project Assumptions'!$H$12,0)</f>
        <v>0</v>
      </c>
      <c r="BD7" s="21">
        <f>IF(AND(BD$4&gt;='Single Project Assumptions'!$H$59,'Entitlement Phase'!BD$4&lt;'Single Project Assumptions'!$H$60),(-'Single Project Assumptions'!$H$58)/'Single Project Assumptions'!$H$12,0)</f>
        <v>0</v>
      </c>
      <c r="BE7" s="21">
        <f>IF(AND(BE$4&gt;='Single Project Assumptions'!$H$59,'Entitlement Phase'!BE$4&lt;'Single Project Assumptions'!$H$60),(-'Single Project Assumptions'!$H$58)/'Single Project Assumptions'!$H$12,0)</f>
        <v>0</v>
      </c>
      <c r="BF7" s="21">
        <f>IF(AND(BF$4&gt;='Single Project Assumptions'!$H$59,'Entitlement Phase'!BF$4&lt;'Single Project Assumptions'!$H$60),(-'Single Project Assumptions'!$H$58)/'Single Project Assumptions'!$H$12,0)</f>
        <v>0</v>
      </c>
      <c r="BG7" s="21">
        <f>IF(AND(BG$4&gt;='Single Project Assumptions'!$H$59,'Entitlement Phase'!BG$4&lt;'Single Project Assumptions'!$H$60),(-'Single Project Assumptions'!$H$58)/'Single Project Assumptions'!$H$12,0)</f>
        <v>0</v>
      </c>
      <c r="BH7" s="21">
        <f>IF(AND(BH$4&gt;='Single Project Assumptions'!$H$59,'Entitlement Phase'!BH$4&lt;'Single Project Assumptions'!$H$60),(-'Single Project Assumptions'!$H$58)/'Single Project Assumptions'!$H$12,0)</f>
        <v>0</v>
      </c>
      <c r="BI7" s="21">
        <f>IF(AND(BI$4&gt;='Single Project Assumptions'!$H$59,'Entitlement Phase'!BI$4&lt;'Single Project Assumptions'!$H$60),(-'Single Project Assumptions'!$H$58)/'Single Project Assumptions'!$H$12,0)</f>
        <v>0</v>
      </c>
      <c r="BJ7" s="21">
        <f>IF(AND(BJ$4&gt;='Single Project Assumptions'!$H$59,'Entitlement Phase'!BJ$4&lt;'Single Project Assumptions'!$H$60),(-'Single Project Assumptions'!$H$58)/'Single Project Assumptions'!$H$12,0)</f>
        <v>0</v>
      </c>
      <c r="BK7" s="21">
        <f>IF(AND(BK$4&gt;='Single Project Assumptions'!$H$59,'Entitlement Phase'!BK$4&lt;'Single Project Assumptions'!$H$60),(-'Single Project Assumptions'!$H$58)/'Single Project Assumptions'!$H$12,0)</f>
        <v>0</v>
      </c>
      <c r="BL7" s="21">
        <f>IF(AND(BL$4&gt;='Single Project Assumptions'!$H$59,'Entitlement Phase'!BL$4&lt;'Single Project Assumptions'!$H$60),(-'Single Project Assumptions'!$H$58)/'Single Project Assumptions'!$H$12,0)</f>
        <v>0</v>
      </c>
      <c r="BM7" s="21">
        <f>IF(AND(BM$4&gt;='Single Project Assumptions'!$H$59,'Entitlement Phase'!BM$4&lt;'Single Project Assumptions'!$H$60),(-'Single Project Assumptions'!$H$58)/'Single Project Assumptions'!$H$12,0)</f>
        <v>0</v>
      </c>
      <c r="BN7" s="21">
        <f>IF(AND(BN$4&gt;='Single Project Assumptions'!$H$59,'Entitlement Phase'!BN$4&lt;'Single Project Assumptions'!$H$60),(-'Single Project Assumptions'!$H$58)/'Single Project Assumptions'!$H$12,0)</f>
        <v>0</v>
      </c>
      <c r="BO7" s="21">
        <f>IF(AND(BO$4&gt;='Single Project Assumptions'!$H$59,'Entitlement Phase'!BO$4&lt;'Single Project Assumptions'!$H$60),(-'Single Project Assumptions'!$H$58)/'Single Project Assumptions'!$H$12,0)</f>
        <v>0</v>
      </c>
      <c r="BP7" s="21">
        <f>IF(AND(BP$4&gt;='Single Project Assumptions'!$H$59,'Entitlement Phase'!BP$4&lt;'Single Project Assumptions'!$H$60),(-'Single Project Assumptions'!$H$58)/'Single Project Assumptions'!$H$12,0)</f>
        <v>0</v>
      </c>
      <c r="BQ7" s="21">
        <f>IF(AND(BQ$4&gt;='Single Project Assumptions'!$H$59,'Entitlement Phase'!BQ$4&lt;'Single Project Assumptions'!$H$60),(-'Single Project Assumptions'!$H$58)/'Single Project Assumptions'!$H$12,0)</f>
        <v>0</v>
      </c>
      <c r="BR7" s="21">
        <f>IF(AND(BR$4&gt;='Single Project Assumptions'!$H$59,'Entitlement Phase'!BR$4&lt;'Single Project Assumptions'!$H$60),(-'Single Project Assumptions'!$H$58)/'Single Project Assumptions'!$H$12,0)</f>
        <v>0</v>
      </c>
      <c r="BS7" s="21">
        <f>IF(AND(BS$4&gt;='Single Project Assumptions'!$H$59,'Entitlement Phase'!BS$4&lt;'Single Project Assumptions'!$H$60),(-'Single Project Assumptions'!$H$58)/'Single Project Assumptions'!$H$12,0)</f>
        <v>0</v>
      </c>
      <c r="BT7" s="21">
        <f>IF(AND(BT$4&gt;='Single Project Assumptions'!$H$59,'Entitlement Phase'!BT$4&lt;'Single Project Assumptions'!$H$60),(-'Single Project Assumptions'!$H$58)/'Single Project Assumptions'!$H$12,0)</f>
        <v>0</v>
      </c>
      <c r="BU7" s="21">
        <f>IF(AND(BU$4&gt;='Single Project Assumptions'!$H$59,'Entitlement Phase'!BU$4&lt;'Single Project Assumptions'!$H$60),(-'Single Project Assumptions'!$H$58)/'Single Project Assumptions'!$H$12,0)</f>
        <v>0</v>
      </c>
      <c r="BV7" s="21">
        <f>IF(AND(BV$4&gt;='Single Project Assumptions'!$H$59,'Entitlement Phase'!BV$4&lt;'Single Project Assumptions'!$H$60),(-'Single Project Assumptions'!$H$58)/'Single Project Assumptions'!$H$12,0)</f>
        <v>0</v>
      </c>
      <c r="BW7" s="21">
        <f>IF(AND(BW$4&gt;='Single Project Assumptions'!$H$59,'Entitlement Phase'!BW$4&lt;'Single Project Assumptions'!$H$60),(-'Single Project Assumptions'!$H$58)/'Single Project Assumptions'!$H$12,0)</f>
        <v>0</v>
      </c>
      <c r="BX7" s="21">
        <f>IF(AND(BX$4&gt;='Single Project Assumptions'!$H$59,'Entitlement Phase'!BX$4&lt;'Single Project Assumptions'!$H$60),(-'Single Project Assumptions'!$H$58)/'Single Project Assumptions'!$H$12,0)</f>
        <v>0</v>
      </c>
      <c r="BY7" s="21">
        <f>IF(AND(BY$4&gt;='Single Project Assumptions'!$H$59,'Entitlement Phase'!BY$4&lt;'Single Project Assumptions'!$H$60),(-'Single Project Assumptions'!$H$58)/'Single Project Assumptions'!$H$12,0)</f>
        <v>0</v>
      </c>
      <c r="BZ7" s="21">
        <f>IF(AND(BZ$4&gt;='Single Project Assumptions'!$H$59,'Entitlement Phase'!BZ$4&lt;'Single Project Assumptions'!$H$60),(-'Single Project Assumptions'!$H$58)/'Single Project Assumptions'!$H$12,0)</f>
        <v>0</v>
      </c>
      <c r="CA7" s="21">
        <f>IF(AND(CA$4&gt;='Single Project Assumptions'!$H$59,'Entitlement Phase'!CA$4&lt;'Single Project Assumptions'!$H$60),(-'Single Project Assumptions'!$H$58)/'Single Project Assumptions'!$H$12,0)</f>
        <v>0</v>
      </c>
      <c r="CB7" s="21">
        <f>IF(AND(CB$4&gt;='Single Project Assumptions'!$H$59,'Entitlement Phase'!CB$4&lt;'Single Project Assumptions'!$H$60),(-'Single Project Assumptions'!$H$58)/'Single Project Assumptions'!$H$12,0)</f>
        <v>0</v>
      </c>
      <c r="CC7" s="21">
        <f>IF(AND(CC$4&gt;='Single Project Assumptions'!$H$59,'Entitlement Phase'!CC$4&lt;'Single Project Assumptions'!$H$60),(-'Single Project Assumptions'!$H$58)/'Single Project Assumptions'!$H$12,0)</f>
        <v>0</v>
      </c>
      <c r="CD7" s="21">
        <f>IF(AND(CD$4&gt;='Single Project Assumptions'!$H$59,'Entitlement Phase'!CD$4&lt;'Single Project Assumptions'!$H$60),(-'Single Project Assumptions'!$H$58)/'Single Project Assumptions'!$H$12,0)</f>
        <v>0</v>
      </c>
      <c r="CE7" s="21">
        <f>IF(AND(CE$4&gt;='Single Project Assumptions'!$H$59,'Entitlement Phase'!CE$4&lt;'Single Project Assumptions'!$H$60),(-'Single Project Assumptions'!$H$58)/'Single Project Assumptions'!$H$12,0)</f>
        <v>0</v>
      </c>
      <c r="CF7" s="21">
        <f>IF(AND(CF$4&gt;='Single Project Assumptions'!$H$59,'Entitlement Phase'!CF$4&lt;'Single Project Assumptions'!$H$60),(-'Single Project Assumptions'!$H$58)/'Single Project Assumptions'!$H$12,0)</f>
        <v>0</v>
      </c>
      <c r="CG7" s="21">
        <f>IF(AND(CG$4&gt;='Single Project Assumptions'!$H$59,'Entitlement Phase'!CG$4&lt;'Single Project Assumptions'!$H$60),(-'Single Project Assumptions'!$H$58)/'Single Project Assumptions'!$H$12,0)</f>
        <v>0</v>
      </c>
      <c r="CH7" s="21">
        <f>IF(AND(CH$4&gt;='Single Project Assumptions'!$H$59,'Entitlement Phase'!CH$4&lt;'Single Project Assumptions'!$H$60),(-'Single Project Assumptions'!$H$58)/'Single Project Assumptions'!$H$12,0)</f>
        <v>0</v>
      </c>
      <c r="CI7" s="21">
        <f>IF(AND(CI$4&gt;='Single Project Assumptions'!$H$59,'Entitlement Phase'!CI$4&lt;'Single Project Assumptions'!$H$60),(-'Single Project Assumptions'!$H$58)/'Single Project Assumptions'!$H$12,0)</f>
        <v>0</v>
      </c>
      <c r="CJ7" s="21">
        <f>IF(AND(CJ$4&gt;='Single Project Assumptions'!$H$59,'Entitlement Phase'!CJ$4&lt;'Single Project Assumptions'!$H$60),(-'Single Project Assumptions'!$H$58)/'Single Project Assumptions'!$H$12,0)</f>
        <v>0</v>
      </c>
      <c r="CK7" s="21">
        <f>IF(AND(CK$4&gt;='Single Project Assumptions'!$H$59,'Entitlement Phase'!CK$4&lt;'Single Project Assumptions'!$H$60),(-'Single Project Assumptions'!$H$58)/'Single Project Assumptions'!$H$12,0)</f>
        <v>0</v>
      </c>
      <c r="CL7" s="21">
        <f>IF(AND(CL$4&gt;='Single Project Assumptions'!$H$59,'Entitlement Phase'!CL$4&lt;'Single Project Assumptions'!$H$60),(-'Single Project Assumptions'!$H$58)/'Single Project Assumptions'!$H$12,0)</f>
        <v>0</v>
      </c>
      <c r="CM7" s="21">
        <f>IF(AND(CM$4&gt;='Single Project Assumptions'!$H$59,'Entitlement Phase'!CM$4&lt;'Single Project Assumptions'!$H$60),(-'Single Project Assumptions'!$H$58)/'Single Project Assumptions'!$H$12,0)</f>
        <v>0</v>
      </c>
      <c r="CN7" s="21">
        <f>IF(AND(CN$4&gt;='Single Project Assumptions'!$H$59,'Entitlement Phase'!CN$4&lt;'Single Project Assumptions'!$H$60),(-'Single Project Assumptions'!$H$58)/'Single Project Assumptions'!$H$12,0)</f>
        <v>0</v>
      </c>
      <c r="CO7" s="21">
        <f>IF(AND(CO$4&gt;='Single Project Assumptions'!$H$59,'Entitlement Phase'!CO$4&lt;'Single Project Assumptions'!$H$60),(-'Single Project Assumptions'!$H$58)/'Single Project Assumptions'!$H$12,0)</f>
        <v>0</v>
      </c>
      <c r="CP7" s="21">
        <f>IF(AND(CP$4&gt;='Single Project Assumptions'!$H$59,'Entitlement Phase'!CP$4&lt;'Single Project Assumptions'!$H$60),(-'Single Project Assumptions'!$H$58)/'Single Project Assumptions'!$H$12,0)</f>
        <v>0</v>
      </c>
      <c r="CQ7" s="21">
        <f>IF(AND(CQ$4&gt;='Single Project Assumptions'!$H$59,'Entitlement Phase'!CQ$4&lt;'Single Project Assumptions'!$H$60),(-'Single Project Assumptions'!$H$58)/'Single Project Assumptions'!$H$12,0)</f>
        <v>0</v>
      </c>
      <c r="CR7" s="21">
        <f>IF(AND(CR$4&gt;='Single Project Assumptions'!$H$59,'Entitlement Phase'!CR$4&lt;'Single Project Assumptions'!$H$60),(-'Single Project Assumptions'!$H$58)/'Single Project Assumptions'!$H$12,0)</f>
        <v>0</v>
      </c>
      <c r="CS7" s="21">
        <f>IF(AND(CS$4&gt;='Single Project Assumptions'!$H$59,'Entitlement Phase'!CS$4&lt;'Single Project Assumptions'!$H$60),(-'Single Project Assumptions'!$H$58)/'Single Project Assumptions'!$H$12,0)</f>
        <v>0</v>
      </c>
      <c r="CT7" s="21">
        <f>IF(AND(CT$4&gt;='Single Project Assumptions'!$H$59,'Entitlement Phase'!CT$4&lt;'Single Project Assumptions'!$H$60),(-'Single Project Assumptions'!$H$58)/'Single Project Assumptions'!$H$12,0)</f>
        <v>0</v>
      </c>
      <c r="CU7" s="21">
        <f>IF(AND(CU$4&gt;='Single Project Assumptions'!$H$59,'Entitlement Phase'!CU$4&lt;'Single Project Assumptions'!$H$60),(-'Single Project Assumptions'!$H$58)/'Single Project Assumptions'!$H$12,0)</f>
        <v>0</v>
      </c>
      <c r="CV7" s="21">
        <f>IF(AND(CV$4&gt;='Single Project Assumptions'!$H$59,'Entitlement Phase'!CV$4&lt;'Single Project Assumptions'!$H$60),(-'Single Project Assumptions'!$H$58)/'Single Project Assumptions'!$H$12,0)</f>
        <v>0</v>
      </c>
      <c r="CW7" s="21">
        <f>IF(AND(CW$4&gt;='Single Project Assumptions'!$H$59,'Entitlement Phase'!CW$4&lt;'Single Project Assumptions'!$H$60),(-'Single Project Assumptions'!$H$58)/'Single Project Assumptions'!$H$12,0)</f>
        <v>0</v>
      </c>
      <c r="CX7" s="21">
        <f>IF(AND(CX$4&gt;='Single Project Assumptions'!$H$59,'Entitlement Phase'!CX$4&lt;'Single Project Assumptions'!$H$60),(-'Single Project Assumptions'!$H$58)/'Single Project Assumptions'!$H$12,0)</f>
        <v>0</v>
      </c>
      <c r="CY7" s="21">
        <f>IF(AND(CY$4&gt;='Single Project Assumptions'!$H$59,'Entitlement Phase'!CY$4&lt;'Single Project Assumptions'!$H$60),(-'Single Project Assumptions'!$H$58)/'Single Project Assumptions'!$H$12,0)</f>
        <v>0</v>
      </c>
      <c r="CZ7" s="21">
        <f>IF(AND(CZ$4&gt;='Single Project Assumptions'!$H$59,'Entitlement Phase'!CZ$4&lt;'Single Project Assumptions'!$H$60),(-'Single Project Assumptions'!$H$58)/'Single Project Assumptions'!$H$12,0)</f>
        <v>0</v>
      </c>
      <c r="DA7" s="21">
        <f>IF(AND(DA$4&gt;='Single Project Assumptions'!$H$59,'Entitlement Phase'!DA$4&lt;'Single Project Assumptions'!$H$60),(-'Single Project Assumptions'!$H$58)/'Single Project Assumptions'!$H$12,0)</f>
        <v>0</v>
      </c>
      <c r="DB7" s="21">
        <f>IF(AND(DB$4&gt;='Single Project Assumptions'!$H$59,'Entitlement Phase'!DB$4&lt;'Single Project Assumptions'!$H$60),(-'Single Project Assumptions'!$H$58)/'Single Project Assumptions'!$H$12,0)</f>
        <v>0</v>
      </c>
      <c r="DC7" s="21">
        <f>IF(AND(DC$4&gt;='Single Project Assumptions'!$H$59,'Entitlement Phase'!DC$4&lt;'Single Project Assumptions'!$H$60),(-'Single Project Assumptions'!$H$58)/'Single Project Assumptions'!$H$12,0)</f>
        <v>0</v>
      </c>
      <c r="DD7" s="21">
        <f>IF(AND(DD$4&gt;='Single Project Assumptions'!$H$59,'Entitlement Phase'!DD$4&lt;'Single Project Assumptions'!$H$60),(-'Single Project Assumptions'!$H$58)/'Single Project Assumptions'!$H$12,0)</f>
        <v>0</v>
      </c>
      <c r="DE7" s="21">
        <f>IF(AND(DE$4&gt;='Single Project Assumptions'!$H$59,'Entitlement Phase'!DE$4&lt;'Single Project Assumptions'!$H$60),(-'Single Project Assumptions'!$H$58)/'Single Project Assumptions'!$H$12,0)</f>
        <v>0</v>
      </c>
      <c r="DF7" s="21">
        <f>IF(AND(DF$4&gt;='Single Project Assumptions'!$H$59,'Entitlement Phase'!DF$4&lt;'Single Project Assumptions'!$H$60),(-'Single Project Assumptions'!$H$58)/'Single Project Assumptions'!$H$12,0)</f>
        <v>0</v>
      </c>
      <c r="DG7" s="21">
        <f>IF(AND(DG$4&gt;='Single Project Assumptions'!$H$59,'Entitlement Phase'!DG$4&lt;'Single Project Assumptions'!$H$60),(-'Single Project Assumptions'!$H$58)/'Single Project Assumptions'!$H$12,0)</f>
        <v>0</v>
      </c>
      <c r="DH7" s="21">
        <f>IF(AND(DH$4&gt;='Single Project Assumptions'!$H$59,'Entitlement Phase'!DH$4&lt;'Single Project Assumptions'!$H$60),(-'Single Project Assumptions'!$H$58)/'Single Project Assumptions'!$H$12,0)</f>
        <v>0</v>
      </c>
      <c r="DI7" s="21">
        <f>IF(AND(DI$4&gt;='Single Project Assumptions'!$H$59,'Entitlement Phase'!DI$4&lt;'Single Project Assumptions'!$H$60),(-'Single Project Assumptions'!$H$58)/'Single Project Assumptions'!$H$12,0)</f>
        <v>0</v>
      </c>
      <c r="DJ7" s="21">
        <f>IF(AND(DJ$4&gt;='Single Project Assumptions'!$H$59,'Entitlement Phase'!DJ$4&lt;'Single Project Assumptions'!$H$60),(-'Single Project Assumptions'!$H$58)/'Single Project Assumptions'!$H$12,0)</f>
        <v>0</v>
      </c>
      <c r="DK7" s="21">
        <f>IF(AND(DK$4&gt;='Single Project Assumptions'!$H$59,'Entitlement Phase'!DK$4&lt;'Single Project Assumptions'!$H$60),(-'Single Project Assumptions'!$H$58)/'Single Project Assumptions'!$H$12,0)</f>
        <v>0</v>
      </c>
      <c r="DL7" s="21">
        <f>IF(AND(DL$4&gt;='Single Project Assumptions'!$H$59,'Entitlement Phase'!DL$4&lt;'Single Project Assumptions'!$H$60),(-'Single Project Assumptions'!$H$58)/'Single Project Assumptions'!$H$12,0)</f>
        <v>0</v>
      </c>
      <c r="DM7" s="21">
        <f>IF(AND(DM$4&gt;='Single Project Assumptions'!$H$59,'Entitlement Phase'!DM$4&lt;'Single Project Assumptions'!$H$60),(-'Single Project Assumptions'!$H$58)/'Single Project Assumptions'!$H$12,0)</f>
        <v>0</v>
      </c>
      <c r="DN7" s="21">
        <f>IF(AND(DN$4&gt;='Single Project Assumptions'!$H$59,'Entitlement Phase'!DN$4&lt;'Single Project Assumptions'!$H$60),(-'Single Project Assumptions'!$H$58)/'Single Project Assumptions'!$H$12,0)</f>
        <v>0</v>
      </c>
      <c r="DO7" s="21">
        <f>IF(AND(DO$4&gt;='Single Project Assumptions'!$H$59,'Entitlement Phase'!DO$4&lt;'Single Project Assumptions'!$H$60),(-'Single Project Assumptions'!$H$58)/'Single Project Assumptions'!$H$12,0)</f>
        <v>0</v>
      </c>
      <c r="DP7" s="21">
        <f>IF(AND(DP$4&gt;='Single Project Assumptions'!$H$59,'Entitlement Phase'!DP$4&lt;'Single Project Assumptions'!$H$60),(-'Single Project Assumptions'!$H$58)/'Single Project Assumptions'!$H$12,0)</f>
        <v>0</v>
      </c>
      <c r="DQ7" s="21">
        <f>IF(AND(DQ$4&gt;='Single Project Assumptions'!$H$59,'Entitlement Phase'!DQ$4&lt;'Single Project Assumptions'!$H$60),(-'Single Project Assumptions'!$H$58)/'Single Project Assumptions'!$H$12,0)</f>
        <v>0</v>
      </c>
      <c r="DR7" s="21">
        <f>IF(AND(DR$4&gt;='Single Project Assumptions'!$H$59,'Entitlement Phase'!DR$4&lt;'Single Project Assumptions'!$H$60),(-'Single Project Assumptions'!$H$58)/'Single Project Assumptions'!$H$12,0)</f>
        <v>0</v>
      </c>
      <c r="DS7" s="21">
        <f>IF(AND(DS$4&gt;='Single Project Assumptions'!$H$59,'Entitlement Phase'!DS$4&lt;'Single Project Assumptions'!$H$60),(-'Single Project Assumptions'!$H$58)/'Single Project Assumptions'!$H$12,0)</f>
        <v>0</v>
      </c>
      <c r="DT7" s="21">
        <f>IF(AND(DT$4&gt;='Single Project Assumptions'!$H$59,'Entitlement Phase'!DT$4&lt;'Single Project Assumptions'!$H$60),(-'Single Project Assumptions'!$H$58)/'Single Project Assumptions'!$H$12,0)</f>
        <v>0</v>
      </c>
      <c r="DU7" s="21">
        <f>IF(AND(DU$4&gt;='Single Project Assumptions'!$H$59,'Entitlement Phase'!DU$4&lt;'Single Project Assumptions'!$H$60),(-'Single Project Assumptions'!$H$58)/'Single Project Assumptions'!$H$12,0)</f>
        <v>0</v>
      </c>
    </row>
    <row r="8" spans="3:125" s="3" customFormat="1" ht="22.95" customHeight="1">
      <c r="C8" s="3" t="s">
        <v>263</v>
      </c>
      <c r="D8" s="25">
        <f t="shared" si="8"/>
        <v>-37500</v>
      </c>
      <c r="E8" s="21">
        <f>IF(E$4='Single Project Assumptions'!$H$63,-'Single Project Assumptions'!$H$62,0)</f>
        <v>0</v>
      </c>
      <c r="F8" s="21">
        <f>IF(F$4='Single Project Assumptions'!$H$63,-'Single Project Assumptions'!$H$62,0)</f>
        <v>0</v>
      </c>
      <c r="G8" s="21">
        <f>IF(G$4='Single Project Assumptions'!$H$63,-'Single Project Assumptions'!$H$62,0)</f>
        <v>0</v>
      </c>
      <c r="H8" s="21">
        <f>IF(H$4='Single Project Assumptions'!$H$63,-'Single Project Assumptions'!$H$62,0)</f>
        <v>0</v>
      </c>
      <c r="I8" s="21">
        <f>IF(I$4='Single Project Assumptions'!$H$63,-'Single Project Assumptions'!$H$62,0)</f>
        <v>0</v>
      </c>
      <c r="J8" s="21">
        <f>IF(J$4='Single Project Assumptions'!$H$63,-'Single Project Assumptions'!$H$62,0)</f>
        <v>0</v>
      </c>
      <c r="K8" s="21">
        <f>IF(K$4='Single Project Assumptions'!$H$63,-'Single Project Assumptions'!$H$62,0)</f>
        <v>0</v>
      </c>
      <c r="L8" s="21">
        <f>IF(L$4='Single Project Assumptions'!$H$63,-'Single Project Assumptions'!$H$62,0)</f>
        <v>0</v>
      </c>
      <c r="M8" s="21">
        <f>IF(M$4='Single Project Assumptions'!$H$63,-'Single Project Assumptions'!$H$62,0)</f>
        <v>0</v>
      </c>
      <c r="N8" s="21">
        <f>IF(N$4='Single Project Assumptions'!$H$63,-'Single Project Assumptions'!$H$62,0)</f>
        <v>0</v>
      </c>
      <c r="O8" s="21">
        <f>IF(O$4='Single Project Assumptions'!$H$63,-'Single Project Assumptions'!$H$62,0)</f>
        <v>0</v>
      </c>
      <c r="P8" s="21">
        <f>IF(P$4='Single Project Assumptions'!$H$63,-'Single Project Assumptions'!$H$62,0)</f>
        <v>0</v>
      </c>
      <c r="Q8" s="21">
        <f>IF(Q$4='Single Project Assumptions'!$H$63,-'Single Project Assumptions'!$H$62,0)</f>
        <v>0</v>
      </c>
      <c r="R8" s="21">
        <f>IF(R$4='Single Project Assumptions'!$H$63,-'Single Project Assumptions'!$H$62,0)</f>
        <v>0</v>
      </c>
      <c r="S8" s="21">
        <f>IF(S$4='Single Project Assumptions'!$H$63,-'Single Project Assumptions'!$H$62,0)</f>
        <v>0</v>
      </c>
      <c r="T8" s="21">
        <f>IF(T$4='Single Project Assumptions'!$H$63,-'Single Project Assumptions'!$H$62,0)</f>
        <v>0</v>
      </c>
      <c r="U8" s="21">
        <f>IF(U$4='Single Project Assumptions'!$H$63,-'Single Project Assumptions'!$H$62,0)</f>
        <v>0</v>
      </c>
      <c r="V8" s="21">
        <f>IF(V$4='Single Project Assumptions'!$H$63,-'Single Project Assumptions'!$H$62,0)</f>
        <v>0</v>
      </c>
      <c r="W8" s="21">
        <f>IF(W$4='Single Project Assumptions'!$H$63,-'Single Project Assumptions'!$H$62,0)</f>
        <v>-37500</v>
      </c>
      <c r="X8" s="21">
        <f>IF(X$4='Single Project Assumptions'!$H$63,-'Single Project Assumptions'!$H$62,0)</f>
        <v>0</v>
      </c>
      <c r="Y8" s="21">
        <f>IF(Y$4='Single Project Assumptions'!$H$63,-'Single Project Assumptions'!$H$62,0)</f>
        <v>0</v>
      </c>
      <c r="Z8" s="21">
        <f>IF(Z$4='Single Project Assumptions'!$H$63,-'Single Project Assumptions'!$H$62,0)</f>
        <v>0</v>
      </c>
      <c r="AA8" s="21">
        <f>IF(AA$4='Single Project Assumptions'!$H$63,-'Single Project Assumptions'!$H$62,0)</f>
        <v>0</v>
      </c>
      <c r="AB8" s="21">
        <f>IF(AB$4='Single Project Assumptions'!$H$63,-'Single Project Assumptions'!$H$62,0)</f>
        <v>0</v>
      </c>
      <c r="AC8" s="21">
        <f>IF(AC$4='Single Project Assumptions'!$H$63,-'Single Project Assumptions'!$H$62,0)</f>
        <v>0</v>
      </c>
      <c r="AD8" s="21">
        <f>IF(AD$4='Single Project Assumptions'!$H$63,-'Single Project Assumptions'!$H$62,0)</f>
        <v>0</v>
      </c>
      <c r="AE8" s="21">
        <f>IF(AE$4='Single Project Assumptions'!$H$63,-'Single Project Assumptions'!$H$62,0)</f>
        <v>0</v>
      </c>
      <c r="AF8" s="21">
        <f>IF(AF$4='Single Project Assumptions'!$H$63,-'Single Project Assumptions'!$H$62,0)</f>
        <v>0</v>
      </c>
      <c r="AG8" s="21">
        <f>IF(AG$4='Single Project Assumptions'!$H$63,-'Single Project Assumptions'!$H$62,0)</f>
        <v>0</v>
      </c>
      <c r="AH8" s="21">
        <f>IF(AH$4='Single Project Assumptions'!$H$63,-'Single Project Assumptions'!$H$62,0)</f>
        <v>0</v>
      </c>
      <c r="AI8" s="21">
        <f>IF(AI$4='Single Project Assumptions'!$H$63,-'Single Project Assumptions'!$H$62,0)</f>
        <v>0</v>
      </c>
      <c r="AJ8" s="21">
        <f>IF(AJ$4='Single Project Assumptions'!$H$63,-'Single Project Assumptions'!$H$62,0)</f>
        <v>0</v>
      </c>
      <c r="AK8" s="21">
        <f>IF(AK$4='Single Project Assumptions'!$H$63,-'Single Project Assumptions'!$H$62,0)</f>
        <v>0</v>
      </c>
      <c r="AL8" s="21">
        <f>IF(AL$4='Single Project Assumptions'!$H$63,-'Single Project Assumptions'!$H$62,0)</f>
        <v>0</v>
      </c>
      <c r="AM8" s="21">
        <f>IF(AM$4='Single Project Assumptions'!$H$63,-'Single Project Assumptions'!$H$62,0)</f>
        <v>0</v>
      </c>
      <c r="AN8" s="21">
        <f>IF(AN$4='Single Project Assumptions'!$H$63,-'Single Project Assumptions'!$H$62,0)</f>
        <v>0</v>
      </c>
      <c r="AO8" s="21">
        <f>IF(AO$4='Single Project Assumptions'!$H$63,-'Single Project Assumptions'!$H$62,0)</f>
        <v>0</v>
      </c>
      <c r="AP8" s="21">
        <f>IF(AP$4='Single Project Assumptions'!$H$63,-'Single Project Assumptions'!$H$62,0)</f>
        <v>0</v>
      </c>
      <c r="AQ8" s="21">
        <f>IF(AQ$4='Single Project Assumptions'!$H$63,-'Single Project Assumptions'!$H$62,0)</f>
        <v>0</v>
      </c>
      <c r="AR8" s="21">
        <f>IF(AR$4='Single Project Assumptions'!$H$63,-'Single Project Assumptions'!$H$62,0)</f>
        <v>0</v>
      </c>
      <c r="AS8" s="21">
        <f>IF(AS$4='Single Project Assumptions'!$H$63,-'Single Project Assumptions'!$H$62,0)</f>
        <v>0</v>
      </c>
      <c r="AT8" s="21">
        <f>IF(AT$4='Single Project Assumptions'!$H$63,-'Single Project Assumptions'!$H$62,0)</f>
        <v>0</v>
      </c>
      <c r="AU8" s="21">
        <f>IF(AU$4='Single Project Assumptions'!$H$63,-'Single Project Assumptions'!$H$62,0)</f>
        <v>0</v>
      </c>
      <c r="AV8" s="21">
        <f>IF(AV$4='Single Project Assumptions'!$H$63,-'Single Project Assumptions'!$H$62,0)</f>
        <v>0</v>
      </c>
      <c r="AW8" s="21">
        <f>IF(AW$4='Single Project Assumptions'!$H$63,-'Single Project Assumptions'!$H$62,0)</f>
        <v>0</v>
      </c>
      <c r="AX8" s="21">
        <f>IF(AX$4='Single Project Assumptions'!$H$63,-'Single Project Assumptions'!$H$62,0)</f>
        <v>0</v>
      </c>
      <c r="AY8" s="21">
        <f>IF(AY$4='Single Project Assumptions'!$H$63,-'Single Project Assumptions'!$H$62,0)</f>
        <v>0</v>
      </c>
      <c r="AZ8" s="21">
        <f>IF(AZ$4='Single Project Assumptions'!$H$63,-'Single Project Assumptions'!$H$62,0)</f>
        <v>0</v>
      </c>
      <c r="BA8" s="21">
        <f>IF(BA$4='Single Project Assumptions'!$H$63,-'Single Project Assumptions'!$H$62,0)</f>
        <v>0</v>
      </c>
      <c r="BB8" s="21">
        <f>IF(BB$4='Single Project Assumptions'!$H$63,-'Single Project Assumptions'!$H$62,0)</f>
        <v>0</v>
      </c>
      <c r="BC8" s="21">
        <f>IF(BC$4='Single Project Assumptions'!$H$63,-'Single Project Assumptions'!$H$62,0)</f>
        <v>0</v>
      </c>
      <c r="BD8" s="21">
        <f>IF(BD$4='Single Project Assumptions'!$H$63,-'Single Project Assumptions'!$H$62,0)</f>
        <v>0</v>
      </c>
      <c r="BE8" s="21">
        <f>IF(BE$4='Single Project Assumptions'!$H$63,-'Single Project Assumptions'!$H$62,0)</f>
        <v>0</v>
      </c>
      <c r="BF8" s="21">
        <f>IF(BF$4='Single Project Assumptions'!$H$63,-'Single Project Assumptions'!$H$62,0)</f>
        <v>0</v>
      </c>
      <c r="BG8" s="21">
        <f>IF(BG$4='Single Project Assumptions'!$H$63,-'Single Project Assumptions'!$H$62,0)</f>
        <v>0</v>
      </c>
      <c r="BH8" s="21">
        <f>IF(BH$4='Single Project Assumptions'!$H$63,-'Single Project Assumptions'!$H$62,0)</f>
        <v>0</v>
      </c>
      <c r="BI8" s="21">
        <f>IF(BI$4='Single Project Assumptions'!$H$63,-'Single Project Assumptions'!$H$62,0)</f>
        <v>0</v>
      </c>
      <c r="BJ8" s="21">
        <f>IF(BJ$4='Single Project Assumptions'!$H$63,-'Single Project Assumptions'!$H$62,0)</f>
        <v>0</v>
      </c>
      <c r="BK8" s="21">
        <f>IF(BK$4='Single Project Assumptions'!$H$63,-'Single Project Assumptions'!$H$62,0)</f>
        <v>0</v>
      </c>
      <c r="BL8" s="21">
        <f>IF(BL$4='Single Project Assumptions'!$H$63,-'Single Project Assumptions'!$H$62,0)</f>
        <v>0</v>
      </c>
      <c r="BM8" s="21">
        <f>IF(BM$4='Single Project Assumptions'!$H$63,-'Single Project Assumptions'!$H$62,0)</f>
        <v>0</v>
      </c>
      <c r="BN8" s="21">
        <f>IF(BN$4='Single Project Assumptions'!$H$63,-'Single Project Assumptions'!$H$62,0)</f>
        <v>0</v>
      </c>
      <c r="BO8" s="21">
        <f>IF(BO$4='Single Project Assumptions'!$H$63,-'Single Project Assumptions'!$H$62,0)</f>
        <v>0</v>
      </c>
      <c r="BP8" s="21">
        <f>IF(BP$4='Single Project Assumptions'!$H$63,-'Single Project Assumptions'!$H$62,0)</f>
        <v>0</v>
      </c>
      <c r="BQ8" s="21">
        <f>IF(BQ$4='Single Project Assumptions'!$H$63,-'Single Project Assumptions'!$H$62,0)</f>
        <v>0</v>
      </c>
      <c r="BR8" s="21">
        <f>IF(BR$4='Single Project Assumptions'!$H$63,-'Single Project Assumptions'!$H$62,0)</f>
        <v>0</v>
      </c>
      <c r="BS8" s="21">
        <f>IF(BS$4='Single Project Assumptions'!$H$63,-'Single Project Assumptions'!$H$62,0)</f>
        <v>0</v>
      </c>
      <c r="BT8" s="21">
        <f>IF(BT$4='Single Project Assumptions'!$H$63,-'Single Project Assumptions'!$H$62,0)</f>
        <v>0</v>
      </c>
      <c r="BU8" s="21">
        <f>IF(BU$4='Single Project Assumptions'!$H$63,-'Single Project Assumptions'!$H$62,0)</f>
        <v>0</v>
      </c>
      <c r="BV8" s="21">
        <f>IF(BV$4='Single Project Assumptions'!$H$63,-'Single Project Assumptions'!$H$62,0)</f>
        <v>0</v>
      </c>
      <c r="BW8" s="21">
        <f>IF(BW$4='Single Project Assumptions'!$H$63,-'Single Project Assumptions'!$H$62,0)</f>
        <v>0</v>
      </c>
      <c r="BX8" s="21">
        <f>IF(BX$4='Single Project Assumptions'!$H$63,-'Single Project Assumptions'!$H$62,0)</f>
        <v>0</v>
      </c>
      <c r="BY8" s="21">
        <f>IF(BY$4='Single Project Assumptions'!$H$63,-'Single Project Assumptions'!$H$62,0)</f>
        <v>0</v>
      </c>
      <c r="BZ8" s="21">
        <f>IF(BZ$4='Single Project Assumptions'!$H$63,-'Single Project Assumptions'!$H$62,0)</f>
        <v>0</v>
      </c>
      <c r="CA8" s="21">
        <f>IF(CA$4='Single Project Assumptions'!$H$63,-'Single Project Assumptions'!$H$62,0)</f>
        <v>0</v>
      </c>
      <c r="CB8" s="21">
        <f>IF(CB$4='Single Project Assumptions'!$H$63,-'Single Project Assumptions'!$H$62,0)</f>
        <v>0</v>
      </c>
      <c r="CC8" s="21">
        <f>IF(CC$4='Single Project Assumptions'!$H$63,-'Single Project Assumptions'!$H$62,0)</f>
        <v>0</v>
      </c>
      <c r="CD8" s="21">
        <f>IF(CD$4='Single Project Assumptions'!$H$63,-'Single Project Assumptions'!$H$62,0)</f>
        <v>0</v>
      </c>
      <c r="CE8" s="21">
        <f>IF(CE$4='Single Project Assumptions'!$H$63,-'Single Project Assumptions'!$H$62,0)</f>
        <v>0</v>
      </c>
      <c r="CF8" s="21">
        <f>IF(CF$4='Single Project Assumptions'!$H$63,-'Single Project Assumptions'!$H$62,0)</f>
        <v>0</v>
      </c>
      <c r="CG8" s="21">
        <f>IF(CG$4='Single Project Assumptions'!$H$63,-'Single Project Assumptions'!$H$62,0)</f>
        <v>0</v>
      </c>
      <c r="CH8" s="21">
        <f>IF(CH$4='Single Project Assumptions'!$H$63,-'Single Project Assumptions'!$H$62,0)</f>
        <v>0</v>
      </c>
      <c r="CI8" s="21">
        <f>IF(CI$4='Single Project Assumptions'!$H$63,-'Single Project Assumptions'!$H$62,0)</f>
        <v>0</v>
      </c>
      <c r="CJ8" s="21">
        <f>IF(CJ$4='Single Project Assumptions'!$H$63,-'Single Project Assumptions'!$H$62,0)</f>
        <v>0</v>
      </c>
      <c r="CK8" s="21">
        <f>IF(CK$4='Single Project Assumptions'!$H$63,-'Single Project Assumptions'!$H$62,0)</f>
        <v>0</v>
      </c>
      <c r="CL8" s="21">
        <f>IF(CL$4='Single Project Assumptions'!$H$63,-'Single Project Assumptions'!$H$62,0)</f>
        <v>0</v>
      </c>
      <c r="CM8" s="21">
        <f>IF(CM$4='Single Project Assumptions'!$H$63,-'Single Project Assumptions'!$H$62,0)</f>
        <v>0</v>
      </c>
      <c r="CN8" s="21">
        <f>IF(CN$4='Single Project Assumptions'!$H$63,-'Single Project Assumptions'!$H$62,0)</f>
        <v>0</v>
      </c>
      <c r="CO8" s="21">
        <f>IF(CO$4='Single Project Assumptions'!$H$63,-'Single Project Assumptions'!$H$62,0)</f>
        <v>0</v>
      </c>
      <c r="CP8" s="21">
        <f>IF(CP$4='Single Project Assumptions'!$H$63,-'Single Project Assumptions'!$H$62,0)</f>
        <v>0</v>
      </c>
      <c r="CQ8" s="21">
        <f>IF(CQ$4='Single Project Assumptions'!$H$63,-'Single Project Assumptions'!$H$62,0)</f>
        <v>0</v>
      </c>
      <c r="CR8" s="21">
        <f>IF(CR$4='Single Project Assumptions'!$H$63,-'Single Project Assumptions'!$H$62,0)</f>
        <v>0</v>
      </c>
      <c r="CS8" s="21">
        <f>IF(CS$4='Single Project Assumptions'!$H$63,-'Single Project Assumptions'!$H$62,0)</f>
        <v>0</v>
      </c>
      <c r="CT8" s="21">
        <f>IF(CT$4='Single Project Assumptions'!$H$63,-'Single Project Assumptions'!$H$62,0)</f>
        <v>0</v>
      </c>
      <c r="CU8" s="21">
        <f>IF(CU$4='Single Project Assumptions'!$H$63,-'Single Project Assumptions'!$H$62,0)</f>
        <v>0</v>
      </c>
      <c r="CV8" s="21">
        <f>IF(CV$4='Single Project Assumptions'!$H$63,-'Single Project Assumptions'!$H$62,0)</f>
        <v>0</v>
      </c>
      <c r="CW8" s="21">
        <f>IF(CW$4='Single Project Assumptions'!$H$63,-'Single Project Assumptions'!$H$62,0)</f>
        <v>0</v>
      </c>
      <c r="CX8" s="21">
        <f>IF(CX$4='Single Project Assumptions'!$H$63,-'Single Project Assumptions'!$H$62,0)</f>
        <v>0</v>
      </c>
      <c r="CY8" s="21">
        <f>IF(CY$4='Single Project Assumptions'!$H$63,-'Single Project Assumptions'!$H$62,0)</f>
        <v>0</v>
      </c>
      <c r="CZ8" s="21">
        <f>IF(CZ$4='Single Project Assumptions'!$H$63,-'Single Project Assumptions'!$H$62,0)</f>
        <v>0</v>
      </c>
      <c r="DA8" s="21">
        <f>IF(DA$4='Single Project Assumptions'!$H$63,-'Single Project Assumptions'!$H$62,0)</f>
        <v>0</v>
      </c>
      <c r="DB8" s="21">
        <f>IF(DB$4='Single Project Assumptions'!$H$63,-'Single Project Assumptions'!$H$62,0)</f>
        <v>0</v>
      </c>
      <c r="DC8" s="21">
        <f>IF(DC$4='Single Project Assumptions'!$H$63,-'Single Project Assumptions'!$H$62,0)</f>
        <v>0</v>
      </c>
      <c r="DD8" s="21">
        <f>IF(DD$4='Single Project Assumptions'!$H$63,-'Single Project Assumptions'!$H$62,0)</f>
        <v>0</v>
      </c>
      <c r="DE8" s="21">
        <f>IF(DE$4='Single Project Assumptions'!$H$63,-'Single Project Assumptions'!$H$62,0)</f>
        <v>0</v>
      </c>
      <c r="DF8" s="21">
        <f>IF(DF$4='Single Project Assumptions'!$H$63,-'Single Project Assumptions'!$H$62,0)</f>
        <v>0</v>
      </c>
      <c r="DG8" s="21">
        <f>IF(DG$4='Single Project Assumptions'!$H$63,-'Single Project Assumptions'!$H$62,0)</f>
        <v>0</v>
      </c>
      <c r="DH8" s="21">
        <f>IF(DH$4='Single Project Assumptions'!$H$63,-'Single Project Assumptions'!$H$62,0)</f>
        <v>0</v>
      </c>
      <c r="DI8" s="21">
        <f>IF(DI$4='Single Project Assumptions'!$H$63,-'Single Project Assumptions'!$H$62,0)</f>
        <v>0</v>
      </c>
      <c r="DJ8" s="21">
        <f>IF(DJ$4='Single Project Assumptions'!$H$63,-'Single Project Assumptions'!$H$62,0)</f>
        <v>0</v>
      </c>
      <c r="DK8" s="21">
        <f>IF(DK$4='Single Project Assumptions'!$H$63,-'Single Project Assumptions'!$H$62,0)</f>
        <v>0</v>
      </c>
      <c r="DL8" s="21">
        <f>IF(DL$4='Single Project Assumptions'!$H$63,-'Single Project Assumptions'!$H$62,0)</f>
        <v>0</v>
      </c>
      <c r="DM8" s="21">
        <f>IF(DM$4='Single Project Assumptions'!$H$63,-'Single Project Assumptions'!$H$62,0)</f>
        <v>0</v>
      </c>
      <c r="DN8" s="21">
        <f>IF(DN$4='Single Project Assumptions'!$H$63,-'Single Project Assumptions'!$H$62,0)</f>
        <v>0</v>
      </c>
      <c r="DO8" s="21">
        <f>IF(DO$4='Single Project Assumptions'!$H$63,-'Single Project Assumptions'!$H$62,0)</f>
        <v>0</v>
      </c>
      <c r="DP8" s="21">
        <f>IF(DP$4='Single Project Assumptions'!$H$63,-'Single Project Assumptions'!$H$62,0)</f>
        <v>0</v>
      </c>
      <c r="DQ8" s="21">
        <f>IF(DQ$4='Single Project Assumptions'!$H$63,-'Single Project Assumptions'!$H$62,0)</f>
        <v>0</v>
      </c>
      <c r="DR8" s="21">
        <f>IF(DR$4='Single Project Assumptions'!$H$63,-'Single Project Assumptions'!$H$62,0)</f>
        <v>0</v>
      </c>
      <c r="DS8" s="21">
        <f>IF(DS$4='Single Project Assumptions'!$H$63,-'Single Project Assumptions'!$H$62,0)</f>
        <v>0</v>
      </c>
      <c r="DT8" s="21">
        <f>IF(DT$4='Single Project Assumptions'!$H$63,-'Single Project Assumptions'!$H$62,0)</f>
        <v>0</v>
      </c>
      <c r="DU8" s="21">
        <f>IF(DU$4='Single Project Assumptions'!$H$63,-'Single Project Assumptions'!$H$62,0)</f>
        <v>0</v>
      </c>
    </row>
    <row r="9" spans="3:125" s="3" customFormat="1" ht="22.95" customHeight="1">
      <c r="C9" s="3" t="s">
        <v>264</v>
      </c>
      <c r="D9" s="25">
        <f t="shared" si="8"/>
        <v>5625000</v>
      </c>
      <c r="E9" s="22">
        <f>IF(E$4='Single Project Assumptions'!$H$15,'Single Project Assumptions'!$H$41,0)</f>
        <v>0</v>
      </c>
      <c r="F9" s="22">
        <f>IF(F$4='Single Project Assumptions'!$H$15,'Single Project Assumptions'!$H$41,0)</f>
        <v>0</v>
      </c>
      <c r="G9" s="22">
        <f>IF(G$4='Single Project Assumptions'!$H$15,'Single Project Assumptions'!$H$41,0)</f>
        <v>0</v>
      </c>
      <c r="H9" s="22">
        <f>IF(H$4='Single Project Assumptions'!$H$15,'Single Project Assumptions'!$H$41,0)</f>
        <v>0</v>
      </c>
      <c r="I9" s="22">
        <f>IF(I$4='Single Project Assumptions'!$H$15,'Single Project Assumptions'!$H$41,0)</f>
        <v>0</v>
      </c>
      <c r="J9" s="22">
        <f>IF(J$4='Single Project Assumptions'!$H$15,'Single Project Assumptions'!$H$41,0)</f>
        <v>0</v>
      </c>
      <c r="K9" s="22">
        <f>IF(K$4='Single Project Assumptions'!$H$15,'Single Project Assumptions'!$H$41,0)</f>
        <v>0</v>
      </c>
      <c r="L9" s="22">
        <f>IF(L$4='Single Project Assumptions'!$H$15,'Single Project Assumptions'!$H$41,0)</f>
        <v>0</v>
      </c>
      <c r="M9" s="22">
        <f>IF(M$4='Single Project Assumptions'!$H$15,'Single Project Assumptions'!$H$41,0)</f>
        <v>0</v>
      </c>
      <c r="N9" s="22">
        <f>IF(N$4='Single Project Assumptions'!$H$15,'Single Project Assumptions'!$H$41,0)</f>
        <v>0</v>
      </c>
      <c r="O9" s="22">
        <f>IF(O$4='Single Project Assumptions'!$H$15,'Single Project Assumptions'!$H$41,0)</f>
        <v>0</v>
      </c>
      <c r="P9" s="22">
        <f>IF(P$4='Single Project Assumptions'!$H$15,'Single Project Assumptions'!$H$41,0)</f>
        <v>0</v>
      </c>
      <c r="Q9" s="22">
        <f>IF(Q$4='Single Project Assumptions'!$H$15,'Single Project Assumptions'!$H$41,0)</f>
        <v>0</v>
      </c>
      <c r="R9" s="22">
        <f>IF(R$4='Single Project Assumptions'!$H$15,'Single Project Assumptions'!$H$41,0)</f>
        <v>0</v>
      </c>
      <c r="S9" s="22">
        <f>IF(S$4='Single Project Assumptions'!$H$15,'Single Project Assumptions'!$H$41,0)</f>
        <v>0</v>
      </c>
      <c r="T9" s="22">
        <f>IF(T$4='Single Project Assumptions'!$H$15,'Single Project Assumptions'!$H$41,0)</f>
        <v>0</v>
      </c>
      <c r="U9" s="22">
        <f>IF(U$4='Single Project Assumptions'!$H$15,'Single Project Assumptions'!$H$41,0)</f>
        <v>0</v>
      </c>
      <c r="V9" s="22">
        <f>IF(V$4='Single Project Assumptions'!$H$15,'Single Project Assumptions'!$H$41,0)</f>
        <v>0</v>
      </c>
      <c r="W9" s="22">
        <f>IF(W$4='Single Project Assumptions'!$H$15,'Single Project Assumptions'!$H$41,0)</f>
        <v>0</v>
      </c>
      <c r="X9" s="22">
        <f>IF(X$4='Single Project Assumptions'!$H$15,'Single Project Assumptions'!$H$41,0)</f>
        <v>0</v>
      </c>
      <c r="Y9" s="22">
        <f>IF(Y$4='Single Project Assumptions'!$H$15,'Single Project Assumptions'!$H$41,0)</f>
        <v>0</v>
      </c>
      <c r="Z9" s="22">
        <f>IF(Z$4='Single Project Assumptions'!$H$15,'Single Project Assumptions'!$H$41,0)</f>
        <v>0</v>
      </c>
      <c r="AA9" s="22">
        <f>IF(AA$4='Single Project Assumptions'!$H$15,'Single Project Assumptions'!$H$41,0)</f>
        <v>0</v>
      </c>
      <c r="AB9" s="22">
        <f>IF(AB$4='Single Project Assumptions'!$H$15,'Single Project Assumptions'!$H$41,0)</f>
        <v>0</v>
      </c>
      <c r="AC9" s="22">
        <f>IF(AC$4='Single Project Assumptions'!$H$15,'Single Project Assumptions'!$H$41,0)</f>
        <v>5625000</v>
      </c>
      <c r="AD9" s="22">
        <f>IF(AD$4='Single Project Assumptions'!$H$15,'Single Project Assumptions'!$H$41,0)</f>
        <v>0</v>
      </c>
      <c r="AE9" s="22">
        <f>IF(AE$4='Single Project Assumptions'!$H$15,'Single Project Assumptions'!$H$41,0)</f>
        <v>0</v>
      </c>
      <c r="AF9" s="22">
        <f>IF(AF$4='Single Project Assumptions'!$H$15,'Single Project Assumptions'!$H$41,0)</f>
        <v>0</v>
      </c>
      <c r="AG9" s="22">
        <f>IF(AG$4='Single Project Assumptions'!$H$15,'Single Project Assumptions'!$H$41,0)</f>
        <v>0</v>
      </c>
      <c r="AH9" s="22">
        <f>IF(AH$4='Single Project Assumptions'!$H$15,'Single Project Assumptions'!$H$41,0)</f>
        <v>0</v>
      </c>
      <c r="AI9" s="22">
        <f>IF(AI$4='Single Project Assumptions'!$H$15,'Single Project Assumptions'!$H$41,0)</f>
        <v>0</v>
      </c>
      <c r="AJ9" s="22">
        <f>IF(AJ$4='Single Project Assumptions'!$H$15,'Single Project Assumptions'!$H$41,0)</f>
        <v>0</v>
      </c>
      <c r="AK9" s="22">
        <f>IF(AK$4='Single Project Assumptions'!$H$15,'Single Project Assumptions'!$H$41,0)</f>
        <v>0</v>
      </c>
      <c r="AL9" s="22">
        <f>IF(AL$4='Single Project Assumptions'!$H$15,'Single Project Assumptions'!$H$41,0)</f>
        <v>0</v>
      </c>
      <c r="AM9" s="22">
        <f>IF(AM$4='Single Project Assumptions'!$H$15,'Single Project Assumptions'!$H$41,0)</f>
        <v>0</v>
      </c>
      <c r="AN9" s="22">
        <f>IF(AN$4='Single Project Assumptions'!$H$15,'Single Project Assumptions'!$H$41,0)</f>
        <v>0</v>
      </c>
      <c r="AO9" s="22">
        <f>IF(AO$4='Single Project Assumptions'!$H$15,'Single Project Assumptions'!$H$41,0)</f>
        <v>0</v>
      </c>
      <c r="AP9" s="22">
        <f>IF(AP$4='Single Project Assumptions'!$H$15,'Single Project Assumptions'!$H$41,0)</f>
        <v>0</v>
      </c>
      <c r="AQ9" s="22">
        <f>IF(AQ$4='Single Project Assumptions'!$H$15,'Single Project Assumptions'!$H$41,0)</f>
        <v>0</v>
      </c>
      <c r="AR9" s="22">
        <f>IF(AR$4='Single Project Assumptions'!$H$15,'Single Project Assumptions'!$H$41,0)</f>
        <v>0</v>
      </c>
      <c r="AS9" s="22">
        <f>IF(AS$4='Single Project Assumptions'!$H$15,'Single Project Assumptions'!$H$41,0)</f>
        <v>0</v>
      </c>
      <c r="AT9" s="22">
        <f>IF(AT$4='Single Project Assumptions'!$H$15,'Single Project Assumptions'!$H$41,0)</f>
        <v>0</v>
      </c>
      <c r="AU9" s="22">
        <f>IF(AU$4='Single Project Assumptions'!$H$15,'Single Project Assumptions'!$H$41,0)</f>
        <v>0</v>
      </c>
      <c r="AV9" s="22">
        <f>IF(AV$4='Single Project Assumptions'!$H$15,'Single Project Assumptions'!$H$41,0)</f>
        <v>0</v>
      </c>
      <c r="AW9" s="22">
        <f>IF(AW$4='Single Project Assumptions'!$H$15,'Single Project Assumptions'!$H$41,0)</f>
        <v>0</v>
      </c>
      <c r="AX9" s="22">
        <f>IF(AX$4='Single Project Assumptions'!$H$15,'Single Project Assumptions'!$H$41,0)</f>
        <v>0</v>
      </c>
      <c r="AY9" s="22">
        <f>IF(AY$4='Single Project Assumptions'!$H$15,'Single Project Assumptions'!$H$41,0)</f>
        <v>0</v>
      </c>
      <c r="AZ9" s="22">
        <f>IF(AZ$4='Single Project Assumptions'!$H$15,'Single Project Assumptions'!$H$41,0)</f>
        <v>0</v>
      </c>
      <c r="BA9" s="22">
        <f>IF(BA$4='Single Project Assumptions'!$H$15,'Single Project Assumptions'!$H$41,0)</f>
        <v>0</v>
      </c>
      <c r="BB9" s="22">
        <f>IF(BB$4='Single Project Assumptions'!$H$15,'Single Project Assumptions'!$H$41,0)</f>
        <v>0</v>
      </c>
      <c r="BC9" s="22">
        <f>IF(BC$4='Single Project Assumptions'!$H$15,'Single Project Assumptions'!$H$41,0)</f>
        <v>0</v>
      </c>
      <c r="BD9" s="22">
        <f>IF(BD$4='Single Project Assumptions'!$H$15,'Single Project Assumptions'!$H$41,0)</f>
        <v>0</v>
      </c>
      <c r="BE9" s="22">
        <f>IF(BE$4='Single Project Assumptions'!$H$15,'Single Project Assumptions'!$H$41,0)</f>
        <v>0</v>
      </c>
      <c r="BF9" s="22">
        <f>IF(BF$4='Single Project Assumptions'!$H$15,'Single Project Assumptions'!$H$41,0)</f>
        <v>0</v>
      </c>
      <c r="BG9" s="22">
        <f>IF(BG$4='Single Project Assumptions'!$H$15,'Single Project Assumptions'!$H$41,0)</f>
        <v>0</v>
      </c>
      <c r="BH9" s="22">
        <f>IF(BH$4='Single Project Assumptions'!$H$15,'Single Project Assumptions'!$H$41,0)</f>
        <v>0</v>
      </c>
      <c r="BI9" s="22">
        <f>IF(BI$4='Single Project Assumptions'!$H$15,'Single Project Assumptions'!$H$41,0)</f>
        <v>0</v>
      </c>
      <c r="BJ9" s="22">
        <f>IF(BJ$4='Single Project Assumptions'!$H$15,'Single Project Assumptions'!$H$41,0)</f>
        <v>0</v>
      </c>
      <c r="BK9" s="22">
        <f>IF(BK$4='Single Project Assumptions'!$H$15,'Single Project Assumptions'!$H$41,0)</f>
        <v>0</v>
      </c>
      <c r="BL9" s="22">
        <f>IF(BL$4='Single Project Assumptions'!$H$15,'Single Project Assumptions'!$H$41,0)</f>
        <v>0</v>
      </c>
      <c r="BM9" s="22">
        <f>IF(BM$4='Single Project Assumptions'!$H$15,'Single Project Assumptions'!$H$41,0)</f>
        <v>0</v>
      </c>
      <c r="BN9" s="22">
        <f>IF(BN$4='Single Project Assumptions'!$H$15,'Single Project Assumptions'!$H$41,0)</f>
        <v>0</v>
      </c>
      <c r="BO9" s="22">
        <f>IF(BO$4='Single Project Assumptions'!$H$15,'Single Project Assumptions'!$H$41,0)</f>
        <v>0</v>
      </c>
      <c r="BP9" s="22">
        <f>IF(BP$4='Single Project Assumptions'!$H$15,'Single Project Assumptions'!$H$41,0)</f>
        <v>0</v>
      </c>
      <c r="BQ9" s="22">
        <f>IF(BQ$4='Single Project Assumptions'!$H$15,'Single Project Assumptions'!$H$41,0)</f>
        <v>0</v>
      </c>
      <c r="BR9" s="22">
        <f>IF(BR$4='Single Project Assumptions'!$H$15,'Single Project Assumptions'!$H$41,0)</f>
        <v>0</v>
      </c>
      <c r="BS9" s="22">
        <f>IF(BS$4='Single Project Assumptions'!$H$15,'Single Project Assumptions'!$H$41,0)</f>
        <v>0</v>
      </c>
      <c r="BT9" s="22">
        <f>IF(BT$4='Single Project Assumptions'!$H$15,'Single Project Assumptions'!$H$41,0)</f>
        <v>0</v>
      </c>
      <c r="BU9" s="22">
        <f>IF(BU$4='Single Project Assumptions'!$H$15,'Single Project Assumptions'!$H$41,0)</f>
        <v>0</v>
      </c>
      <c r="BV9" s="22">
        <f>IF(BV$4='Single Project Assumptions'!$H$15,'Single Project Assumptions'!$H$41,0)</f>
        <v>0</v>
      </c>
      <c r="BW9" s="22">
        <f>IF(BW$4='Single Project Assumptions'!$H$15,'Single Project Assumptions'!$H$41,0)</f>
        <v>0</v>
      </c>
      <c r="BX9" s="22">
        <f>IF(BX$4='Single Project Assumptions'!$H$15,'Single Project Assumptions'!$H$41,0)</f>
        <v>0</v>
      </c>
      <c r="BY9" s="22">
        <f>IF(BY$4='Single Project Assumptions'!$H$15,'Single Project Assumptions'!$H$41,0)</f>
        <v>0</v>
      </c>
      <c r="BZ9" s="22">
        <f>IF(BZ$4='Single Project Assumptions'!$H$15,'Single Project Assumptions'!$H$41,0)</f>
        <v>0</v>
      </c>
      <c r="CA9" s="22">
        <f>IF(CA$4='Single Project Assumptions'!$H$15,'Single Project Assumptions'!$H$41,0)</f>
        <v>0</v>
      </c>
      <c r="CB9" s="22">
        <f>IF(CB$4='Single Project Assumptions'!$H$15,'Single Project Assumptions'!$H$41,0)</f>
        <v>0</v>
      </c>
      <c r="CC9" s="22">
        <f>IF(CC$4='Single Project Assumptions'!$H$15,'Single Project Assumptions'!$H$41,0)</f>
        <v>0</v>
      </c>
      <c r="CD9" s="22">
        <f>IF(CD$4='Single Project Assumptions'!$H$15,'Single Project Assumptions'!$H$41,0)</f>
        <v>0</v>
      </c>
      <c r="CE9" s="22">
        <f>IF(CE$4='Single Project Assumptions'!$H$15,'Single Project Assumptions'!$H$41,0)</f>
        <v>0</v>
      </c>
      <c r="CF9" s="22">
        <f>IF(CF$4='Single Project Assumptions'!$H$15,'Single Project Assumptions'!$H$41,0)</f>
        <v>0</v>
      </c>
      <c r="CG9" s="22">
        <f>IF(CG$4='Single Project Assumptions'!$H$15,'Single Project Assumptions'!$H$41,0)</f>
        <v>0</v>
      </c>
      <c r="CH9" s="22">
        <f>IF(CH$4='Single Project Assumptions'!$H$15,'Single Project Assumptions'!$H$41,0)</f>
        <v>0</v>
      </c>
      <c r="CI9" s="22">
        <f>IF(CI$4='Single Project Assumptions'!$H$15,'Single Project Assumptions'!$H$41,0)</f>
        <v>0</v>
      </c>
      <c r="CJ9" s="22">
        <f>IF(CJ$4='Single Project Assumptions'!$H$15,'Single Project Assumptions'!$H$41,0)</f>
        <v>0</v>
      </c>
      <c r="CK9" s="22">
        <f>IF(CK$4='Single Project Assumptions'!$H$15,'Single Project Assumptions'!$H$41,0)</f>
        <v>0</v>
      </c>
      <c r="CL9" s="22">
        <f>IF(CL$4='Single Project Assumptions'!$H$15,'Single Project Assumptions'!$H$41,0)</f>
        <v>0</v>
      </c>
      <c r="CM9" s="22">
        <f>IF(CM$4='Single Project Assumptions'!$H$15,'Single Project Assumptions'!$H$41,0)</f>
        <v>0</v>
      </c>
      <c r="CN9" s="22">
        <f>IF(CN$4='Single Project Assumptions'!$H$15,'Single Project Assumptions'!$H$41,0)</f>
        <v>0</v>
      </c>
      <c r="CO9" s="22">
        <f>IF(CO$4='Single Project Assumptions'!$H$15,'Single Project Assumptions'!$H$41,0)</f>
        <v>0</v>
      </c>
      <c r="CP9" s="22">
        <f>IF(CP$4='Single Project Assumptions'!$H$15,'Single Project Assumptions'!$H$41,0)</f>
        <v>0</v>
      </c>
      <c r="CQ9" s="22">
        <f>IF(CQ$4='Single Project Assumptions'!$H$15,'Single Project Assumptions'!$H$41,0)</f>
        <v>0</v>
      </c>
      <c r="CR9" s="22">
        <f>IF(CR$4='Single Project Assumptions'!$H$15,'Single Project Assumptions'!$H$41,0)</f>
        <v>0</v>
      </c>
      <c r="CS9" s="22">
        <f>IF(CS$4='Single Project Assumptions'!$H$15,'Single Project Assumptions'!$H$41,0)</f>
        <v>0</v>
      </c>
      <c r="CT9" s="22">
        <f>IF(CT$4='Single Project Assumptions'!$H$15,'Single Project Assumptions'!$H$41,0)</f>
        <v>0</v>
      </c>
      <c r="CU9" s="22">
        <f>IF(CU$4='Single Project Assumptions'!$H$15,'Single Project Assumptions'!$H$41,0)</f>
        <v>0</v>
      </c>
      <c r="CV9" s="22">
        <f>IF(CV$4='Single Project Assumptions'!$H$15,'Single Project Assumptions'!$H$41,0)</f>
        <v>0</v>
      </c>
      <c r="CW9" s="22">
        <f>IF(CW$4='Single Project Assumptions'!$H$15,'Single Project Assumptions'!$H$41,0)</f>
        <v>0</v>
      </c>
      <c r="CX9" s="22">
        <f>IF(CX$4='Single Project Assumptions'!$H$15,'Single Project Assumptions'!$H$41,0)</f>
        <v>0</v>
      </c>
      <c r="CY9" s="22">
        <f>IF(CY$4='Single Project Assumptions'!$H$15,'Single Project Assumptions'!$H$41,0)</f>
        <v>0</v>
      </c>
      <c r="CZ9" s="22">
        <f>IF(CZ$4='Single Project Assumptions'!$H$15,'Single Project Assumptions'!$H$41,0)</f>
        <v>0</v>
      </c>
      <c r="DA9" s="22">
        <f>IF(DA$4='Single Project Assumptions'!$H$15,'Single Project Assumptions'!$H$41,0)</f>
        <v>0</v>
      </c>
      <c r="DB9" s="22">
        <f>IF(DB$4='Single Project Assumptions'!$H$15,'Single Project Assumptions'!$H$41,0)</f>
        <v>0</v>
      </c>
      <c r="DC9" s="22">
        <f>IF(DC$4='Single Project Assumptions'!$H$15,'Single Project Assumptions'!$H$41,0)</f>
        <v>0</v>
      </c>
      <c r="DD9" s="22">
        <f>IF(DD$4='Single Project Assumptions'!$H$15,'Single Project Assumptions'!$H$41,0)</f>
        <v>0</v>
      </c>
      <c r="DE9" s="22">
        <f>IF(DE$4='Single Project Assumptions'!$H$15,'Single Project Assumptions'!$H$41,0)</f>
        <v>0</v>
      </c>
      <c r="DF9" s="22">
        <f>IF(DF$4='Single Project Assumptions'!$H$15,'Single Project Assumptions'!$H$41,0)</f>
        <v>0</v>
      </c>
      <c r="DG9" s="22">
        <f>IF(DG$4='Single Project Assumptions'!$H$15,'Single Project Assumptions'!$H$41,0)</f>
        <v>0</v>
      </c>
      <c r="DH9" s="22">
        <f>IF(DH$4='Single Project Assumptions'!$H$15,'Single Project Assumptions'!$H$41,0)</f>
        <v>0</v>
      </c>
      <c r="DI9" s="22">
        <f>IF(DI$4='Single Project Assumptions'!$H$15,'Single Project Assumptions'!$H$41,0)</f>
        <v>0</v>
      </c>
      <c r="DJ9" s="22">
        <f>IF(DJ$4='Single Project Assumptions'!$H$15,'Single Project Assumptions'!$H$41,0)</f>
        <v>0</v>
      </c>
      <c r="DK9" s="22">
        <f>IF(DK$4='Single Project Assumptions'!$H$15,'Single Project Assumptions'!$H$41,0)</f>
        <v>0</v>
      </c>
      <c r="DL9" s="22">
        <f>IF(DL$4='Single Project Assumptions'!$H$15,'Single Project Assumptions'!$H$41,0)</f>
        <v>0</v>
      </c>
      <c r="DM9" s="22">
        <f>IF(DM$4='Single Project Assumptions'!$H$15,'Single Project Assumptions'!$H$41,0)</f>
        <v>0</v>
      </c>
      <c r="DN9" s="22">
        <f>IF(DN$4='Single Project Assumptions'!$H$15,'Single Project Assumptions'!$H$41,0)</f>
        <v>0</v>
      </c>
      <c r="DO9" s="22">
        <f>IF(DO$4='Single Project Assumptions'!$H$15,'Single Project Assumptions'!$H$41,0)</f>
        <v>0</v>
      </c>
      <c r="DP9" s="22">
        <f>IF(DP$4='Single Project Assumptions'!$H$15,'Single Project Assumptions'!$H$41,0)</f>
        <v>0</v>
      </c>
      <c r="DQ9" s="22">
        <f>IF(DQ$4='Single Project Assumptions'!$H$15,'Single Project Assumptions'!$H$41,0)</f>
        <v>0</v>
      </c>
      <c r="DR9" s="22">
        <f>IF(DR$4='Single Project Assumptions'!$H$15,'Single Project Assumptions'!$H$41,0)</f>
        <v>0</v>
      </c>
      <c r="DS9" s="22">
        <f>IF(DS$4='Single Project Assumptions'!$H$15,'Single Project Assumptions'!$H$41,0)</f>
        <v>0</v>
      </c>
      <c r="DT9" s="22">
        <f>IF(DT$4='Single Project Assumptions'!$H$15,'Single Project Assumptions'!$H$41,0)</f>
        <v>0</v>
      </c>
      <c r="DU9" s="22">
        <f>IF(DU$4='Single Project Assumptions'!$H$15,'Single Project Assumptions'!$H$41,0)</f>
        <v>0</v>
      </c>
    </row>
    <row r="10" spans="3:125" s="3" customFormat="1" ht="22.95" customHeight="1">
      <c r="C10" s="3" t="s">
        <v>265</v>
      </c>
      <c r="D10" s="25">
        <f t="shared" si="8"/>
        <v>-56250</v>
      </c>
      <c r="E10" s="22">
        <f>-E9*'Single Project Assumptions'!$H$42</f>
        <v>0</v>
      </c>
      <c r="F10" s="22">
        <f>-F9*'Single Project Assumptions'!$H$42</f>
        <v>0</v>
      </c>
      <c r="G10" s="22">
        <f>-G9*'Single Project Assumptions'!$H$42</f>
        <v>0</v>
      </c>
      <c r="H10" s="22">
        <f>-H9*'Single Project Assumptions'!$H$42</f>
        <v>0</v>
      </c>
      <c r="I10" s="22">
        <f>-I9*'Single Project Assumptions'!$H$42</f>
        <v>0</v>
      </c>
      <c r="J10" s="22">
        <f>-J9*'Single Project Assumptions'!$H$42</f>
        <v>0</v>
      </c>
      <c r="K10" s="22">
        <f>-K9*'Single Project Assumptions'!$H$42</f>
        <v>0</v>
      </c>
      <c r="L10" s="22">
        <f>-L9*'Single Project Assumptions'!$H$42</f>
        <v>0</v>
      </c>
      <c r="M10" s="22">
        <f>-M9*'Single Project Assumptions'!$H$42</f>
        <v>0</v>
      </c>
      <c r="N10" s="22">
        <f>-N9*'Single Project Assumptions'!$H$42</f>
        <v>0</v>
      </c>
      <c r="O10" s="22">
        <f>-O9*'Single Project Assumptions'!$H$42</f>
        <v>0</v>
      </c>
      <c r="P10" s="22">
        <f>-P9*'Single Project Assumptions'!$H$42</f>
        <v>0</v>
      </c>
      <c r="Q10" s="22">
        <f>-Q9*'Single Project Assumptions'!$H$42</f>
        <v>0</v>
      </c>
      <c r="R10" s="22">
        <f>-R9*'Single Project Assumptions'!$H$42</f>
        <v>0</v>
      </c>
      <c r="S10" s="22">
        <f>-S9*'Single Project Assumptions'!$H$42</f>
        <v>0</v>
      </c>
      <c r="T10" s="22">
        <f>-T9*'Single Project Assumptions'!$H$42</f>
        <v>0</v>
      </c>
      <c r="U10" s="22">
        <f>-U9*'Single Project Assumptions'!$H$42</f>
        <v>0</v>
      </c>
      <c r="V10" s="22">
        <f>-V9*'Single Project Assumptions'!$H$42</f>
        <v>0</v>
      </c>
      <c r="W10" s="22">
        <f>-W9*'Single Project Assumptions'!$H$42</f>
        <v>0</v>
      </c>
      <c r="X10" s="22">
        <f>-X9*'Single Project Assumptions'!$H$42</f>
        <v>0</v>
      </c>
      <c r="Y10" s="22">
        <f>-Y9*'Single Project Assumptions'!$H$42</f>
        <v>0</v>
      </c>
      <c r="Z10" s="22">
        <f>-Z9*'Single Project Assumptions'!$H$42</f>
        <v>0</v>
      </c>
      <c r="AA10" s="22">
        <f>-AA9*'Single Project Assumptions'!$H$42</f>
        <v>0</v>
      </c>
      <c r="AB10" s="22">
        <f>-AB9*'Single Project Assumptions'!$H$42</f>
        <v>0</v>
      </c>
      <c r="AC10" s="22">
        <f>-AC9*'Single Project Assumptions'!$H$42</f>
        <v>-56250</v>
      </c>
      <c r="AD10" s="22">
        <f>-AD9*'Single Project Assumptions'!$H$42</f>
        <v>0</v>
      </c>
      <c r="AE10" s="22">
        <f>-AE9*'Single Project Assumptions'!$H$42</f>
        <v>0</v>
      </c>
      <c r="AF10" s="22">
        <f>-AF9*'Single Project Assumptions'!$H$42</f>
        <v>0</v>
      </c>
      <c r="AG10" s="22">
        <f>-AG9*'Single Project Assumptions'!$H$42</f>
        <v>0</v>
      </c>
      <c r="AH10" s="22">
        <f>-AH9*'Single Project Assumptions'!$H$42</f>
        <v>0</v>
      </c>
      <c r="AI10" s="22">
        <f>-AI9*'Single Project Assumptions'!$H$42</f>
        <v>0</v>
      </c>
      <c r="AJ10" s="22">
        <f>-AJ9*'Single Project Assumptions'!$H$42</f>
        <v>0</v>
      </c>
      <c r="AK10" s="22">
        <f>-AK9*'Single Project Assumptions'!$H$42</f>
        <v>0</v>
      </c>
      <c r="AL10" s="22">
        <f>-AL9*'Single Project Assumptions'!$H$42</f>
        <v>0</v>
      </c>
      <c r="AM10" s="22">
        <f>-AM9*'Single Project Assumptions'!$H$42</f>
        <v>0</v>
      </c>
      <c r="AN10" s="22">
        <f>-AN9*'Single Project Assumptions'!$H$42</f>
        <v>0</v>
      </c>
      <c r="AO10" s="22">
        <f>-AO9*'Single Project Assumptions'!$H$42</f>
        <v>0</v>
      </c>
      <c r="AP10" s="22">
        <f>-AP9*'Single Project Assumptions'!$H$42</f>
        <v>0</v>
      </c>
      <c r="AQ10" s="22">
        <f>-AQ9*'Single Project Assumptions'!$H$42</f>
        <v>0</v>
      </c>
      <c r="AR10" s="22">
        <f>-AR9*'Single Project Assumptions'!$H$42</f>
        <v>0</v>
      </c>
      <c r="AS10" s="22">
        <f>-AS9*'Single Project Assumptions'!$H$42</f>
        <v>0</v>
      </c>
      <c r="AT10" s="22">
        <f>-AT9*'Single Project Assumptions'!$H$42</f>
        <v>0</v>
      </c>
      <c r="AU10" s="22">
        <f>-AU9*'Single Project Assumptions'!$H$42</f>
        <v>0</v>
      </c>
      <c r="AV10" s="22">
        <f>-AV9*'Single Project Assumptions'!$H$42</f>
        <v>0</v>
      </c>
      <c r="AW10" s="22">
        <f>-AW9*'Single Project Assumptions'!$H$42</f>
        <v>0</v>
      </c>
      <c r="AX10" s="22">
        <f>-AX9*'Single Project Assumptions'!$H$42</f>
        <v>0</v>
      </c>
      <c r="AY10" s="22">
        <f>-AY9*'Single Project Assumptions'!$H$42</f>
        <v>0</v>
      </c>
      <c r="AZ10" s="22">
        <f>-AZ9*'Single Project Assumptions'!$H$42</f>
        <v>0</v>
      </c>
      <c r="BA10" s="22">
        <f>-BA9*'Single Project Assumptions'!$H$42</f>
        <v>0</v>
      </c>
      <c r="BB10" s="22">
        <f>-BB9*'Single Project Assumptions'!$H$42</f>
        <v>0</v>
      </c>
      <c r="BC10" s="22">
        <f>-BC9*'Single Project Assumptions'!$H$42</f>
        <v>0</v>
      </c>
      <c r="BD10" s="22">
        <f>-BD9*'Single Project Assumptions'!$H$42</f>
        <v>0</v>
      </c>
      <c r="BE10" s="22">
        <f>-BE9*'Single Project Assumptions'!$H$42</f>
        <v>0</v>
      </c>
      <c r="BF10" s="22">
        <f>-BF9*'Single Project Assumptions'!$H$42</f>
        <v>0</v>
      </c>
      <c r="BG10" s="22">
        <f>-BG9*'Single Project Assumptions'!$H$42</f>
        <v>0</v>
      </c>
      <c r="BH10" s="22">
        <f>-BH9*'Single Project Assumptions'!$H$42</f>
        <v>0</v>
      </c>
      <c r="BI10" s="22">
        <f>-BI9*'Single Project Assumptions'!$H$42</f>
        <v>0</v>
      </c>
      <c r="BJ10" s="22">
        <f>-BJ9*'Single Project Assumptions'!$H$42</f>
        <v>0</v>
      </c>
      <c r="BK10" s="22">
        <f>-BK9*'Single Project Assumptions'!$H$42</f>
        <v>0</v>
      </c>
      <c r="BL10" s="22">
        <f>-BL9*'Single Project Assumptions'!$H$42</f>
        <v>0</v>
      </c>
      <c r="BM10" s="22">
        <f>-BM9*'Single Project Assumptions'!$H$42</f>
        <v>0</v>
      </c>
      <c r="BN10" s="22">
        <f>-BN9*'Single Project Assumptions'!$H$42</f>
        <v>0</v>
      </c>
      <c r="BO10" s="22">
        <f>-BO9*'Single Project Assumptions'!$H$42</f>
        <v>0</v>
      </c>
      <c r="BP10" s="22">
        <f>-BP9*'Single Project Assumptions'!$H$42</f>
        <v>0</v>
      </c>
      <c r="BQ10" s="22">
        <f>-BQ9*'Single Project Assumptions'!$H$42</f>
        <v>0</v>
      </c>
      <c r="BR10" s="22">
        <f>-BR9*'Single Project Assumptions'!$H$42</f>
        <v>0</v>
      </c>
      <c r="BS10" s="22">
        <f>-BS9*'Single Project Assumptions'!$H$42</f>
        <v>0</v>
      </c>
      <c r="BT10" s="22">
        <f>-BT9*'Single Project Assumptions'!$H$42</f>
        <v>0</v>
      </c>
      <c r="BU10" s="22">
        <f>-BU9*'Single Project Assumptions'!$H$42</f>
        <v>0</v>
      </c>
      <c r="BV10" s="22">
        <f>-BV9*'Single Project Assumptions'!$H$42</f>
        <v>0</v>
      </c>
      <c r="BW10" s="22">
        <f>-BW9*'Single Project Assumptions'!$H$42</f>
        <v>0</v>
      </c>
      <c r="BX10" s="22">
        <f>-BX9*'Single Project Assumptions'!$H$42</f>
        <v>0</v>
      </c>
      <c r="BY10" s="22">
        <f>-BY9*'Single Project Assumptions'!$H$42</f>
        <v>0</v>
      </c>
      <c r="BZ10" s="22">
        <f>-BZ9*'Single Project Assumptions'!$H$42</f>
        <v>0</v>
      </c>
      <c r="CA10" s="22">
        <f>-CA9*'Single Project Assumptions'!$H$42</f>
        <v>0</v>
      </c>
      <c r="CB10" s="22">
        <f>-CB9*'Single Project Assumptions'!$H$42</f>
        <v>0</v>
      </c>
      <c r="CC10" s="22">
        <f>-CC9*'Single Project Assumptions'!$H$42</f>
        <v>0</v>
      </c>
      <c r="CD10" s="22">
        <f>-CD9*'Single Project Assumptions'!$H$42</f>
        <v>0</v>
      </c>
      <c r="CE10" s="22">
        <f>-CE9*'Single Project Assumptions'!$H$42</f>
        <v>0</v>
      </c>
      <c r="CF10" s="22">
        <f>-CF9*'Single Project Assumptions'!$H$42</f>
        <v>0</v>
      </c>
      <c r="CG10" s="22">
        <f>-CG9*'Single Project Assumptions'!$H$42</f>
        <v>0</v>
      </c>
      <c r="CH10" s="22">
        <f>-CH9*'Single Project Assumptions'!$H$42</f>
        <v>0</v>
      </c>
      <c r="CI10" s="22">
        <f>-CI9*'Single Project Assumptions'!$H$42</f>
        <v>0</v>
      </c>
      <c r="CJ10" s="22">
        <f>-CJ9*'Single Project Assumptions'!$H$42</f>
        <v>0</v>
      </c>
      <c r="CK10" s="22">
        <f>-CK9*'Single Project Assumptions'!$H$42</f>
        <v>0</v>
      </c>
      <c r="CL10" s="22">
        <f>-CL9*'Single Project Assumptions'!$H$42</f>
        <v>0</v>
      </c>
      <c r="CM10" s="22">
        <f>-CM9*'Single Project Assumptions'!$H$42</f>
        <v>0</v>
      </c>
      <c r="CN10" s="22">
        <f>-CN9*'Single Project Assumptions'!$H$42</f>
        <v>0</v>
      </c>
      <c r="CO10" s="22">
        <f>-CO9*'Single Project Assumptions'!$H$42</f>
        <v>0</v>
      </c>
      <c r="CP10" s="22">
        <f>-CP9*'Single Project Assumptions'!$H$42</f>
        <v>0</v>
      </c>
      <c r="CQ10" s="22">
        <f>-CQ9*'Single Project Assumptions'!$H$42</f>
        <v>0</v>
      </c>
      <c r="CR10" s="22">
        <f>-CR9*'Single Project Assumptions'!$H$42</f>
        <v>0</v>
      </c>
      <c r="CS10" s="22">
        <f>-CS9*'Single Project Assumptions'!$H$42</f>
        <v>0</v>
      </c>
      <c r="CT10" s="22">
        <f>-CT9*'Single Project Assumptions'!$H$42</f>
        <v>0</v>
      </c>
      <c r="CU10" s="22">
        <f>-CU9*'Single Project Assumptions'!$H$42</f>
        <v>0</v>
      </c>
      <c r="CV10" s="22">
        <f>-CV9*'Single Project Assumptions'!$H$42</f>
        <v>0</v>
      </c>
      <c r="CW10" s="22">
        <f>-CW9*'Single Project Assumptions'!$H$42</f>
        <v>0</v>
      </c>
      <c r="CX10" s="22">
        <f>-CX9*'Single Project Assumptions'!$H$42</f>
        <v>0</v>
      </c>
      <c r="CY10" s="22">
        <f>-CY9*'Single Project Assumptions'!$H$42</f>
        <v>0</v>
      </c>
      <c r="CZ10" s="22">
        <f>-CZ9*'Single Project Assumptions'!$H$42</f>
        <v>0</v>
      </c>
      <c r="DA10" s="22">
        <f>-DA9*'Single Project Assumptions'!$H$42</f>
        <v>0</v>
      </c>
      <c r="DB10" s="22">
        <f>-DB9*'Single Project Assumptions'!$H$42</f>
        <v>0</v>
      </c>
      <c r="DC10" s="22">
        <f>-DC9*'Single Project Assumptions'!$H$42</f>
        <v>0</v>
      </c>
      <c r="DD10" s="22">
        <f>-DD9*'Single Project Assumptions'!$H$42</f>
        <v>0</v>
      </c>
      <c r="DE10" s="22">
        <f>-DE9*'Single Project Assumptions'!$H$42</f>
        <v>0</v>
      </c>
      <c r="DF10" s="22">
        <f>-DF9*'Single Project Assumptions'!$H$42</f>
        <v>0</v>
      </c>
      <c r="DG10" s="22">
        <f>-DG9*'Single Project Assumptions'!$H$42</f>
        <v>0</v>
      </c>
      <c r="DH10" s="22">
        <f>-DH9*'Single Project Assumptions'!$H$42</f>
        <v>0</v>
      </c>
      <c r="DI10" s="22">
        <f>-DI9*'Single Project Assumptions'!$H$42</f>
        <v>0</v>
      </c>
      <c r="DJ10" s="22">
        <f>-DJ9*'Single Project Assumptions'!$H$42</f>
        <v>0</v>
      </c>
      <c r="DK10" s="22">
        <f>-DK9*'Single Project Assumptions'!$H$42</f>
        <v>0</v>
      </c>
      <c r="DL10" s="22">
        <f>-DL9*'Single Project Assumptions'!$H$42</f>
        <v>0</v>
      </c>
      <c r="DM10" s="22">
        <f>-DM9*'Single Project Assumptions'!$H$42</f>
        <v>0</v>
      </c>
      <c r="DN10" s="22">
        <f>-DN9*'Single Project Assumptions'!$H$42</f>
        <v>0</v>
      </c>
      <c r="DO10" s="22">
        <f>-DO9*'Single Project Assumptions'!$H$42</f>
        <v>0</v>
      </c>
      <c r="DP10" s="22">
        <f>-DP9*'Single Project Assumptions'!$H$42</f>
        <v>0</v>
      </c>
      <c r="DQ10" s="22">
        <f>-DQ9*'Single Project Assumptions'!$H$42</f>
        <v>0</v>
      </c>
      <c r="DR10" s="22">
        <f>-DR9*'Single Project Assumptions'!$H$42</f>
        <v>0</v>
      </c>
      <c r="DS10" s="22">
        <f>-DS9*'Single Project Assumptions'!$H$42</f>
        <v>0</v>
      </c>
      <c r="DT10" s="22">
        <f>-DT9*'Single Project Assumptions'!$H$42</f>
        <v>0</v>
      </c>
      <c r="DU10" s="22">
        <f>-DU9*'Single Project Assumptions'!$H$42</f>
        <v>0</v>
      </c>
    </row>
    <row r="11" spans="3:125" s="3" customFormat="1" ht="22.95" customHeight="1">
      <c r="C11" s="26" t="s">
        <v>248</v>
      </c>
      <c r="D11" s="27">
        <f t="shared" si="8"/>
        <v>1706250</v>
      </c>
      <c r="E11" s="28">
        <f t="shared" ref="E11:AJ11" si="9">SUM(E6:E10)</f>
        <v>0</v>
      </c>
      <c r="F11" s="28">
        <f t="shared" si="9"/>
        <v>0</v>
      </c>
      <c r="G11" s="28">
        <f t="shared" si="9"/>
        <v>0</v>
      </c>
      <c r="H11" s="28">
        <f t="shared" si="9"/>
        <v>0</v>
      </c>
      <c r="I11" s="28">
        <f t="shared" si="9"/>
        <v>0</v>
      </c>
      <c r="J11" s="28">
        <f t="shared" si="9"/>
        <v>0</v>
      </c>
      <c r="K11" s="28">
        <f t="shared" si="9"/>
        <v>-318750</v>
      </c>
      <c r="L11" s="28">
        <f t="shared" si="9"/>
        <v>-318750</v>
      </c>
      <c r="M11" s="28">
        <f t="shared" si="9"/>
        <v>-318750</v>
      </c>
      <c r="N11" s="28">
        <f t="shared" si="9"/>
        <v>-318750</v>
      </c>
      <c r="O11" s="28">
        <f t="shared" si="9"/>
        <v>-318750</v>
      </c>
      <c r="P11" s="28">
        <f t="shared" si="9"/>
        <v>-318750</v>
      </c>
      <c r="Q11" s="28">
        <f t="shared" si="9"/>
        <v>-318750</v>
      </c>
      <c r="R11" s="28">
        <f t="shared" si="9"/>
        <v>-318750</v>
      </c>
      <c r="S11" s="28">
        <f t="shared" si="9"/>
        <v>-318750</v>
      </c>
      <c r="T11" s="28">
        <f t="shared" si="9"/>
        <v>-318750</v>
      </c>
      <c r="U11" s="28">
        <f t="shared" si="9"/>
        <v>-318750</v>
      </c>
      <c r="V11" s="28">
        <f t="shared" si="9"/>
        <v>-318750</v>
      </c>
      <c r="W11" s="28">
        <f t="shared" si="9"/>
        <v>-37500</v>
      </c>
      <c r="X11" s="28">
        <f t="shared" si="9"/>
        <v>0</v>
      </c>
      <c r="Y11" s="28">
        <f t="shared" si="9"/>
        <v>0</v>
      </c>
      <c r="Z11" s="28">
        <f t="shared" si="9"/>
        <v>0</v>
      </c>
      <c r="AA11" s="28">
        <f t="shared" si="9"/>
        <v>0</v>
      </c>
      <c r="AB11" s="28">
        <f t="shared" si="9"/>
        <v>0</v>
      </c>
      <c r="AC11" s="28">
        <f t="shared" si="9"/>
        <v>5568750</v>
      </c>
      <c r="AD11" s="28">
        <f t="shared" si="9"/>
        <v>0</v>
      </c>
      <c r="AE11" s="28">
        <f t="shared" si="9"/>
        <v>0</v>
      </c>
      <c r="AF11" s="28">
        <f t="shared" si="9"/>
        <v>0</v>
      </c>
      <c r="AG11" s="28">
        <f t="shared" si="9"/>
        <v>0</v>
      </c>
      <c r="AH11" s="28">
        <f t="shared" si="9"/>
        <v>0</v>
      </c>
      <c r="AI11" s="28">
        <f t="shared" si="9"/>
        <v>0</v>
      </c>
      <c r="AJ11" s="28">
        <f t="shared" si="9"/>
        <v>0</v>
      </c>
      <c r="AK11" s="28">
        <f t="shared" ref="AK11:BP11" si="10">SUM(AK6:AK10)</f>
        <v>0</v>
      </c>
      <c r="AL11" s="28">
        <f t="shared" si="10"/>
        <v>0</v>
      </c>
      <c r="AM11" s="28">
        <f t="shared" si="10"/>
        <v>0</v>
      </c>
      <c r="AN11" s="28">
        <f t="shared" si="10"/>
        <v>0</v>
      </c>
      <c r="AO11" s="28">
        <f t="shared" si="10"/>
        <v>0</v>
      </c>
      <c r="AP11" s="28">
        <f t="shared" si="10"/>
        <v>0</v>
      </c>
      <c r="AQ11" s="28">
        <f t="shared" si="10"/>
        <v>0</v>
      </c>
      <c r="AR11" s="28">
        <f t="shared" si="10"/>
        <v>0</v>
      </c>
      <c r="AS11" s="28">
        <f t="shared" si="10"/>
        <v>0</v>
      </c>
      <c r="AT11" s="28">
        <f t="shared" si="10"/>
        <v>0</v>
      </c>
      <c r="AU11" s="28">
        <f t="shared" si="10"/>
        <v>0</v>
      </c>
      <c r="AV11" s="28">
        <f t="shared" si="10"/>
        <v>0</v>
      </c>
      <c r="AW11" s="28">
        <f t="shared" si="10"/>
        <v>0</v>
      </c>
      <c r="AX11" s="28">
        <f t="shared" si="10"/>
        <v>0</v>
      </c>
      <c r="AY11" s="28">
        <f t="shared" si="10"/>
        <v>0</v>
      </c>
      <c r="AZ11" s="28">
        <f t="shared" si="10"/>
        <v>0</v>
      </c>
      <c r="BA11" s="28">
        <f t="shared" si="10"/>
        <v>0</v>
      </c>
      <c r="BB11" s="28">
        <f t="shared" si="10"/>
        <v>0</v>
      </c>
      <c r="BC11" s="28">
        <f t="shared" si="10"/>
        <v>0</v>
      </c>
      <c r="BD11" s="28">
        <f t="shared" si="10"/>
        <v>0</v>
      </c>
      <c r="BE11" s="28">
        <f t="shared" si="10"/>
        <v>0</v>
      </c>
      <c r="BF11" s="28">
        <f t="shared" si="10"/>
        <v>0</v>
      </c>
      <c r="BG11" s="28">
        <f t="shared" si="10"/>
        <v>0</v>
      </c>
      <c r="BH11" s="28">
        <f t="shared" si="10"/>
        <v>0</v>
      </c>
      <c r="BI11" s="28">
        <f t="shared" si="10"/>
        <v>0</v>
      </c>
      <c r="BJ11" s="28">
        <f t="shared" si="10"/>
        <v>0</v>
      </c>
      <c r="BK11" s="28">
        <f t="shared" si="10"/>
        <v>0</v>
      </c>
      <c r="BL11" s="28">
        <f t="shared" si="10"/>
        <v>0</v>
      </c>
      <c r="BM11" s="28">
        <f t="shared" si="10"/>
        <v>0</v>
      </c>
      <c r="BN11" s="28">
        <f t="shared" si="10"/>
        <v>0</v>
      </c>
      <c r="BO11" s="28">
        <f t="shared" si="10"/>
        <v>0</v>
      </c>
      <c r="BP11" s="28">
        <f t="shared" si="10"/>
        <v>0</v>
      </c>
      <c r="BQ11" s="28">
        <f t="shared" ref="BQ11:CV11" si="11">SUM(BQ6:BQ10)</f>
        <v>0</v>
      </c>
      <c r="BR11" s="28">
        <f t="shared" si="11"/>
        <v>0</v>
      </c>
      <c r="BS11" s="28">
        <f t="shared" si="11"/>
        <v>0</v>
      </c>
      <c r="BT11" s="28">
        <f t="shared" si="11"/>
        <v>0</v>
      </c>
      <c r="BU11" s="28">
        <f t="shared" si="11"/>
        <v>0</v>
      </c>
      <c r="BV11" s="28">
        <f t="shared" si="11"/>
        <v>0</v>
      </c>
      <c r="BW11" s="28">
        <f t="shared" si="11"/>
        <v>0</v>
      </c>
      <c r="BX11" s="28">
        <f t="shared" si="11"/>
        <v>0</v>
      </c>
      <c r="BY11" s="28">
        <f t="shared" si="11"/>
        <v>0</v>
      </c>
      <c r="BZ11" s="28">
        <f t="shared" si="11"/>
        <v>0</v>
      </c>
      <c r="CA11" s="28">
        <f t="shared" si="11"/>
        <v>0</v>
      </c>
      <c r="CB11" s="28">
        <f t="shared" si="11"/>
        <v>0</v>
      </c>
      <c r="CC11" s="28">
        <f t="shared" si="11"/>
        <v>0</v>
      </c>
      <c r="CD11" s="28">
        <f t="shared" si="11"/>
        <v>0</v>
      </c>
      <c r="CE11" s="28">
        <f t="shared" si="11"/>
        <v>0</v>
      </c>
      <c r="CF11" s="28">
        <f t="shared" si="11"/>
        <v>0</v>
      </c>
      <c r="CG11" s="28">
        <f t="shared" si="11"/>
        <v>0</v>
      </c>
      <c r="CH11" s="28">
        <f t="shared" si="11"/>
        <v>0</v>
      </c>
      <c r="CI11" s="28">
        <f t="shared" si="11"/>
        <v>0</v>
      </c>
      <c r="CJ11" s="28">
        <f t="shared" si="11"/>
        <v>0</v>
      </c>
      <c r="CK11" s="28">
        <f t="shared" si="11"/>
        <v>0</v>
      </c>
      <c r="CL11" s="28">
        <f t="shared" si="11"/>
        <v>0</v>
      </c>
      <c r="CM11" s="28">
        <f t="shared" si="11"/>
        <v>0</v>
      </c>
      <c r="CN11" s="28">
        <f t="shared" si="11"/>
        <v>0</v>
      </c>
      <c r="CO11" s="28">
        <f t="shared" si="11"/>
        <v>0</v>
      </c>
      <c r="CP11" s="28">
        <f t="shared" si="11"/>
        <v>0</v>
      </c>
      <c r="CQ11" s="28">
        <f t="shared" si="11"/>
        <v>0</v>
      </c>
      <c r="CR11" s="28">
        <f t="shared" si="11"/>
        <v>0</v>
      </c>
      <c r="CS11" s="28">
        <f t="shared" si="11"/>
        <v>0</v>
      </c>
      <c r="CT11" s="28">
        <f t="shared" si="11"/>
        <v>0</v>
      </c>
      <c r="CU11" s="28">
        <f t="shared" si="11"/>
        <v>0</v>
      </c>
      <c r="CV11" s="28">
        <f t="shared" si="11"/>
        <v>0</v>
      </c>
      <c r="CW11" s="28">
        <f t="shared" ref="CW11:DU11" si="12">SUM(CW6:CW10)</f>
        <v>0</v>
      </c>
      <c r="CX11" s="28">
        <f t="shared" si="12"/>
        <v>0</v>
      </c>
      <c r="CY11" s="28">
        <f t="shared" si="12"/>
        <v>0</v>
      </c>
      <c r="CZ11" s="28">
        <f t="shared" si="12"/>
        <v>0</v>
      </c>
      <c r="DA11" s="28">
        <f t="shared" si="12"/>
        <v>0</v>
      </c>
      <c r="DB11" s="28">
        <f t="shared" si="12"/>
        <v>0</v>
      </c>
      <c r="DC11" s="28">
        <f t="shared" si="12"/>
        <v>0</v>
      </c>
      <c r="DD11" s="28">
        <f t="shared" si="12"/>
        <v>0</v>
      </c>
      <c r="DE11" s="28">
        <f t="shared" si="12"/>
        <v>0</v>
      </c>
      <c r="DF11" s="28">
        <f t="shared" si="12"/>
        <v>0</v>
      </c>
      <c r="DG11" s="28">
        <f t="shared" si="12"/>
        <v>0</v>
      </c>
      <c r="DH11" s="28">
        <f t="shared" si="12"/>
        <v>0</v>
      </c>
      <c r="DI11" s="28">
        <f t="shared" si="12"/>
        <v>0</v>
      </c>
      <c r="DJ11" s="28">
        <f t="shared" si="12"/>
        <v>0</v>
      </c>
      <c r="DK11" s="28">
        <f t="shared" si="12"/>
        <v>0</v>
      </c>
      <c r="DL11" s="28">
        <f t="shared" si="12"/>
        <v>0</v>
      </c>
      <c r="DM11" s="28">
        <f t="shared" si="12"/>
        <v>0</v>
      </c>
      <c r="DN11" s="28">
        <f t="shared" si="12"/>
        <v>0</v>
      </c>
      <c r="DO11" s="28">
        <f t="shared" si="12"/>
        <v>0</v>
      </c>
      <c r="DP11" s="28">
        <f t="shared" si="12"/>
        <v>0</v>
      </c>
      <c r="DQ11" s="28">
        <f t="shared" si="12"/>
        <v>0</v>
      </c>
      <c r="DR11" s="28">
        <f t="shared" si="12"/>
        <v>0</v>
      </c>
      <c r="DS11" s="28">
        <f t="shared" si="12"/>
        <v>0</v>
      </c>
      <c r="DT11" s="28">
        <f t="shared" si="12"/>
        <v>0</v>
      </c>
      <c r="DU11" s="28">
        <f t="shared" si="12"/>
        <v>0</v>
      </c>
    </row>
    <row r="12" spans="3:125" s="3" customFormat="1" ht="22.95" customHeight="1">
      <c r="C12" s="31" t="s">
        <v>234</v>
      </c>
      <c r="D12" s="32">
        <f>-MIN(E12:DU12)</f>
        <v>3862500</v>
      </c>
      <c r="E12" s="33">
        <f>E11</f>
        <v>0</v>
      </c>
      <c r="F12" s="33">
        <f t="shared" ref="F12:AK12" si="13">E12+F11</f>
        <v>0</v>
      </c>
      <c r="G12" s="33">
        <f t="shared" si="13"/>
        <v>0</v>
      </c>
      <c r="H12" s="33">
        <f t="shared" si="13"/>
        <v>0</v>
      </c>
      <c r="I12" s="33">
        <f t="shared" si="13"/>
        <v>0</v>
      </c>
      <c r="J12" s="33">
        <f t="shared" si="13"/>
        <v>0</v>
      </c>
      <c r="K12" s="33">
        <f t="shared" si="13"/>
        <v>-318750</v>
      </c>
      <c r="L12" s="33">
        <f t="shared" si="13"/>
        <v>-637500</v>
      </c>
      <c r="M12" s="33">
        <f t="shared" si="13"/>
        <v>-956250</v>
      </c>
      <c r="N12" s="33">
        <f t="shared" si="13"/>
        <v>-1275000</v>
      </c>
      <c r="O12" s="33">
        <f t="shared" si="13"/>
        <v>-1593750</v>
      </c>
      <c r="P12" s="33">
        <f t="shared" si="13"/>
        <v>-1912500</v>
      </c>
      <c r="Q12" s="33">
        <f t="shared" si="13"/>
        <v>-2231250</v>
      </c>
      <c r="R12" s="33">
        <f t="shared" si="13"/>
        <v>-2550000</v>
      </c>
      <c r="S12" s="33">
        <f t="shared" si="13"/>
        <v>-2868750</v>
      </c>
      <c r="T12" s="33">
        <f t="shared" si="13"/>
        <v>-3187500</v>
      </c>
      <c r="U12" s="33">
        <f t="shared" si="13"/>
        <v>-3506250</v>
      </c>
      <c r="V12" s="33">
        <f t="shared" si="13"/>
        <v>-3825000</v>
      </c>
      <c r="W12" s="33">
        <f t="shared" si="13"/>
        <v>-3862500</v>
      </c>
      <c r="X12" s="33">
        <f t="shared" si="13"/>
        <v>-3862500</v>
      </c>
      <c r="Y12" s="33">
        <f t="shared" si="13"/>
        <v>-3862500</v>
      </c>
      <c r="Z12" s="33">
        <f t="shared" si="13"/>
        <v>-3862500</v>
      </c>
      <c r="AA12" s="33">
        <f t="shared" si="13"/>
        <v>-3862500</v>
      </c>
      <c r="AB12" s="33">
        <f t="shared" si="13"/>
        <v>-3862500</v>
      </c>
      <c r="AC12" s="33">
        <f t="shared" si="13"/>
        <v>1706250</v>
      </c>
      <c r="AD12" s="33">
        <f t="shared" si="13"/>
        <v>1706250</v>
      </c>
      <c r="AE12" s="33">
        <f t="shared" si="13"/>
        <v>1706250</v>
      </c>
      <c r="AF12" s="33">
        <f t="shared" si="13"/>
        <v>1706250</v>
      </c>
      <c r="AG12" s="33">
        <f t="shared" si="13"/>
        <v>1706250</v>
      </c>
      <c r="AH12" s="33">
        <f t="shared" si="13"/>
        <v>1706250</v>
      </c>
      <c r="AI12" s="33">
        <f t="shared" si="13"/>
        <v>1706250</v>
      </c>
      <c r="AJ12" s="33">
        <f t="shared" si="13"/>
        <v>1706250</v>
      </c>
      <c r="AK12" s="33">
        <f t="shared" si="13"/>
        <v>1706250</v>
      </c>
      <c r="AL12" s="33">
        <f t="shared" ref="AL12:BQ12" si="14">AK12+AL11</f>
        <v>1706250</v>
      </c>
      <c r="AM12" s="33">
        <f t="shared" si="14"/>
        <v>1706250</v>
      </c>
      <c r="AN12" s="33">
        <f t="shared" si="14"/>
        <v>1706250</v>
      </c>
      <c r="AO12" s="33">
        <f t="shared" si="14"/>
        <v>1706250</v>
      </c>
      <c r="AP12" s="33">
        <f t="shared" si="14"/>
        <v>1706250</v>
      </c>
      <c r="AQ12" s="33">
        <f t="shared" si="14"/>
        <v>1706250</v>
      </c>
      <c r="AR12" s="33">
        <f t="shared" si="14"/>
        <v>1706250</v>
      </c>
      <c r="AS12" s="33">
        <f t="shared" si="14"/>
        <v>1706250</v>
      </c>
      <c r="AT12" s="33">
        <f t="shared" si="14"/>
        <v>1706250</v>
      </c>
      <c r="AU12" s="33">
        <f t="shared" si="14"/>
        <v>1706250</v>
      </c>
      <c r="AV12" s="33">
        <f t="shared" si="14"/>
        <v>1706250</v>
      </c>
      <c r="AW12" s="33">
        <f t="shared" si="14"/>
        <v>1706250</v>
      </c>
      <c r="AX12" s="33">
        <f t="shared" si="14"/>
        <v>1706250</v>
      </c>
      <c r="AY12" s="33">
        <f t="shared" si="14"/>
        <v>1706250</v>
      </c>
      <c r="AZ12" s="33">
        <f t="shared" si="14"/>
        <v>1706250</v>
      </c>
      <c r="BA12" s="33">
        <f t="shared" si="14"/>
        <v>1706250</v>
      </c>
      <c r="BB12" s="33">
        <f t="shared" si="14"/>
        <v>1706250</v>
      </c>
      <c r="BC12" s="33">
        <f t="shared" si="14"/>
        <v>1706250</v>
      </c>
      <c r="BD12" s="33">
        <f t="shared" si="14"/>
        <v>1706250</v>
      </c>
      <c r="BE12" s="33">
        <f t="shared" si="14"/>
        <v>1706250</v>
      </c>
      <c r="BF12" s="33">
        <f t="shared" si="14"/>
        <v>1706250</v>
      </c>
      <c r="BG12" s="33">
        <f t="shared" si="14"/>
        <v>1706250</v>
      </c>
      <c r="BH12" s="33">
        <f t="shared" si="14"/>
        <v>1706250</v>
      </c>
      <c r="BI12" s="33">
        <f t="shared" si="14"/>
        <v>1706250</v>
      </c>
      <c r="BJ12" s="33">
        <f t="shared" si="14"/>
        <v>1706250</v>
      </c>
      <c r="BK12" s="33">
        <f t="shared" si="14"/>
        <v>1706250</v>
      </c>
      <c r="BL12" s="33">
        <f t="shared" si="14"/>
        <v>1706250</v>
      </c>
      <c r="BM12" s="33">
        <f t="shared" si="14"/>
        <v>1706250</v>
      </c>
      <c r="BN12" s="33">
        <f t="shared" si="14"/>
        <v>1706250</v>
      </c>
      <c r="BO12" s="33">
        <f t="shared" si="14"/>
        <v>1706250</v>
      </c>
      <c r="BP12" s="33">
        <f t="shared" si="14"/>
        <v>1706250</v>
      </c>
      <c r="BQ12" s="33">
        <f t="shared" si="14"/>
        <v>1706250</v>
      </c>
      <c r="BR12" s="33">
        <f t="shared" ref="BR12:CW12" si="15">BQ12+BR11</f>
        <v>1706250</v>
      </c>
      <c r="BS12" s="33">
        <f t="shared" si="15"/>
        <v>1706250</v>
      </c>
      <c r="BT12" s="33">
        <f t="shared" si="15"/>
        <v>1706250</v>
      </c>
      <c r="BU12" s="33">
        <f t="shared" si="15"/>
        <v>1706250</v>
      </c>
      <c r="BV12" s="33">
        <f t="shared" si="15"/>
        <v>1706250</v>
      </c>
      <c r="BW12" s="33">
        <f t="shared" si="15"/>
        <v>1706250</v>
      </c>
      <c r="BX12" s="33">
        <f t="shared" si="15"/>
        <v>1706250</v>
      </c>
      <c r="BY12" s="33">
        <f t="shared" si="15"/>
        <v>1706250</v>
      </c>
      <c r="BZ12" s="33">
        <f t="shared" si="15"/>
        <v>1706250</v>
      </c>
      <c r="CA12" s="33">
        <f t="shared" si="15"/>
        <v>1706250</v>
      </c>
      <c r="CB12" s="33">
        <f t="shared" si="15"/>
        <v>1706250</v>
      </c>
      <c r="CC12" s="33">
        <f t="shared" si="15"/>
        <v>1706250</v>
      </c>
      <c r="CD12" s="33">
        <f t="shared" si="15"/>
        <v>1706250</v>
      </c>
      <c r="CE12" s="33">
        <f t="shared" si="15"/>
        <v>1706250</v>
      </c>
      <c r="CF12" s="33">
        <f t="shared" si="15"/>
        <v>1706250</v>
      </c>
      <c r="CG12" s="33">
        <f t="shared" si="15"/>
        <v>1706250</v>
      </c>
      <c r="CH12" s="33">
        <f t="shared" si="15"/>
        <v>1706250</v>
      </c>
      <c r="CI12" s="33">
        <f t="shared" si="15"/>
        <v>1706250</v>
      </c>
      <c r="CJ12" s="33">
        <f t="shared" si="15"/>
        <v>1706250</v>
      </c>
      <c r="CK12" s="33">
        <f t="shared" si="15"/>
        <v>1706250</v>
      </c>
      <c r="CL12" s="33">
        <f t="shared" si="15"/>
        <v>1706250</v>
      </c>
      <c r="CM12" s="33">
        <f t="shared" si="15"/>
        <v>1706250</v>
      </c>
      <c r="CN12" s="33">
        <f t="shared" si="15"/>
        <v>1706250</v>
      </c>
      <c r="CO12" s="33">
        <f t="shared" si="15"/>
        <v>1706250</v>
      </c>
      <c r="CP12" s="33">
        <f t="shared" si="15"/>
        <v>1706250</v>
      </c>
      <c r="CQ12" s="33">
        <f t="shared" si="15"/>
        <v>1706250</v>
      </c>
      <c r="CR12" s="33">
        <f t="shared" si="15"/>
        <v>1706250</v>
      </c>
      <c r="CS12" s="33">
        <f t="shared" si="15"/>
        <v>1706250</v>
      </c>
      <c r="CT12" s="33">
        <f t="shared" si="15"/>
        <v>1706250</v>
      </c>
      <c r="CU12" s="33">
        <f t="shared" si="15"/>
        <v>1706250</v>
      </c>
      <c r="CV12" s="33">
        <f t="shared" si="15"/>
        <v>1706250</v>
      </c>
      <c r="CW12" s="33">
        <f t="shared" si="15"/>
        <v>1706250</v>
      </c>
      <c r="CX12" s="33">
        <f t="shared" ref="CX12:DU12" si="16">CW12+CX11</f>
        <v>1706250</v>
      </c>
      <c r="CY12" s="33">
        <f t="shared" si="16"/>
        <v>1706250</v>
      </c>
      <c r="CZ12" s="33">
        <f t="shared" si="16"/>
        <v>1706250</v>
      </c>
      <c r="DA12" s="33">
        <f t="shared" si="16"/>
        <v>1706250</v>
      </c>
      <c r="DB12" s="33">
        <f t="shared" si="16"/>
        <v>1706250</v>
      </c>
      <c r="DC12" s="33">
        <f t="shared" si="16"/>
        <v>1706250</v>
      </c>
      <c r="DD12" s="33">
        <f t="shared" si="16"/>
        <v>1706250</v>
      </c>
      <c r="DE12" s="33">
        <f t="shared" si="16"/>
        <v>1706250</v>
      </c>
      <c r="DF12" s="33">
        <f t="shared" si="16"/>
        <v>1706250</v>
      </c>
      <c r="DG12" s="33">
        <f t="shared" si="16"/>
        <v>1706250</v>
      </c>
      <c r="DH12" s="33">
        <f t="shared" si="16"/>
        <v>1706250</v>
      </c>
      <c r="DI12" s="33">
        <f t="shared" si="16"/>
        <v>1706250</v>
      </c>
      <c r="DJ12" s="33">
        <f t="shared" si="16"/>
        <v>1706250</v>
      </c>
      <c r="DK12" s="33">
        <f t="shared" si="16"/>
        <v>1706250</v>
      </c>
      <c r="DL12" s="33">
        <f t="shared" si="16"/>
        <v>1706250</v>
      </c>
      <c r="DM12" s="33">
        <f t="shared" si="16"/>
        <v>1706250</v>
      </c>
      <c r="DN12" s="33">
        <f t="shared" si="16"/>
        <v>1706250</v>
      </c>
      <c r="DO12" s="33">
        <f t="shared" si="16"/>
        <v>1706250</v>
      </c>
      <c r="DP12" s="33">
        <f t="shared" si="16"/>
        <v>1706250</v>
      </c>
      <c r="DQ12" s="33">
        <f t="shared" si="16"/>
        <v>1706250</v>
      </c>
      <c r="DR12" s="33">
        <f t="shared" si="16"/>
        <v>1706250</v>
      </c>
      <c r="DS12" s="33">
        <f t="shared" si="16"/>
        <v>1706250</v>
      </c>
      <c r="DT12" s="33">
        <f t="shared" si="16"/>
        <v>1706250</v>
      </c>
      <c r="DU12" s="33">
        <f t="shared" si="16"/>
        <v>1706250</v>
      </c>
    </row>
    <row r="13" spans="3:125" s="3" customFormat="1" ht="22.95" customHeight="1">
      <c r="C13" s="29" t="s">
        <v>235</v>
      </c>
      <c r="D13" s="82">
        <f>HLOOKUP(1,$E$2:$DU$13,12,FALSE)</f>
        <v>0.41443851590156544</v>
      </c>
      <c r="E13" s="81">
        <f>XIRR(E11:$DU$11,E4:$DU$4,0.1)</f>
        <v>2.9802322387695314E-9</v>
      </c>
      <c r="F13" s="81">
        <f>XIRR(F11:$DU$11,F4:$DU$4,0.1)</f>
        <v>2.9802322387695314E-9</v>
      </c>
      <c r="G13" s="81">
        <f>XIRR(G11:$DU$11,G4:$DU$4,0.1)</f>
        <v>2.9802322387695314E-9</v>
      </c>
      <c r="H13" s="81">
        <f>XIRR(H11:$DU$11,H4:$DU$4,0.1)</f>
        <v>2.9802322387695314E-9</v>
      </c>
      <c r="I13" s="81">
        <f>XIRR(I11:$DU$11,I4:$DU$4,0.1)</f>
        <v>2.9802322387695314E-9</v>
      </c>
      <c r="J13" s="81">
        <f>XIRR(J11:$DU$11,J4:$DU$4,0.1)</f>
        <v>2.9802322387695314E-9</v>
      </c>
      <c r="K13" s="81">
        <f>XIRR(K11:$DU$11,K4:$DU$4,0.1)</f>
        <v>0.41443851590156544</v>
      </c>
      <c r="L13" s="81">
        <f>XIRR(L11:$DU$11,L4:$DU$4,0.1)</f>
        <v>0.56141154170036323</v>
      </c>
      <c r="M13" s="81">
        <f>XIRR(M11:$DU$11,M4:$DU$4,0.1)</f>
        <v>0.75297604799270634</v>
      </c>
      <c r="N13" s="81">
        <f>XIRR(N11:$DU$11,N4:$DU$4,0.1)</f>
        <v>1.0098912358283998</v>
      </c>
      <c r="O13" s="81">
        <f>XIRR(O11:$DU$11,O4:$DU$4,0.1)</f>
        <v>1.3677208542823791</v>
      </c>
      <c r="P13" s="81">
        <f>XIRR(P11:$DU$11,P4:$DU$4,0.1)</f>
        <v>1.8880916833877563</v>
      </c>
      <c r="Q13" s="81">
        <f>XIRR(Q11:$DU$11,Q4:$DU$4,0.1)</f>
        <v>2.6928869962692268</v>
      </c>
      <c r="R13" s="81">
        <f>XIRR(R11:$DU$11,R4:$DU$4,0.1)</f>
        <v>4.0349561452865608</v>
      </c>
      <c r="S13" s="81">
        <f>XIRR(S11:$DU$11,S4:$DU$4,0.1)</f>
        <v>6.5245555400848394</v>
      </c>
      <c r="T13" s="81">
        <f>XIRR(T11:$DU$11,T4:$DU$4,0.1)</f>
        <v>12.046658039093018</v>
      </c>
      <c r="U13" s="81">
        <f>XIRR(U11:$DU$11,U4:$DU$4,0.1)</f>
        <v>28.109968757629392</v>
      </c>
      <c r="V13" s="81">
        <f>XIRR(V11:$DU$11,V4:$DU$4,0.1)</f>
        <v>114.38072433471679</v>
      </c>
      <c r="W13" s="81">
        <f>XIRR(W11:$DU$11,W4:$DU$4,0.1)</f>
        <v>20324.644335937504</v>
      </c>
      <c r="X13" s="81" t="e">
        <f>XIRR(X11:$DU$11,X4:$DU$4,0.1)</f>
        <v>#NUM!</v>
      </c>
      <c r="Y13" s="81" t="e">
        <f>XIRR(Y11:$DU$11,Y4:$DU$4,0.1)</f>
        <v>#NUM!</v>
      </c>
      <c r="Z13" s="81" t="e">
        <f>XIRR(Z11:$DU$11,Z4:$DU$4,0.1)</f>
        <v>#NUM!</v>
      </c>
      <c r="AA13" s="81" t="e">
        <f>XIRR(AA11:$DU$11,AA4:$DU$4,0.1)</f>
        <v>#NUM!</v>
      </c>
      <c r="AB13" s="81" t="e">
        <f>XIRR(AB11:$DU$11,AB4:$DU$4,0.1)</f>
        <v>#NUM!</v>
      </c>
      <c r="AC13" s="81" t="e">
        <f>XIRR(AC11:$DU$11,AC4:$DU$4,0.1)</f>
        <v>#NUM!</v>
      </c>
      <c r="AD13" s="81" t="e">
        <f>XIRR(AD11:$DU$11,AD4:$DU$4,0.1)</f>
        <v>#NUM!</v>
      </c>
      <c r="AE13" s="81" t="e">
        <f>XIRR(AE11:$DU$11,AE4:$DU$4,0.1)</f>
        <v>#NUM!</v>
      </c>
      <c r="AF13" s="81" t="e">
        <f>XIRR(AF11:$DU$11,AF4:$DU$4,0.1)</f>
        <v>#NUM!</v>
      </c>
      <c r="AG13" s="81" t="e">
        <f>XIRR(AG11:$DU$11,AG4:$DU$4,0.1)</f>
        <v>#NUM!</v>
      </c>
      <c r="AH13" s="81" t="e">
        <f>XIRR(AH11:$DU$11,AH4:$DU$4,0.1)</f>
        <v>#NUM!</v>
      </c>
      <c r="AI13" s="81" t="e">
        <f>XIRR(AI11:$DU$11,AI4:$DU$4,0.1)</f>
        <v>#NUM!</v>
      </c>
      <c r="AJ13" s="81" t="e">
        <f>XIRR(AJ11:$DU$11,AJ4:$DU$4,0.1)</f>
        <v>#NUM!</v>
      </c>
      <c r="AK13" s="81" t="e">
        <f>XIRR(AK11:$DU$11,AK4:$DU$4,0.1)</f>
        <v>#NUM!</v>
      </c>
      <c r="AL13" s="81" t="e">
        <f>XIRR(AL11:$DU$11,AL4:$DU$4,0.1)</f>
        <v>#NUM!</v>
      </c>
      <c r="AM13" s="81" t="e">
        <f>XIRR(AM11:$DU$11,AM4:$DU$4,0.1)</f>
        <v>#NUM!</v>
      </c>
      <c r="AN13" s="81" t="e">
        <f>XIRR(AN11:$DU$11,AN4:$DU$4,0.1)</f>
        <v>#NUM!</v>
      </c>
      <c r="AO13" s="81" t="e">
        <f>XIRR(AO11:$DU$11,AO4:$DU$4,0.1)</f>
        <v>#NUM!</v>
      </c>
      <c r="AP13" s="81" t="e">
        <f>XIRR(AP11:$DU$11,AP4:$DU$4,0.1)</f>
        <v>#NUM!</v>
      </c>
      <c r="AQ13" s="81" t="e">
        <f>XIRR(AQ11:$DU$11,AQ4:$DU$4,0.1)</f>
        <v>#NUM!</v>
      </c>
      <c r="AR13" s="81" t="e">
        <f>XIRR(AR11:$DU$11,AR4:$DU$4,0.1)</f>
        <v>#NUM!</v>
      </c>
      <c r="AS13" s="81" t="e">
        <f>XIRR(AS11:$DU$11,AS4:$DU$4,0.1)</f>
        <v>#NUM!</v>
      </c>
      <c r="AT13" s="81" t="e">
        <f>XIRR(AT11:$DU$11,AT4:$DU$4,0.1)</f>
        <v>#NUM!</v>
      </c>
      <c r="AU13" s="81" t="e">
        <f>XIRR(AU11:$DU$11,AU4:$DU$4,0.1)</f>
        <v>#NUM!</v>
      </c>
      <c r="AV13" s="81" t="e">
        <f>XIRR(AV11:$DU$11,AV4:$DU$4,0.1)</f>
        <v>#NUM!</v>
      </c>
      <c r="AW13" s="81" t="e">
        <f>XIRR(AW11:$DU$11,AW4:$DU$4,0.1)</f>
        <v>#NUM!</v>
      </c>
      <c r="AX13" s="81" t="e">
        <f>XIRR(AX11:$DU$11,AX4:$DU$4,0.1)</f>
        <v>#NUM!</v>
      </c>
      <c r="AY13" s="81" t="e">
        <f>XIRR(AY11:$DU$11,AY4:$DU$4,0.1)</f>
        <v>#NUM!</v>
      </c>
      <c r="AZ13" s="81" t="e">
        <f>XIRR(AZ11:$DU$11,AZ4:$DU$4,0.1)</f>
        <v>#NUM!</v>
      </c>
      <c r="BA13" s="81" t="e">
        <f>XIRR(BA11:$DU$11,BA4:$DU$4,0.1)</f>
        <v>#NUM!</v>
      </c>
      <c r="BB13" s="81" t="e">
        <f>XIRR(BB11:$DU$11,BB4:$DU$4,0.1)</f>
        <v>#NUM!</v>
      </c>
      <c r="BC13" s="81" t="e">
        <f>XIRR(BC11:$DU$11,BC4:$DU$4,0.1)</f>
        <v>#NUM!</v>
      </c>
      <c r="BD13" s="81" t="e">
        <f>XIRR(BD11:$DU$11,BD4:$DU$4,0.1)</f>
        <v>#NUM!</v>
      </c>
      <c r="BE13" s="81" t="e">
        <f>XIRR(BE11:$DU$11,BE4:$DU$4,0.1)</f>
        <v>#NUM!</v>
      </c>
      <c r="BF13" s="81" t="e">
        <f>XIRR(BF11:$DU$11,BF4:$DU$4,0.1)</f>
        <v>#NUM!</v>
      </c>
      <c r="BG13" s="81" t="e">
        <f>XIRR(BG11:$DU$11,BG4:$DU$4,0.1)</f>
        <v>#NUM!</v>
      </c>
      <c r="BH13" s="81" t="e">
        <f>XIRR(BH11:$DU$11,BH4:$DU$4,0.1)</f>
        <v>#NUM!</v>
      </c>
      <c r="BI13" s="81" t="e">
        <f>XIRR(BI11:$DU$11,BI4:$DU$4,0.1)</f>
        <v>#NUM!</v>
      </c>
      <c r="BJ13" s="81" t="e">
        <f>XIRR(BJ11:$DU$11,BJ4:$DU$4,0.1)</f>
        <v>#NUM!</v>
      </c>
      <c r="BK13" s="81" t="e">
        <f>XIRR(BK11:$DU$11,BK4:$DU$4,0.1)</f>
        <v>#NUM!</v>
      </c>
      <c r="BL13" s="81" t="e">
        <f>XIRR(BL11:$DU$11,BL4:$DU$4,0.1)</f>
        <v>#NUM!</v>
      </c>
      <c r="BM13" s="81" t="e">
        <f>XIRR(BM11:$DU$11,BM4:$DU$4,0.1)</f>
        <v>#NUM!</v>
      </c>
      <c r="BN13" s="81" t="e">
        <f>XIRR(BN11:$DU$11,BN4:$DU$4,0.1)</f>
        <v>#NUM!</v>
      </c>
      <c r="BO13" s="81" t="e">
        <f>XIRR(BO11:$DU$11,BO4:$DU$4,0.1)</f>
        <v>#NUM!</v>
      </c>
      <c r="BP13" s="81" t="e">
        <f>XIRR(BP11:$DU$11,BP4:$DU$4,0.1)</f>
        <v>#NUM!</v>
      </c>
      <c r="BQ13" s="81" t="e">
        <f>XIRR(BQ11:$DU$11,BQ4:$DU$4,0.1)</f>
        <v>#NUM!</v>
      </c>
      <c r="BR13" s="81" t="e">
        <f>XIRR(BR11:$DU$11,BR4:$DU$4,0.1)</f>
        <v>#NUM!</v>
      </c>
      <c r="BS13" s="81" t="e">
        <f>XIRR(BS11:$DU$11,BS4:$DU$4,0.1)</f>
        <v>#NUM!</v>
      </c>
      <c r="BT13" s="81" t="e">
        <f>XIRR(BT11:$DU$11,BT4:$DU$4,0.1)</f>
        <v>#NUM!</v>
      </c>
      <c r="BU13" s="81" t="e">
        <f>XIRR(BU11:$DU$11,BU4:$DU$4,0.1)</f>
        <v>#NUM!</v>
      </c>
      <c r="BV13" s="81" t="e">
        <f>XIRR(BV11:$DU$11,BV4:$DU$4,0.1)</f>
        <v>#NUM!</v>
      </c>
      <c r="BW13" s="81" t="e">
        <f>XIRR(BW11:$DU$11,BW4:$DU$4,0.1)</f>
        <v>#NUM!</v>
      </c>
      <c r="BX13" s="81" t="e">
        <f>XIRR(BX11:$DU$11,BX4:$DU$4,0.1)</f>
        <v>#NUM!</v>
      </c>
      <c r="BY13" s="81" t="e">
        <f>XIRR(BY11:$DU$11,BY4:$DU$4,0.1)</f>
        <v>#NUM!</v>
      </c>
      <c r="BZ13" s="81" t="e">
        <f>XIRR(BZ11:$DU$11,BZ4:$DU$4,0.1)</f>
        <v>#NUM!</v>
      </c>
      <c r="CA13" s="81" t="e">
        <f>XIRR(CA11:$DU$11,CA4:$DU$4,0.1)</f>
        <v>#NUM!</v>
      </c>
      <c r="CB13" s="81" t="e">
        <f>XIRR(CB11:$DU$11,CB4:$DU$4,0.1)</f>
        <v>#NUM!</v>
      </c>
      <c r="CC13" s="81" t="e">
        <f>XIRR(CC11:$DU$11,CC4:$DU$4,0.1)</f>
        <v>#NUM!</v>
      </c>
      <c r="CD13" s="81" t="e">
        <f>XIRR(CD11:$DU$11,CD4:$DU$4,0.1)</f>
        <v>#NUM!</v>
      </c>
      <c r="CE13" s="81" t="e">
        <f>XIRR(CE11:$DU$11,CE4:$DU$4,0.1)</f>
        <v>#NUM!</v>
      </c>
      <c r="CF13" s="81" t="e">
        <f>XIRR(CF11:$DU$11,CF4:$DU$4,0.1)</f>
        <v>#NUM!</v>
      </c>
      <c r="CG13" s="81" t="e">
        <f>XIRR(CG11:$DU$11,CG4:$DU$4,0.1)</f>
        <v>#NUM!</v>
      </c>
      <c r="CH13" s="81" t="e">
        <f>XIRR(CH11:$DU$11,CH4:$DU$4,0.1)</f>
        <v>#NUM!</v>
      </c>
      <c r="CI13" s="81" t="e">
        <f>XIRR(CI11:$DU$11,CI4:$DU$4,0.1)</f>
        <v>#NUM!</v>
      </c>
      <c r="CJ13" s="81" t="e">
        <f>XIRR(CJ11:$DU$11,CJ4:$DU$4,0.1)</f>
        <v>#NUM!</v>
      </c>
      <c r="CK13" s="81" t="e">
        <f>XIRR(CK11:$DU$11,CK4:$DU$4,0.1)</f>
        <v>#NUM!</v>
      </c>
      <c r="CL13" s="81" t="e">
        <f>XIRR(CL11:$DU$11,CL4:$DU$4,0.1)</f>
        <v>#NUM!</v>
      </c>
      <c r="CM13" s="81" t="e">
        <f>XIRR(CM11:$DU$11,CM4:$DU$4,0.1)</f>
        <v>#NUM!</v>
      </c>
      <c r="CN13" s="81" t="e">
        <f>XIRR(CN11:$DU$11,CN4:$DU$4,0.1)</f>
        <v>#NUM!</v>
      </c>
      <c r="CO13" s="81" t="e">
        <f>XIRR(CO11:$DU$11,CO4:$DU$4,0.1)</f>
        <v>#NUM!</v>
      </c>
      <c r="CP13" s="81" t="e">
        <f>XIRR(CP11:$DU$11,CP4:$DU$4,0.1)</f>
        <v>#NUM!</v>
      </c>
      <c r="CQ13" s="81" t="e">
        <f>XIRR(CQ11:$DU$11,CQ4:$DU$4,0.1)</f>
        <v>#NUM!</v>
      </c>
      <c r="CR13" s="81" t="e">
        <f>XIRR(CR11:$DU$11,CR4:$DU$4,0.1)</f>
        <v>#NUM!</v>
      </c>
      <c r="CS13" s="81" t="e">
        <f>XIRR(CS11:$DU$11,CS4:$DU$4,0.1)</f>
        <v>#NUM!</v>
      </c>
      <c r="CT13" s="81" t="e">
        <f>XIRR(CT11:$DU$11,CT4:$DU$4,0.1)</f>
        <v>#NUM!</v>
      </c>
      <c r="CU13" s="81" t="e">
        <f>XIRR(CU11:$DU$11,CU4:$DU$4,0.1)</f>
        <v>#NUM!</v>
      </c>
      <c r="CV13" s="81" t="e">
        <f>XIRR(CV11:$DU$11,CV4:$DU$4,0.1)</f>
        <v>#NUM!</v>
      </c>
      <c r="CW13" s="81" t="e">
        <f>XIRR(CW11:$DU$11,CW4:$DU$4,0.1)</f>
        <v>#NUM!</v>
      </c>
      <c r="CX13" s="81" t="e">
        <f>XIRR(CX11:$DU$11,CX4:$DU$4,0.1)</f>
        <v>#NUM!</v>
      </c>
      <c r="CY13" s="81" t="e">
        <f>XIRR(CY11:$DU$11,CY4:$DU$4,0.1)</f>
        <v>#NUM!</v>
      </c>
      <c r="CZ13" s="81" t="e">
        <f>XIRR(CZ11:$DU$11,CZ4:$DU$4,0.1)</f>
        <v>#NUM!</v>
      </c>
      <c r="DA13" s="81" t="e">
        <f>XIRR(DA11:$DU$11,DA4:$DU$4,0.1)</f>
        <v>#NUM!</v>
      </c>
      <c r="DB13" s="81" t="e">
        <f>XIRR(DB11:$DU$11,DB4:$DU$4,0.1)</f>
        <v>#NUM!</v>
      </c>
      <c r="DC13" s="81" t="e">
        <f>XIRR(DC11:$DU$11,DC4:$DU$4,0.1)</f>
        <v>#NUM!</v>
      </c>
      <c r="DD13" s="81" t="e">
        <f>XIRR(DD11:$DU$11,DD4:$DU$4,0.1)</f>
        <v>#NUM!</v>
      </c>
      <c r="DE13" s="81" t="e">
        <f>XIRR(DE11:$DU$11,DE4:$DU$4,0.1)</f>
        <v>#NUM!</v>
      </c>
      <c r="DF13" s="81" t="e">
        <f>XIRR(DF11:$DU$11,DF4:$DU$4,0.1)</f>
        <v>#NUM!</v>
      </c>
      <c r="DG13" s="81" t="e">
        <f>XIRR(DG11:$DU$11,DG4:$DU$4,0.1)</f>
        <v>#NUM!</v>
      </c>
      <c r="DH13" s="81" t="e">
        <f>XIRR(DH11:$DU$11,DH4:$DU$4,0.1)</f>
        <v>#NUM!</v>
      </c>
      <c r="DI13" s="81" t="e">
        <f>XIRR(DI11:$DU$11,DI4:$DU$4,0.1)</f>
        <v>#NUM!</v>
      </c>
      <c r="DJ13" s="81" t="e">
        <f>XIRR(DJ11:$DU$11,DJ4:$DU$4,0.1)</f>
        <v>#NUM!</v>
      </c>
      <c r="DK13" s="81" t="e">
        <f>XIRR(DK11:$DU$11,DK4:$DU$4,0.1)</f>
        <v>#NUM!</v>
      </c>
      <c r="DL13" s="81" t="e">
        <f>XIRR(DL11:$DU$11,DL4:$DU$4,0.1)</f>
        <v>#NUM!</v>
      </c>
      <c r="DM13" s="81" t="e">
        <f>XIRR(DM11:$DU$11,DM4:$DU$4,0.1)</f>
        <v>#NUM!</v>
      </c>
      <c r="DN13" s="81" t="e">
        <f>XIRR(DN11:$DU$11,DN4:$DU$4,0.1)</f>
        <v>#NUM!</v>
      </c>
      <c r="DO13" s="81" t="e">
        <f>XIRR(DO11:$DU$11,DO4:$DU$4,0.1)</f>
        <v>#NUM!</v>
      </c>
      <c r="DP13" s="81" t="e">
        <f>XIRR(DP11:$DU$11,DP4:$DU$4,0.1)</f>
        <v>#NUM!</v>
      </c>
      <c r="DQ13" s="81" t="e">
        <f>XIRR(DQ11:$DU$11,DQ4:$DU$4,0.1)</f>
        <v>#NUM!</v>
      </c>
      <c r="DR13" s="81" t="e">
        <f>XIRR(DR11:$DU$11,DR4:$DU$4,0.1)</f>
        <v>#NUM!</v>
      </c>
      <c r="DS13" s="81" t="e">
        <f>XIRR(DS11:$DU$11,DS4:$DU$4,0.1)</f>
        <v>#NUM!</v>
      </c>
      <c r="DT13" s="81" t="e">
        <f>XIRR(DT11:$DU$11,DT4:$DU$4,0.1)</f>
        <v>#NUM!</v>
      </c>
      <c r="DU13" s="81" t="e">
        <f>XIRR(DU11:$DU$11,DU4:$DU$4,0.1)</f>
        <v>#N/A</v>
      </c>
    </row>
    <row r="14" spans="3:125" s="3" customFormat="1" ht="22.95" customHeight="1">
      <c r="C14" s="30" t="s">
        <v>236</v>
      </c>
      <c r="D14" s="35">
        <f>D11/D12+1</f>
        <v>1.441747572815534</v>
      </c>
    </row>
    <row r="15" spans="3:125" s="3" customFormat="1" ht="22.95" customHeight="1">
      <c r="D15" s="80"/>
    </row>
    <row r="16" spans="3:125" s="3" customFormat="1" ht="22.95" customHeight="1">
      <c r="C16" s="48" t="s">
        <v>266</v>
      </c>
      <c r="D16" s="49">
        <f>SUM(E16:DU16)</f>
        <v>112500</v>
      </c>
      <c r="E16" s="89">
        <f t="shared" ref="E16:AJ16" si="17">-E7-E8</f>
        <v>0</v>
      </c>
      <c r="F16" s="89">
        <f t="shared" si="17"/>
        <v>0</v>
      </c>
      <c r="G16" s="89">
        <f t="shared" si="17"/>
        <v>0</v>
      </c>
      <c r="H16" s="89">
        <f t="shared" si="17"/>
        <v>0</v>
      </c>
      <c r="I16" s="89">
        <f t="shared" si="17"/>
        <v>0</v>
      </c>
      <c r="J16" s="89">
        <f t="shared" si="17"/>
        <v>0</v>
      </c>
      <c r="K16" s="89">
        <f t="shared" si="17"/>
        <v>6250</v>
      </c>
      <c r="L16" s="89">
        <f t="shared" si="17"/>
        <v>6250</v>
      </c>
      <c r="M16" s="89">
        <f t="shared" si="17"/>
        <v>6250</v>
      </c>
      <c r="N16" s="89">
        <f t="shared" si="17"/>
        <v>6250</v>
      </c>
      <c r="O16" s="89">
        <f t="shared" si="17"/>
        <v>6250</v>
      </c>
      <c r="P16" s="89">
        <f t="shared" si="17"/>
        <v>6250</v>
      </c>
      <c r="Q16" s="89">
        <f t="shared" si="17"/>
        <v>6250</v>
      </c>
      <c r="R16" s="89">
        <f t="shared" si="17"/>
        <v>6250</v>
      </c>
      <c r="S16" s="89">
        <f t="shared" si="17"/>
        <v>6250</v>
      </c>
      <c r="T16" s="89">
        <f t="shared" si="17"/>
        <v>6250</v>
      </c>
      <c r="U16" s="89">
        <f t="shared" si="17"/>
        <v>6250</v>
      </c>
      <c r="V16" s="89">
        <f t="shared" si="17"/>
        <v>6250</v>
      </c>
      <c r="W16" s="89">
        <f t="shared" si="17"/>
        <v>37500</v>
      </c>
      <c r="X16" s="89">
        <f t="shared" si="17"/>
        <v>0</v>
      </c>
      <c r="Y16" s="89">
        <f t="shared" si="17"/>
        <v>0</v>
      </c>
      <c r="Z16" s="89">
        <f t="shared" si="17"/>
        <v>0</v>
      </c>
      <c r="AA16" s="89">
        <f t="shared" si="17"/>
        <v>0</v>
      </c>
      <c r="AB16" s="89">
        <f t="shared" si="17"/>
        <v>0</v>
      </c>
      <c r="AC16" s="89">
        <f t="shared" si="17"/>
        <v>0</v>
      </c>
      <c r="AD16" s="89">
        <f t="shared" si="17"/>
        <v>0</v>
      </c>
      <c r="AE16" s="89">
        <f t="shared" si="17"/>
        <v>0</v>
      </c>
      <c r="AF16" s="89">
        <f t="shared" si="17"/>
        <v>0</v>
      </c>
      <c r="AG16" s="89">
        <f t="shared" si="17"/>
        <v>0</v>
      </c>
      <c r="AH16" s="89">
        <f t="shared" si="17"/>
        <v>0</v>
      </c>
      <c r="AI16" s="89">
        <f t="shared" si="17"/>
        <v>0</v>
      </c>
      <c r="AJ16" s="89">
        <f t="shared" si="17"/>
        <v>0</v>
      </c>
      <c r="AK16" s="89">
        <f t="shared" ref="AK16:BP16" si="18">-AK7-AK8</f>
        <v>0</v>
      </c>
      <c r="AL16" s="89">
        <f t="shared" si="18"/>
        <v>0</v>
      </c>
      <c r="AM16" s="89">
        <f t="shared" si="18"/>
        <v>0</v>
      </c>
      <c r="AN16" s="89">
        <f t="shared" si="18"/>
        <v>0</v>
      </c>
      <c r="AO16" s="89">
        <f t="shared" si="18"/>
        <v>0</v>
      </c>
      <c r="AP16" s="89">
        <f t="shared" si="18"/>
        <v>0</v>
      </c>
      <c r="AQ16" s="89">
        <f t="shared" si="18"/>
        <v>0</v>
      </c>
      <c r="AR16" s="89">
        <f t="shared" si="18"/>
        <v>0</v>
      </c>
      <c r="AS16" s="89">
        <f t="shared" si="18"/>
        <v>0</v>
      </c>
      <c r="AT16" s="89">
        <f t="shared" si="18"/>
        <v>0</v>
      </c>
      <c r="AU16" s="89">
        <f t="shared" si="18"/>
        <v>0</v>
      </c>
      <c r="AV16" s="89">
        <f t="shared" si="18"/>
        <v>0</v>
      </c>
      <c r="AW16" s="89">
        <f t="shared" si="18"/>
        <v>0</v>
      </c>
      <c r="AX16" s="89">
        <f t="shared" si="18"/>
        <v>0</v>
      </c>
      <c r="AY16" s="89">
        <f t="shared" si="18"/>
        <v>0</v>
      </c>
      <c r="AZ16" s="89">
        <f t="shared" si="18"/>
        <v>0</v>
      </c>
      <c r="BA16" s="89">
        <f t="shared" si="18"/>
        <v>0</v>
      </c>
      <c r="BB16" s="89">
        <f t="shared" si="18"/>
        <v>0</v>
      </c>
      <c r="BC16" s="89">
        <f t="shared" si="18"/>
        <v>0</v>
      </c>
      <c r="BD16" s="89">
        <f t="shared" si="18"/>
        <v>0</v>
      </c>
      <c r="BE16" s="89">
        <f t="shared" si="18"/>
        <v>0</v>
      </c>
      <c r="BF16" s="89">
        <f t="shared" si="18"/>
        <v>0</v>
      </c>
      <c r="BG16" s="89">
        <f t="shared" si="18"/>
        <v>0</v>
      </c>
      <c r="BH16" s="89">
        <f t="shared" si="18"/>
        <v>0</v>
      </c>
      <c r="BI16" s="89">
        <f t="shared" si="18"/>
        <v>0</v>
      </c>
      <c r="BJ16" s="89">
        <f t="shared" si="18"/>
        <v>0</v>
      </c>
      <c r="BK16" s="89">
        <f t="shared" si="18"/>
        <v>0</v>
      </c>
      <c r="BL16" s="89">
        <f t="shared" si="18"/>
        <v>0</v>
      </c>
      <c r="BM16" s="89">
        <f t="shared" si="18"/>
        <v>0</v>
      </c>
      <c r="BN16" s="89">
        <f t="shared" si="18"/>
        <v>0</v>
      </c>
      <c r="BO16" s="89">
        <f t="shared" si="18"/>
        <v>0</v>
      </c>
      <c r="BP16" s="89">
        <f t="shared" si="18"/>
        <v>0</v>
      </c>
      <c r="BQ16" s="89">
        <f t="shared" ref="BQ16:CV16" si="19">-BQ7-BQ8</f>
        <v>0</v>
      </c>
      <c r="BR16" s="89">
        <f t="shared" si="19"/>
        <v>0</v>
      </c>
      <c r="BS16" s="89">
        <f t="shared" si="19"/>
        <v>0</v>
      </c>
      <c r="BT16" s="89">
        <f t="shared" si="19"/>
        <v>0</v>
      </c>
      <c r="BU16" s="89">
        <f t="shared" si="19"/>
        <v>0</v>
      </c>
      <c r="BV16" s="89">
        <f t="shared" si="19"/>
        <v>0</v>
      </c>
      <c r="BW16" s="89">
        <f t="shared" si="19"/>
        <v>0</v>
      </c>
      <c r="BX16" s="89">
        <f t="shared" si="19"/>
        <v>0</v>
      </c>
      <c r="BY16" s="89">
        <f t="shared" si="19"/>
        <v>0</v>
      </c>
      <c r="BZ16" s="89">
        <f t="shared" si="19"/>
        <v>0</v>
      </c>
      <c r="CA16" s="89">
        <f t="shared" si="19"/>
        <v>0</v>
      </c>
      <c r="CB16" s="89">
        <f t="shared" si="19"/>
        <v>0</v>
      </c>
      <c r="CC16" s="89">
        <f t="shared" si="19"/>
        <v>0</v>
      </c>
      <c r="CD16" s="89">
        <f t="shared" si="19"/>
        <v>0</v>
      </c>
      <c r="CE16" s="89">
        <f t="shared" si="19"/>
        <v>0</v>
      </c>
      <c r="CF16" s="89">
        <f t="shared" si="19"/>
        <v>0</v>
      </c>
      <c r="CG16" s="89">
        <f t="shared" si="19"/>
        <v>0</v>
      </c>
      <c r="CH16" s="89">
        <f t="shared" si="19"/>
        <v>0</v>
      </c>
      <c r="CI16" s="89">
        <f t="shared" si="19"/>
        <v>0</v>
      </c>
      <c r="CJ16" s="89">
        <f t="shared" si="19"/>
        <v>0</v>
      </c>
      <c r="CK16" s="89">
        <f t="shared" si="19"/>
        <v>0</v>
      </c>
      <c r="CL16" s="89">
        <f t="shared" si="19"/>
        <v>0</v>
      </c>
      <c r="CM16" s="89">
        <f t="shared" si="19"/>
        <v>0</v>
      </c>
      <c r="CN16" s="89">
        <f t="shared" si="19"/>
        <v>0</v>
      </c>
      <c r="CO16" s="89">
        <f t="shared" si="19"/>
        <v>0</v>
      </c>
      <c r="CP16" s="89">
        <f t="shared" si="19"/>
        <v>0</v>
      </c>
      <c r="CQ16" s="89">
        <f t="shared" si="19"/>
        <v>0</v>
      </c>
      <c r="CR16" s="89">
        <f t="shared" si="19"/>
        <v>0</v>
      </c>
      <c r="CS16" s="89">
        <f t="shared" si="19"/>
        <v>0</v>
      </c>
      <c r="CT16" s="89">
        <f t="shared" si="19"/>
        <v>0</v>
      </c>
      <c r="CU16" s="89">
        <f t="shared" si="19"/>
        <v>0</v>
      </c>
      <c r="CV16" s="89">
        <f t="shared" si="19"/>
        <v>0</v>
      </c>
      <c r="CW16" s="89">
        <f t="shared" ref="CW16:DU16" si="20">-CW7-CW8</f>
        <v>0</v>
      </c>
      <c r="CX16" s="89">
        <f t="shared" si="20"/>
        <v>0</v>
      </c>
      <c r="CY16" s="89">
        <f t="shared" si="20"/>
        <v>0</v>
      </c>
      <c r="CZ16" s="89">
        <f t="shared" si="20"/>
        <v>0</v>
      </c>
      <c r="DA16" s="89">
        <f t="shared" si="20"/>
        <v>0</v>
      </c>
      <c r="DB16" s="89">
        <f t="shared" si="20"/>
        <v>0</v>
      </c>
      <c r="DC16" s="89">
        <f t="shared" si="20"/>
        <v>0</v>
      </c>
      <c r="DD16" s="89">
        <f t="shared" si="20"/>
        <v>0</v>
      </c>
      <c r="DE16" s="89">
        <f t="shared" si="20"/>
        <v>0</v>
      </c>
      <c r="DF16" s="89">
        <f t="shared" si="20"/>
        <v>0</v>
      </c>
      <c r="DG16" s="89">
        <f t="shared" si="20"/>
        <v>0</v>
      </c>
      <c r="DH16" s="89">
        <f t="shared" si="20"/>
        <v>0</v>
      </c>
      <c r="DI16" s="89">
        <f t="shared" si="20"/>
        <v>0</v>
      </c>
      <c r="DJ16" s="89">
        <f t="shared" si="20"/>
        <v>0</v>
      </c>
      <c r="DK16" s="89">
        <f t="shared" si="20"/>
        <v>0</v>
      </c>
      <c r="DL16" s="89">
        <f t="shared" si="20"/>
        <v>0</v>
      </c>
      <c r="DM16" s="89">
        <f t="shared" si="20"/>
        <v>0</v>
      </c>
      <c r="DN16" s="89">
        <f t="shared" si="20"/>
        <v>0</v>
      </c>
      <c r="DO16" s="89">
        <f t="shared" si="20"/>
        <v>0</v>
      </c>
      <c r="DP16" s="89">
        <f t="shared" si="20"/>
        <v>0</v>
      </c>
      <c r="DQ16" s="89">
        <f t="shared" si="20"/>
        <v>0</v>
      </c>
      <c r="DR16" s="89">
        <f t="shared" si="20"/>
        <v>0</v>
      </c>
      <c r="DS16" s="89">
        <f t="shared" si="20"/>
        <v>0</v>
      </c>
      <c r="DT16" s="89">
        <f t="shared" si="20"/>
        <v>0</v>
      </c>
      <c r="DU16" s="89">
        <f t="shared" si="20"/>
        <v>0</v>
      </c>
    </row>
    <row r="17" spans="3:125" s="3" customFormat="1" ht="22.95" customHeight="1">
      <c r="D17" s="24"/>
    </row>
    <row r="18" spans="3:125" s="3" customFormat="1" ht="22.95" customHeight="1">
      <c r="C18" s="48" t="s">
        <v>267</v>
      </c>
      <c r="D18" s="49">
        <f>SUM(E18:DU18)</f>
        <v>20000</v>
      </c>
      <c r="E18" s="89">
        <f>IF(AND(E$4&gt;='Single Project Assumptions'!$H$11,'Entitlement Phase'!E$4&lt;'Single Project Assumptions'!$H$13),'Single Project Assumptions'!$D$50/12,0)</f>
        <v>0</v>
      </c>
      <c r="F18" s="89">
        <f>IF(AND(F$4&gt;='Single Project Assumptions'!$H$11,'Entitlement Phase'!F$4&lt;'Single Project Assumptions'!$H$13),'Single Project Assumptions'!$D$50/12,0)</f>
        <v>0</v>
      </c>
      <c r="G18" s="89">
        <f>IF(AND(G$4&gt;='Single Project Assumptions'!$H$11,'Entitlement Phase'!G$4&lt;'Single Project Assumptions'!$H$13),'Single Project Assumptions'!$D$50/12,0)</f>
        <v>0</v>
      </c>
      <c r="H18" s="89">
        <f>IF(AND(H$4&gt;='Single Project Assumptions'!$H$11,'Entitlement Phase'!H$4&lt;'Single Project Assumptions'!$H$13),'Single Project Assumptions'!$D$50/12,0)</f>
        <v>0</v>
      </c>
      <c r="I18" s="89">
        <f>IF(AND(I$4&gt;='Single Project Assumptions'!$H$11,'Entitlement Phase'!I$4&lt;'Single Project Assumptions'!$H$13),'Single Project Assumptions'!$D$50/12,0)</f>
        <v>0</v>
      </c>
      <c r="J18" s="89">
        <f>IF(AND(J$4&gt;='Single Project Assumptions'!$H$11,'Entitlement Phase'!J$4&lt;'Single Project Assumptions'!$H$13),'Single Project Assumptions'!$D$50/12,0)</f>
        <v>0</v>
      </c>
      <c r="K18" s="89">
        <f>IF(AND(K$4&gt;='Single Project Assumptions'!$H$11,'Entitlement Phase'!K$4&lt;'Single Project Assumptions'!$H$13),'Single Project Assumptions'!$D$50/12,0)</f>
        <v>1666.6666666666667</v>
      </c>
      <c r="L18" s="89">
        <f>IF(AND(L$4&gt;='Single Project Assumptions'!$H$11,'Entitlement Phase'!L$4&lt;'Single Project Assumptions'!$H$13),'Single Project Assumptions'!$D$50/12,0)</f>
        <v>1666.6666666666667</v>
      </c>
      <c r="M18" s="89">
        <f>IF(AND(M$4&gt;='Single Project Assumptions'!$H$11,'Entitlement Phase'!M$4&lt;'Single Project Assumptions'!$H$13),'Single Project Assumptions'!$D$50/12,0)</f>
        <v>1666.6666666666667</v>
      </c>
      <c r="N18" s="89">
        <f>IF(AND(N$4&gt;='Single Project Assumptions'!$H$11,'Entitlement Phase'!N$4&lt;'Single Project Assumptions'!$H$13),'Single Project Assumptions'!$D$50/12,0)</f>
        <v>1666.6666666666667</v>
      </c>
      <c r="O18" s="89">
        <f>IF(AND(O$4&gt;='Single Project Assumptions'!$H$11,'Entitlement Phase'!O$4&lt;'Single Project Assumptions'!$H$13),'Single Project Assumptions'!$D$50/12,0)</f>
        <v>1666.6666666666667</v>
      </c>
      <c r="P18" s="89">
        <f>IF(AND(P$4&gt;='Single Project Assumptions'!$H$11,'Entitlement Phase'!P$4&lt;'Single Project Assumptions'!$H$13),'Single Project Assumptions'!$D$50/12,0)</f>
        <v>1666.6666666666667</v>
      </c>
      <c r="Q18" s="89">
        <f>IF(AND(Q$4&gt;='Single Project Assumptions'!$H$11,'Entitlement Phase'!Q$4&lt;'Single Project Assumptions'!$H$13),'Single Project Assumptions'!$D$50/12,0)</f>
        <v>1666.6666666666667</v>
      </c>
      <c r="R18" s="89">
        <f>IF(AND(R$4&gt;='Single Project Assumptions'!$H$11,'Entitlement Phase'!R$4&lt;'Single Project Assumptions'!$H$13),'Single Project Assumptions'!$D$50/12,0)</f>
        <v>1666.6666666666667</v>
      </c>
      <c r="S18" s="89">
        <f>IF(AND(S$4&gt;='Single Project Assumptions'!$H$11,'Entitlement Phase'!S$4&lt;'Single Project Assumptions'!$H$13),'Single Project Assumptions'!$D$50/12,0)</f>
        <v>1666.6666666666667</v>
      </c>
      <c r="T18" s="89">
        <f>IF(AND(T$4&gt;='Single Project Assumptions'!$H$11,'Entitlement Phase'!T$4&lt;'Single Project Assumptions'!$H$13),'Single Project Assumptions'!$D$50/12,0)</f>
        <v>1666.6666666666667</v>
      </c>
      <c r="U18" s="89">
        <f>IF(AND(U$4&gt;='Single Project Assumptions'!$H$11,'Entitlement Phase'!U$4&lt;'Single Project Assumptions'!$H$13),'Single Project Assumptions'!$D$50/12,0)</f>
        <v>1666.6666666666667</v>
      </c>
      <c r="V18" s="89">
        <f>IF(AND(V$4&gt;='Single Project Assumptions'!$H$11,'Entitlement Phase'!V$4&lt;'Single Project Assumptions'!$H$13),'Single Project Assumptions'!$D$50/12,0)</f>
        <v>1666.6666666666667</v>
      </c>
      <c r="W18" s="89">
        <f>IF(AND(W$4&gt;='Single Project Assumptions'!$H$11,'Entitlement Phase'!W$4&lt;'Single Project Assumptions'!$H$13),'Single Project Assumptions'!$D$50/12,0)</f>
        <v>0</v>
      </c>
      <c r="X18" s="89">
        <f>IF(AND(X$4&gt;='Single Project Assumptions'!$H$11,'Entitlement Phase'!X$4&lt;'Single Project Assumptions'!$H$13),'Single Project Assumptions'!$D$50/12,0)</f>
        <v>0</v>
      </c>
      <c r="Y18" s="89">
        <f>IF(AND(Y$4&gt;='Single Project Assumptions'!$H$11,'Entitlement Phase'!Y$4&lt;'Single Project Assumptions'!$H$13),'Single Project Assumptions'!$D$50/12,0)</f>
        <v>0</v>
      </c>
      <c r="Z18" s="89">
        <f>IF(AND(Z$4&gt;='Single Project Assumptions'!$H$11,'Entitlement Phase'!Z$4&lt;'Single Project Assumptions'!$H$13),'Single Project Assumptions'!$D$50/12,0)</f>
        <v>0</v>
      </c>
      <c r="AA18" s="89">
        <f>IF(AND(AA$4&gt;='Single Project Assumptions'!$H$11,'Entitlement Phase'!AA$4&lt;'Single Project Assumptions'!$H$13),'Single Project Assumptions'!$D$50/12,0)</f>
        <v>0</v>
      </c>
      <c r="AB18" s="89">
        <f>IF(AND(AB$4&gt;='Single Project Assumptions'!$H$11,'Entitlement Phase'!AB$4&lt;'Single Project Assumptions'!$H$13),'Single Project Assumptions'!$D$50/12,0)</f>
        <v>0</v>
      </c>
      <c r="AC18" s="89">
        <f>IF(AND(AC$4&gt;='Single Project Assumptions'!$H$11,'Entitlement Phase'!AC$4&lt;'Single Project Assumptions'!$H$13),'Single Project Assumptions'!$D$50/12,0)</f>
        <v>0</v>
      </c>
      <c r="AD18" s="89">
        <f>IF(AND(AD$4&gt;='Single Project Assumptions'!$H$11,'Entitlement Phase'!AD$4&lt;'Single Project Assumptions'!$H$13),'Single Project Assumptions'!$D$50/12,0)</f>
        <v>0</v>
      </c>
      <c r="AE18" s="89">
        <f>IF(AND(AE$4&gt;='Single Project Assumptions'!$H$11,'Entitlement Phase'!AE$4&lt;'Single Project Assumptions'!$H$13),'Single Project Assumptions'!$D$50/12,0)</f>
        <v>0</v>
      </c>
      <c r="AF18" s="89">
        <f>IF(AND(AF$4&gt;='Single Project Assumptions'!$H$11,'Entitlement Phase'!AF$4&lt;'Single Project Assumptions'!$H$13),'Single Project Assumptions'!$D$50/12,0)</f>
        <v>0</v>
      </c>
      <c r="AG18" s="89">
        <f>IF(AND(AG$4&gt;='Single Project Assumptions'!$H$11,'Entitlement Phase'!AG$4&lt;'Single Project Assumptions'!$H$13),'Single Project Assumptions'!$D$50/12,0)</f>
        <v>0</v>
      </c>
      <c r="AH18" s="89">
        <f>IF(AND(AH$4&gt;='Single Project Assumptions'!$H$11,'Entitlement Phase'!AH$4&lt;'Single Project Assumptions'!$H$13),'Single Project Assumptions'!$D$50/12,0)</f>
        <v>0</v>
      </c>
      <c r="AI18" s="89">
        <f>IF(AND(AI$4&gt;='Single Project Assumptions'!$H$11,'Entitlement Phase'!AI$4&lt;'Single Project Assumptions'!$H$13),'Single Project Assumptions'!$D$50/12,0)</f>
        <v>0</v>
      </c>
      <c r="AJ18" s="89">
        <f>IF(AND(AJ$4&gt;='Single Project Assumptions'!$H$11,'Entitlement Phase'!AJ$4&lt;'Single Project Assumptions'!$H$13),'Single Project Assumptions'!$D$50/12,0)</f>
        <v>0</v>
      </c>
      <c r="AK18" s="89">
        <f>IF(AND(AK$4&gt;='Single Project Assumptions'!$H$11,'Entitlement Phase'!AK$4&lt;'Single Project Assumptions'!$H$13),'Single Project Assumptions'!$D$50/12,0)</f>
        <v>0</v>
      </c>
      <c r="AL18" s="89">
        <f>IF(AND(AL$4&gt;='Single Project Assumptions'!$H$11,'Entitlement Phase'!AL$4&lt;'Single Project Assumptions'!$H$13),'Single Project Assumptions'!$D$50/12,0)</f>
        <v>0</v>
      </c>
      <c r="AM18" s="89">
        <f>IF(AND(AM$4&gt;='Single Project Assumptions'!$H$11,'Entitlement Phase'!AM$4&lt;'Single Project Assumptions'!$H$13),'Single Project Assumptions'!$D$50/12,0)</f>
        <v>0</v>
      </c>
      <c r="AN18" s="89">
        <f>IF(AND(AN$4&gt;='Single Project Assumptions'!$H$11,'Entitlement Phase'!AN$4&lt;'Single Project Assumptions'!$H$13),'Single Project Assumptions'!$D$50/12,0)</f>
        <v>0</v>
      </c>
      <c r="AO18" s="89">
        <f>IF(AND(AO$4&gt;='Single Project Assumptions'!$H$11,'Entitlement Phase'!AO$4&lt;'Single Project Assumptions'!$H$13),'Single Project Assumptions'!$D$50/12,0)</f>
        <v>0</v>
      </c>
      <c r="AP18" s="89">
        <f>IF(AND(AP$4&gt;='Single Project Assumptions'!$H$11,'Entitlement Phase'!AP$4&lt;'Single Project Assumptions'!$H$13),'Single Project Assumptions'!$D$50/12,0)</f>
        <v>0</v>
      </c>
      <c r="AQ18" s="89">
        <f>IF(AND(AQ$4&gt;='Single Project Assumptions'!$H$11,'Entitlement Phase'!AQ$4&lt;'Single Project Assumptions'!$H$13),'Single Project Assumptions'!$D$50/12,0)</f>
        <v>0</v>
      </c>
      <c r="AR18" s="89">
        <f>IF(AND(AR$4&gt;='Single Project Assumptions'!$H$11,'Entitlement Phase'!AR$4&lt;'Single Project Assumptions'!$H$13),'Single Project Assumptions'!$D$50/12,0)</f>
        <v>0</v>
      </c>
      <c r="AS18" s="89">
        <f>IF(AND(AS$4&gt;='Single Project Assumptions'!$H$11,'Entitlement Phase'!AS$4&lt;'Single Project Assumptions'!$H$13),'Single Project Assumptions'!$D$50/12,0)</f>
        <v>0</v>
      </c>
      <c r="AT18" s="89">
        <f>IF(AND(AT$4&gt;='Single Project Assumptions'!$H$11,'Entitlement Phase'!AT$4&lt;'Single Project Assumptions'!$H$13),'Single Project Assumptions'!$D$50/12,0)</f>
        <v>0</v>
      </c>
      <c r="AU18" s="89">
        <f>IF(AND(AU$4&gt;='Single Project Assumptions'!$H$11,'Entitlement Phase'!AU$4&lt;'Single Project Assumptions'!$H$13),'Single Project Assumptions'!$D$50/12,0)</f>
        <v>0</v>
      </c>
      <c r="AV18" s="89">
        <f>IF(AND(AV$4&gt;='Single Project Assumptions'!$H$11,'Entitlement Phase'!AV$4&lt;'Single Project Assumptions'!$H$13),'Single Project Assumptions'!$D$50/12,0)</f>
        <v>0</v>
      </c>
      <c r="AW18" s="89">
        <f>IF(AND(AW$4&gt;='Single Project Assumptions'!$H$11,'Entitlement Phase'!AW$4&lt;'Single Project Assumptions'!$H$13),'Single Project Assumptions'!$D$50/12,0)</f>
        <v>0</v>
      </c>
      <c r="AX18" s="89">
        <f>IF(AND(AX$4&gt;='Single Project Assumptions'!$H$11,'Entitlement Phase'!AX$4&lt;'Single Project Assumptions'!$H$13),'Single Project Assumptions'!$D$50/12,0)</f>
        <v>0</v>
      </c>
      <c r="AY18" s="89">
        <f>IF(AND(AY$4&gt;='Single Project Assumptions'!$H$11,'Entitlement Phase'!AY$4&lt;'Single Project Assumptions'!$H$13),'Single Project Assumptions'!$D$50/12,0)</f>
        <v>0</v>
      </c>
      <c r="AZ18" s="89">
        <f>IF(AND(AZ$4&gt;='Single Project Assumptions'!$H$11,'Entitlement Phase'!AZ$4&lt;'Single Project Assumptions'!$H$13),'Single Project Assumptions'!$D$50/12,0)</f>
        <v>0</v>
      </c>
      <c r="BA18" s="89">
        <f>IF(AND(BA$4&gt;='Single Project Assumptions'!$H$11,'Entitlement Phase'!BA$4&lt;'Single Project Assumptions'!$H$13),'Single Project Assumptions'!$D$50/12,0)</f>
        <v>0</v>
      </c>
      <c r="BB18" s="89">
        <f>IF(AND(BB$4&gt;='Single Project Assumptions'!$H$11,'Entitlement Phase'!BB$4&lt;'Single Project Assumptions'!$H$13),'Single Project Assumptions'!$D$50/12,0)</f>
        <v>0</v>
      </c>
      <c r="BC18" s="89">
        <f>IF(AND(BC$4&gt;='Single Project Assumptions'!$H$11,'Entitlement Phase'!BC$4&lt;'Single Project Assumptions'!$H$13),'Single Project Assumptions'!$D$50/12,0)</f>
        <v>0</v>
      </c>
      <c r="BD18" s="89">
        <f>IF(AND(BD$4&gt;='Single Project Assumptions'!$H$11,'Entitlement Phase'!BD$4&lt;'Single Project Assumptions'!$H$13),'Single Project Assumptions'!$D$50/12,0)</f>
        <v>0</v>
      </c>
      <c r="BE18" s="89">
        <f>IF(AND(BE$4&gt;='Single Project Assumptions'!$H$11,'Entitlement Phase'!BE$4&lt;'Single Project Assumptions'!$H$13),'Single Project Assumptions'!$D$50/12,0)</f>
        <v>0</v>
      </c>
      <c r="BF18" s="89">
        <f>IF(AND(BF$4&gt;='Single Project Assumptions'!$H$11,'Entitlement Phase'!BF$4&lt;'Single Project Assumptions'!$H$13),'Single Project Assumptions'!$D$50/12,0)</f>
        <v>0</v>
      </c>
      <c r="BG18" s="89">
        <f>IF(AND(BG$4&gt;='Single Project Assumptions'!$H$11,'Entitlement Phase'!BG$4&lt;'Single Project Assumptions'!$H$13),'Single Project Assumptions'!$D$50/12,0)</f>
        <v>0</v>
      </c>
      <c r="BH18" s="89">
        <f>IF(AND(BH$4&gt;='Single Project Assumptions'!$H$11,'Entitlement Phase'!BH$4&lt;'Single Project Assumptions'!$H$13),'Single Project Assumptions'!$D$50/12,0)</f>
        <v>0</v>
      </c>
      <c r="BI18" s="89">
        <f>IF(AND(BI$4&gt;='Single Project Assumptions'!$H$11,'Entitlement Phase'!BI$4&lt;'Single Project Assumptions'!$H$13),'Single Project Assumptions'!$D$50/12,0)</f>
        <v>0</v>
      </c>
      <c r="BJ18" s="89">
        <f>IF(AND(BJ$4&gt;='Single Project Assumptions'!$H$11,'Entitlement Phase'!BJ$4&lt;'Single Project Assumptions'!$H$13),'Single Project Assumptions'!$D$50/12,0)</f>
        <v>0</v>
      </c>
      <c r="BK18" s="89">
        <f>IF(AND(BK$4&gt;='Single Project Assumptions'!$H$11,'Entitlement Phase'!BK$4&lt;'Single Project Assumptions'!$H$13),'Single Project Assumptions'!$D$50/12,0)</f>
        <v>0</v>
      </c>
      <c r="BL18" s="89">
        <f>IF(AND(BL$4&gt;='Single Project Assumptions'!$H$11,'Entitlement Phase'!BL$4&lt;'Single Project Assumptions'!$H$13),'Single Project Assumptions'!$D$50/12,0)</f>
        <v>0</v>
      </c>
      <c r="BM18" s="89">
        <f>IF(AND(BM$4&gt;='Single Project Assumptions'!$H$11,'Entitlement Phase'!BM$4&lt;'Single Project Assumptions'!$H$13),'Single Project Assumptions'!$D$50/12,0)</f>
        <v>0</v>
      </c>
      <c r="BN18" s="89">
        <f>IF(AND(BN$4&gt;='Single Project Assumptions'!$H$11,'Entitlement Phase'!BN$4&lt;'Single Project Assumptions'!$H$13),'Single Project Assumptions'!$D$50/12,0)</f>
        <v>0</v>
      </c>
      <c r="BO18" s="89">
        <f>IF(AND(BO$4&gt;='Single Project Assumptions'!$H$11,'Entitlement Phase'!BO$4&lt;'Single Project Assumptions'!$H$13),'Single Project Assumptions'!$D$50/12,0)</f>
        <v>0</v>
      </c>
      <c r="BP18" s="89">
        <f>IF(AND(BP$4&gt;='Single Project Assumptions'!$H$11,'Entitlement Phase'!BP$4&lt;'Single Project Assumptions'!$H$13),'Single Project Assumptions'!$D$50/12,0)</f>
        <v>0</v>
      </c>
      <c r="BQ18" s="89">
        <f>IF(AND(BQ$4&gt;='Single Project Assumptions'!$H$11,'Entitlement Phase'!BQ$4&lt;'Single Project Assumptions'!$H$13),'Single Project Assumptions'!$D$50/12,0)</f>
        <v>0</v>
      </c>
      <c r="BR18" s="89">
        <f>IF(AND(BR$4&gt;='Single Project Assumptions'!$H$11,'Entitlement Phase'!BR$4&lt;'Single Project Assumptions'!$H$13),'Single Project Assumptions'!$D$50/12,0)</f>
        <v>0</v>
      </c>
      <c r="BS18" s="89">
        <f>IF(AND(BS$4&gt;='Single Project Assumptions'!$H$11,'Entitlement Phase'!BS$4&lt;'Single Project Assumptions'!$H$13),'Single Project Assumptions'!$D$50/12,0)</f>
        <v>0</v>
      </c>
      <c r="BT18" s="89">
        <f>IF(AND(BT$4&gt;='Single Project Assumptions'!$H$11,'Entitlement Phase'!BT$4&lt;'Single Project Assumptions'!$H$13),'Single Project Assumptions'!$D$50/12,0)</f>
        <v>0</v>
      </c>
      <c r="BU18" s="89">
        <f>IF(AND(BU$4&gt;='Single Project Assumptions'!$H$11,'Entitlement Phase'!BU$4&lt;'Single Project Assumptions'!$H$13),'Single Project Assumptions'!$D$50/12,0)</f>
        <v>0</v>
      </c>
      <c r="BV18" s="89">
        <f>IF(AND(BV$4&gt;='Single Project Assumptions'!$H$11,'Entitlement Phase'!BV$4&lt;'Single Project Assumptions'!$H$13),'Single Project Assumptions'!$D$50/12,0)</f>
        <v>0</v>
      </c>
      <c r="BW18" s="89">
        <f>IF(AND(BW$4&gt;='Single Project Assumptions'!$H$11,'Entitlement Phase'!BW$4&lt;'Single Project Assumptions'!$H$13),'Single Project Assumptions'!$D$50/12,0)</f>
        <v>0</v>
      </c>
      <c r="BX18" s="89">
        <f>IF(AND(BX$4&gt;='Single Project Assumptions'!$H$11,'Entitlement Phase'!BX$4&lt;'Single Project Assumptions'!$H$13),'Single Project Assumptions'!$D$50/12,0)</f>
        <v>0</v>
      </c>
      <c r="BY18" s="89">
        <f>IF(AND(BY$4&gt;='Single Project Assumptions'!$H$11,'Entitlement Phase'!BY$4&lt;'Single Project Assumptions'!$H$13),'Single Project Assumptions'!$D$50/12,0)</f>
        <v>0</v>
      </c>
      <c r="BZ18" s="89">
        <f>IF(AND(BZ$4&gt;='Single Project Assumptions'!$H$11,'Entitlement Phase'!BZ$4&lt;'Single Project Assumptions'!$H$13),'Single Project Assumptions'!$D$50/12,0)</f>
        <v>0</v>
      </c>
      <c r="CA18" s="89">
        <f>IF(AND(CA$4&gt;='Single Project Assumptions'!$H$11,'Entitlement Phase'!CA$4&lt;'Single Project Assumptions'!$H$13),'Single Project Assumptions'!$D$50/12,0)</f>
        <v>0</v>
      </c>
      <c r="CB18" s="89">
        <f>IF(AND(CB$4&gt;='Single Project Assumptions'!$H$11,'Entitlement Phase'!CB$4&lt;'Single Project Assumptions'!$H$13),'Single Project Assumptions'!$D$50/12,0)</f>
        <v>0</v>
      </c>
      <c r="CC18" s="89">
        <f>IF(AND(CC$4&gt;='Single Project Assumptions'!$H$11,'Entitlement Phase'!CC$4&lt;'Single Project Assumptions'!$H$13),'Single Project Assumptions'!$D$50/12,0)</f>
        <v>0</v>
      </c>
      <c r="CD18" s="89">
        <f>IF(AND(CD$4&gt;='Single Project Assumptions'!$H$11,'Entitlement Phase'!CD$4&lt;'Single Project Assumptions'!$H$13),'Single Project Assumptions'!$D$50/12,0)</f>
        <v>0</v>
      </c>
      <c r="CE18" s="89">
        <f>IF(AND(CE$4&gt;='Single Project Assumptions'!$H$11,'Entitlement Phase'!CE$4&lt;'Single Project Assumptions'!$H$13),'Single Project Assumptions'!$D$50/12,0)</f>
        <v>0</v>
      </c>
      <c r="CF18" s="89">
        <f>IF(AND(CF$4&gt;='Single Project Assumptions'!$H$11,'Entitlement Phase'!CF$4&lt;'Single Project Assumptions'!$H$13),'Single Project Assumptions'!$D$50/12,0)</f>
        <v>0</v>
      </c>
      <c r="CG18" s="89">
        <f>IF(AND(CG$4&gt;='Single Project Assumptions'!$H$11,'Entitlement Phase'!CG$4&lt;'Single Project Assumptions'!$H$13),'Single Project Assumptions'!$D$50/12,0)</f>
        <v>0</v>
      </c>
      <c r="CH18" s="89">
        <f>IF(AND(CH$4&gt;='Single Project Assumptions'!$H$11,'Entitlement Phase'!CH$4&lt;'Single Project Assumptions'!$H$13),'Single Project Assumptions'!$D$50/12,0)</f>
        <v>0</v>
      </c>
      <c r="CI18" s="89">
        <f>IF(AND(CI$4&gt;='Single Project Assumptions'!$H$11,'Entitlement Phase'!CI$4&lt;'Single Project Assumptions'!$H$13),'Single Project Assumptions'!$D$50/12,0)</f>
        <v>0</v>
      </c>
      <c r="CJ18" s="89">
        <f>IF(AND(CJ$4&gt;='Single Project Assumptions'!$H$11,'Entitlement Phase'!CJ$4&lt;'Single Project Assumptions'!$H$13),'Single Project Assumptions'!$D$50/12,0)</f>
        <v>0</v>
      </c>
      <c r="CK18" s="89">
        <f>IF(AND(CK$4&gt;='Single Project Assumptions'!$H$11,'Entitlement Phase'!CK$4&lt;'Single Project Assumptions'!$H$13),'Single Project Assumptions'!$D$50/12,0)</f>
        <v>0</v>
      </c>
      <c r="CL18" s="89">
        <f>IF(AND(CL$4&gt;='Single Project Assumptions'!$H$11,'Entitlement Phase'!CL$4&lt;'Single Project Assumptions'!$H$13),'Single Project Assumptions'!$D$50/12,0)</f>
        <v>0</v>
      </c>
      <c r="CM18" s="89">
        <f>IF(AND(CM$4&gt;='Single Project Assumptions'!$H$11,'Entitlement Phase'!CM$4&lt;'Single Project Assumptions'!$H$13),'Single Project Assumptions'!$D$50/12,0)</f>
        <v>0</v>
      </c>
      <c r="CN18" s="89">
        <f>IF(AND(CN$4&gt;='Single Project Assumptions'!$H$11,'Entitlement Phase'!CN$4&lt;'Single Project Assumptions'!$H$13),'Single Project Assumptions'!$D$50/12,0)</f>
        <v>0</v>
      </c>
      <c r="CO18" s="89">
        <f>IF(AND(CO$4&gt;='Single Project Assumptions'!$H$11,'Entitlement Phase'!CO$4&lt;'Single Project Assumptions'!$H$13),'Single Project Assumptions'!$D$50/12,0)</f>
        <v>0</v>
      </c>
      <c r="CP18" s="89">
        <f>IF(AND(CP$4&gt;='Single Project Assumptions'!$H$11,'Entitlement Phase'!CP$4&lt;'Single Project Assumptions'!$H$13),'Single Project Assumptions'!$D$50/12,0)</f>
        <v>0</v>
      </c>
      <c r="CQ18" s="89">
        <f>IF(AND(CQ$4&gt;='Single Project Assumptions'!$H$11,'Entitlement Phase'!CQ$4&lt;'Single Project Assumptions'!$H$13),'Single Project Assumptions'!$D$50/12,0)</f>
        <v>0</v>
      </c>
      <c r="CR18" s="89">
        <f>IF(AND(CR$4&gt;='Single Project Assumptions'!$H$11,'Entitlement Phase'!CR$4&lt;'Single Project Assumptions'!$H$13),'Single Project Assumptions'!$D$50/12,0)</f>
        <v>0</v>
      </c>
      <c r="CS18" s="89">
        <f>IF(AND(CS$4&gt;='Single Project Assumptions'!$H$11,'Entitlement Phase'!CS$4&lt;'Single Project Assumptions'!$H$13),'Single Project Assumptions'!$D$50/12,0)</f>
        <v>0</v>
      </c>
      <c r="CT18" s="89">
        <f>IF(AND(CT$4&gt;='Single Project Assumptions'!$H$11,'Entitlement Phase'!CT$4&lt;'Single Project Assumptions'!$H$13),'Single Project Assumptions'!$D$50/12,0)</f>
        <v>0</v>
      </c>
      <c r="CU18" s="89">
        <f>IF(AND(CU$4&gt;='Single Project Assumptions'!$H$11,'Entitlement Phase'!CU$4&lt;'Single Project Assumptions'!$H$13),'Single Project Assumptions'!$D$50/12,0)</f>
        <v>0</v>
      </c>
      <c r="CV18" s="89">
        <f>IF(AND(CV$4&gt;='Single Project Assumptions'!$H$11,'Entitlement Phase'!CV$4&lt;'Single Project Assumptions'!$H$13),'Single Project Assumptions'!$D$50/12,0)</f>
        <v>0</v>
      </c>
      <c r="CW18" s="89">
        <f>IF(AND(CW$4&gt;='Single Project Assumptions'!$H$11,'Entitlement Phase'!CW$4&lt;'Single Project Assumptions'!$H$13),'Single Project Assumptions'!$D$50/12,0)</f>
        <v>0</v>
      </c>
      <c r="CX18" s="89">
        <f>IF(AND(CX$4&gt;='Single Project Assumptions'!$H$11,'Entitlement Phase'!CX$4&lt;'Single Project Assumptions'!$H$13),'Single Project Assumptions'!$D$50/12,0)</f>
        <v>0</v>
      </c>
      <c r="CY18" s="89">
        <f>IF(AND(CY$4&gt;='Single Project Assumptions'!$H$11,'Entitlement Phase'!CY$4&lt;'Single Project Assumptions'!$H$13),'Single Project Assumptions'!$D$50/12,0)</f>
        <v>0</v>
      </c>
      <c r="CZ18" s="89">
        <f>IF(AND(CZ$4&gt;='Single Project Assumptions'!$H$11,'Entitlement Phase'!CZ$4&lt;'Single Project Assumptions'!$H$13),'Single Project Assumptions'!$D$50/12,0)</f>
        <v>0</v>
      </c>
      <c r="DA18" s="89">
        <f>IF(AND(DA$4&gt;='Single Project Assumptions'!$H$11,'Entitlement Phase'!DA$4&lt;'Single Project Assumptions'!$H$13),'Single Project Assumptions'!$D$50/12,0)</f>
        <v>0</v>
      </c>
      <c r="DB18" s="89">
        <f>IF(AND(DB$4&gt;='Single Project Assumptions'!$H$11,'Entitlement Phase'!DB$4&lt;'Single Project Assumptions'!$H$13),'Single Project Assumptions'!$D$50/12,0)</f>
        <v>0</v>
      </c>
      <c r="DC18" s="89">
        <f>IF(AND(DC$4&gt;='Single Project Assumptions'!$H$11,'Entitlement Phase'!DC$4&lt;'Single Project Assumptions'!$H$13),'Single Project Assumptions'!$D$50/12,0)</f>
        <v>0</v>
      </c>
      <c r="DD18" s="89">
        <f>IF(AND(DD$4&gt;='Single Project Assumptions'!$H$11,'Entitlement Phase'!DD$4&lt;'Single Project Assumptions'!$H$13),'Single Project Assumptions'!$D$50/12,0)</f>
        <v>0</v>
      </c>
      <c r="DE18" s="89">
        <f>IF(AND(DE$4&gt;='Single Project Assumptions'!$H$11,'Entitlement Phase'!DE$4&lt;'Single Project Assumptions'!$H$13),'Single Project Assumptions'!$D$50/12,0)</f>
        <v>0</v>
      </c>
      <c r="DF18" s="89">
        <f>IF(AND(DF$4&gt;='Single Project Assumptions'!$H$11,'Entitlement Phase'!DF$4&lt;'Single Project Assumptions'!$H$13),'Single Project Assumptions'!$D$50/12,0)</f>
        <v>0</v>
      </c>
      <c r="DG18" s="89">
        <f>IF(AND(DG$4&gt;='Single Project Assumptions'!$H$11,'Entitlement Phase'!DG$4&lt;'Single Project Assumptions'!$H$13),'Single Project Assumptions'!$D$50/12,0)</f>
        <v>0</v>
      </c>
      <c r="DH18" s="89">
        <f>IF(AND(DH$4&gt;='Single Project Assumptions'!$H$11,'Entitlement Phase'!DH$4&lt;'Single Project Assumptions'!$H$13),'Single Project Assumptions'!$D$50/12,0)</f>
        <v>0</v>
      </c>
      <c r="DI18" s="89">
        <f>IF(AND(DI$4&gt;='Single Project Assumptions'!$H$11,'Entitlement Phase'!DI$4&lt;'Single Project Assumptions'!$H$13),'Single Project Assumptions'!$D$50/12,0)</f>
        <v>0</v>
      </c>
      <c r="DJ18" s="89">
        <f>IF(AND(DJ$4&gt;='Single Project Assumptions'!$H$11,'Entitlement Phase'!DJ$4&lt;'Single Project Assumptions'!$H$13),'Single Project Assumptions'!$D$50/12,0)</f>
        <v>0</v>
      </c>
      <c r="DK18" s="89">
        <f>IF(AND(DK$4&gt;='Single Project Assumptions'!$H$11,'Entitlement Phase'!DK$4&lt;'Single Project Assumptions'!$H$13),'Single Project Assumptions'!$D$50/12,0)</f>
        <v>0</v>
      </c>
      <c r="DL18" s="89">
        <f>IF(AND(DL$4&gt;='Single Project Assumptions'!$H$11,'Entitlement Phase'!DL$4&lt;'Single Project Assumptions'!$H$13),'Single Project Assumptions'!$D$50/12,0)</f>
        <v>0</v>
      </c>
      <c r="DM18" s="89">
        <f>IF(AND(DM$4&gt;='Single Project Assumptions'!$H$11,'Entitlement Phase'!DM$4&lt;'Single Project Assumptions'!$H$13),'Single Project Assumptions'!$D$50/12,0)</f>
        <v>0</v>
      </c>
      <c r="DN18" s="89">
        <f>IF(AND(DN$4&gt;='Single Project Assumptions'!$H$11,'Entitlement Phase'!DN$4&lt;'Single Project Assumptions'!$H$13),'Single Project Assumptions'!$D$50/12,0)</f>
        <v>0</v>
      </c>
      <c r="DO18" s="89">
        <f>IF(AND(DO$4&gt;='Single Project Assumptions'!$H$11,'Entitlement Phase'!DO$4&lt;'Single Project Assumptions'!$H$13),'Single Project Assumptions'!$D$50/12,0)</f>
        <v>0</v>
      </c>
      <c r="DP18" s="89">
        <f>IF(AND(DP$4&gt;='Single Project Assumptions'!$H$11,'Entitlement Phase'!DP$4&lt;'Single Project Assumptions'!$H$13),'Single Project Assumptions'!$D$50/12,0)</f>
        <v>0</v>
      </c>
      <c r="DQ18" s="89">
        <f>IF(AND(DQ$4&gt;='Single Project Assumptions'!$H$11,'Entitlement Phase'!DQ$4&lt;'Single Project Assumptions'!$H$13),'Single Project Assumptions'!$D$50/12,0)</f>
        <v>0</v>
      </c>
      <c r="DR18" s="89">
        <f>IF(AND(DR$4&gt;='Single Project Assumptions'!$H$11,'Entitlement Phase'!DR$4&lt;'Single Project Assumptions'!$H$13),'Single Project Assumptions'!$D$50/12,0)</f>
        <v>0</v>
      </c>
      <c r="DS18" s="89">
        <f>IF(AND(DS$4&gt;='Single Project Assumptions'!$H$11,'Entitlement Phase'!DS$4&lt;'Single Project Assumptions'!$H$13),'Single Project Assumptions'!$D$50/12,0)</f>
        <v>0</v>
      </c>
      <c r="DT18" s="89">
        <f>IF(AND(DT$4&gt;='Single Project Assumptions'!$H$11,'Entitlement Phase'!DT$4&lt;'Single Project Assumptions'!$H$13),'Single Project Assumptions'!$D$50/12,0)</f>
        <v>0</v>
      </c>
      <c r="DU18" s="89">
        <f>IF(AND(DU$4&gt;='Single Project Assumptions'!$H$11,'Entitlement Phase'!DU$4&lt;'Single Project Assumptions'!$H$13),'Single Project Assumptions'!$D$50/12,0)</f>
        <v>0</v>
      </c>
    </row>
    <row r="19" spans="3:125" s="3" customFormat="1" ht="22.95" customHeight="1">
      <c r="C19" s="31" t="s">
        <v>268</v>
      </c>
      <c r="D19" s="79">
        <f>MAX(E19:DU19)</f>
        <v>0.02</v>
      </c>
      <c r="E19" s="78">
        <f>(E18*12)/'Single Project Assumptions'!$D$39</f>
        <v>0</v>
      </c>
      <c r="F19" s="78">
        <f>(F18*12)/'Single Project Assumptions'!$D$39</f>
        <v>0</v>
      </c>
      <c r="G19" s="78">
        <f>(G18*12)/'Single Project Assumptions'!$D$39</f>
        <v>0</v>
      </c>
      <c r="H19" s="78">
        <f>(H18*12)/'Single Project Assumptions'!$D$39</f>
        <v>0</v>
      </c>
      <c r="I19" s="78">
        <f>(I18*12)/'Single Project Assumptions'!$D$39</f>
        <v>0</v>
      </c>
      <c r="J19" s="78">
        <f>(J18*12)/'Single Project Assumptions'!$D$39</f>
        <v>0</v>
      </c>
      <c r="K19" s="78">
        <f>(K18*12)/'Single Project Assumptions'!$D$39</f>
        <v>0.02</v>
      </c>
      <c r="L19" s="78">
        <f>(L18*12)/'Single Project Assumptions'!$D$39</f>
        <v>0.02</v>
      </c>
      <c r="M19" s="78">
        <f>(M18*12)/'Single Project Assumptions'!$D$39</f>
        <v>0.02</v>
      </c>
      <c r="N19" s="78">
        <f>(N18*12)/'Single Project Assumptions'!$D$39</f>
        <v>0.02</v>
      </c>
      <c r="O19" s="78">
        <f>(O18*12)/'Single Project Assumptions'!$D$39</f>
        <v>0.02</v>
      </c>
      <c r="P19" s="78">
        <f>(P18*12)/'Single Project Assumptions'!$D$39</f>
        <v>0.02</v>
      </c>
      <c r="Q19" s="78">
        <f>(Q18*12)/'Single Project Assumptions'!$D$39</f>
        <v>0.02</v>
      </c>
      <c r="R19" s="78">
        <f>(R18*12)/'Single Project Assumptions'!$D$39</f>
        <v>0.02</v>
      </c>
      <c r="S19" s="78">
        <f>(S18*12)/'Single Project Assumptions'!$D$39</f>
        <v>0.02</v>
      </c>
      <c r="T19" s="78">
        <f>(T18*12)/'Single Project Assumptions'!$D$39</f>
        <v>0.02</v>
      </c>
      <c r="U19" s="78">
        <f>(U18*12)/'Single Project Assumptions'!$D$39</f>
        <v>0.02</v>
      </c>
      <c r="V19" s="78">
        <f>(V18*12)/'Single Project Assumptions'!$D$39</f>
        <v>0.02</v>
      </c>
      <c r="W19" s="78">
        <f>(W18*12)/'Single Project Assumptions'!$D$39</f>
        <v>0</v>
      </c>
      <c r="X19" s="78">
        <f>(X18*12)/'Single Project Assumptions'!$D$39</f>
        <v>0</v>
      </c>
      <c r="Y19" s="78">
        <f>(Y18*12)/'Single Project Assumptions'!$D$39</f>
        <v>0</v>
      </c>
      <c r="Z19" s="78">
        <f>(Z18*12)/'Single Project Assumptions'!$D$39</f>
        <v>0</v>
      </c>
      <c r="AA19" s="78">
        <f>(AA18*12)/'Single Project Assumptions'!$D$39</f>
        <v>0</v>
      </c>
      <c r="AB19" s="78">
        <f>(AB18*12)/'Single Project Assumptions'!$D$39</f>
        <v>0</v>
      </c>
      <c r="AC19" s="78">
        <f>(AC18*12)/'Single Project Assumptions'!$D$39</f>
        <v>0</v>
      </c>
      <c r="AD19" s="78">
        <f>(AD18*12)/'Single Project Assumptions'!$D$39</f>
        <v>0</v>
      </c>
      <c r="AE19" s="78">
        <f>(AE18*12)/'Single Project Assumptions'!$D$39</f>
        <v>0</v>
      </c>
      <c r="AF19" s="78">
        <f>(AF18*12)/'Single Project Assumptions'!$D$39</f>
        <v>0</v>
      </c>
      <c r="AG19" s="78">
        <f>(AG18*12)/'Single Project Assumptions'!$D$39</f>
        <v>0</v>
      </c>
      <c r="AH19" s="78">
        <f>(AH18*12)/'Single Project Assumptions'!$D$39</f>
        <v>0</v>
      </c>
      <c r="AI19" s="78">
        <f>(AI18*12)/'Single Project Assumptions'!$D$39</f>
        <v>0</v>
      </c>
      <c r="AJ19" s="78">
        <f>(AJ18*12)/'Single Project Assumptions'!$D$39</f>
        <v>0</v>
      </c>
      <c r="AK19" s="78">
        <f>(AK18*12)/'Single Project Assumptions'!$D$39</f>
        <v>0</v>
      </c>
      <c r="AL19" s="78">
        <f>(AL18*12)/'Single Project Assumptions'!$D$39</f>
        <v>0</v>
      </c>
      <c r="AM19" s="78">
        <f>(AM18*12)/'Single Project Assumptions'!$D$39</f>
        <v>0</v>
      </c>
      <c r="AN19" s="78">
        <f>(AN18*12)/'Single Project Assumptions'!$D$39</f>
        <v>0</v>
      </c>
      <c r="AO19" s="78">
        <f>(AO18*12)/'Single Project Assumptions'!$D$39</f>
        <v>0</v>
      </c>
      <c r="AP19" s="78">
        <f>(AP18*12)/'Single Project Assumptions'!$D$39</f>
        <v>0</v>
      </c>
      <c r="AQ19" s="78">
        <f>(AQ18*12)/'Single Project Assumptions'!$D$39</f>
        <v>0</v>
      </c>
      <c r="AR19" s="78">
        <f>(AR18*12)/'Single Project Assumptions'!$D$39</f>
        <v>0</v>
      </c>
      <c r="AS19" s="78">
        <f>(AS18*12)/'Single Project Assumptions'!$D$39</f>
        <v>0</v>
      </c>
      <c r="AT19" s="78">
        <f>(AT18*12)/'Single Project Assumptions'!$D$39</f>
        <v>0</v>
      </c>
      <c r="AU19" s="78">
        <f>(AU18*12)/'Single Project Assumptions'!$D$39</f>
        <v>0</v>
      </c>
      <c r="AV19" s="78">
        <f>(AV18*12)/'Single Project Assumptions'!$D$39</f>
        <v>0</v>
      </c>
      <c r="AW19" s="78">
        <f>(AW18*12)/'Single Project Assumptions'!$D$39</f>
        <v>0</v>
      </c>
      <c r="AX19" s="78">
        <f>(AX18*12)/'Single Project Assumptions'!$D$39</f>
        <v>0</v>
      </c>
      <c r="AY19" s="78">
        <f>(AY18*12)/'Single Project Assumptions'!$D$39</f>
        <v>0</v>
      </c>
      <c r="AZ19" s="78">
        <f>(AZ18*12)/'Single Project Assumptions'!$D$39</f>
        <v>0</v>
      </c>
      <c r="BA19" s="78">
        <f>(BA18*12)/'Single Project Assumptions'!$D$39</f>
        <v>0</v>
      </c>
      <c r="BB19" s="78">
        <f>(BB18*12)/'Single Project Assumptions'!$D$39</f>
        <v>0</v>
      </c>
      <c r="BC19" s="78">
        <f>(BC18*12)/'Single Project Assumptions'!$D$39</f>
        <v>0</v>
      </c>
      <c r="BD19" s="78">
        <f>(BD18*12)/'Single Project Assumptions'!$D$39</f>
        <v>0</v>
      </c>
      <c r="BE19" s="78">
        <f>(BE18*12)/'Single Project Assumptions'!$D$39</f>
        <v>0</v>
      </c>
      <c r="BF19" s="78">
        <f>(BF18*12)/'Single Project Assumptions'!$D$39</f>
        <v>0</v>
      </c>
      <c r="BG19" s="78">
        <f>(BG18*12)/'Single Project Assumptions'!$D$39</f>
        <v>0</v>
      </c>
      <c r="BH19" s="78">
        <f>(BH18*12)/'Single Project Assumptions'!$D$39</f>
        <v>0</v>
      </c>
      <c r="BI19" s="78">
        <f>(BI18*12)/'Single Project Assumptions'!$D$39</f>
        <v>0</v>
      </c>
      <c r="BJ19" s="78">
        <f>(BJ18*12)/'Single Project Assumptions'!$D$39</f>
        <v>0</v>
      </c>
      <c r="BK19" s="78">
        <f>(BK18*12)/'Single Project Assumptions'!$D$39</f>
        <v>0</v>
      </c>
      <c r="BL19" s="78">
        <f>(BL18*12)/'Single Project Assumptions'!$D$39</f>
        <v>0</v>
      </c>
      <c r="BM19" s="78">
        <f>(BM18*12)/'Single Project Assumptions'!$D$39</f>
        <v>0</v>
      </c>
      <c r="BN19" s="78">
        <f>(BN18*12)/'Single Project Assumptions'!$D$39</f>
        <v>0</v>
      </c>
      <c r="BO19" s="78">
        <f>(BO18*12)/'Single Project Assumptions'!$D$39</f>
        <v>0</v>
      </c>
      <c r="BP19" s="78">
        <f>(BP18*12)/'Single Project Assumptions'!$D$39</f>
        <v>0</v>
      </c>
      <c r="BQ19" s="78">
        <f>(BQ18*12)/'Single Project Assumptions'!$D$39</f>
        <v>0</v>
      </c>
      <c r="BR19" s="78">
        <f>(BR18*12)/'Single Project Assumptions'!$D$39</f>
        <v>0</v>
      </c>
      <c r="BS19" s="78">
        <f>(BS18*12)/'Single Project Assumptions'!$D$39</f>
        <v>0</v>
      </c>
      <c r="BT19" s="78">
        <f>(BT18*12)/'Single Project Assumptions'!$D$39</f>
        <v>0</v>
      </c>
      <c r="BU19" s="78">
        <f>(BU18*12)/'Single Project Assumptions'!$D$39</f>
        <v>0</v>
      </c>
      <c r="BV19" s="78">
        <f>(BV18*12)/'Single Project Assumptions'!$D$39</f>
        <v>0</v>
      </c>
      <c r="BW19" s="78">
        <f>(BW18*12)/'Single Project Assumptions'!$D$39</f>
        <v>0</v>
      </c>
      <c r="BX19" s="78">
        <f>(BX18*12)/'Single Project Assumptions'!$D$39</f>
        <v>0</v>
      </c>
      <c r="BY19" s="78">
        <f>(BY18*12)/'Single Project Assumptions'!$D$39</f>
        <v>0</v>
      </c>
      <c r="BZ19" s="78">
        <f>(BZ18*12)/'Single Project Assumptions'!$D$39</f>
        <v>0</v>
      </c>
      <c r="CA19" s="78">
        <f>(CA18*12)/'Single Project Assumptions'!$D$39</f>
        <v>0</v>
      </c>
      <c r="CB19" s="78">
        <f>(CB18*12)/'Single Project Assumptions'!$D$39</f>
        <v>0</v>
      </c>
      <c r="CC19" s="78">
        <f>(CC18*12)/'Single Project Assumptions'!$D$39</f>
        <v>0</v>
      </c>
      <c r="CD19" s="78">
        <f>(CD18*12)/'Single Project Assumptions'!$D$39</f>
        <v>0</v>
      </c>
      <c r="CE19" s="78">
        <f>(CE18*12)/'Single Project Assumptions'!$D$39</f>
        <v>0</v>
      </c>
      <c r="CF19" s="78">
        <f>(CF18*12)/'Single Project Assumptions'!$D$39</f>
        <v>0</v>
      </c>
      <c r="CG19" s="78">
        <f>(CG18*12)/'Single Project Assumptions'!$D$39</f>
        <v>0</v>
      </c>
      <c r="CH19" s="78">
        <f>(CH18*12)/'Single Project Assumptions'!$D$39</f>
        <v>0</v>
      </c>
      <c r="CI19" s="78">
        <f>(CI18*12)/'Single Project Assumptions'!$D$39</f>
        <v>0</v>
      </c>
      <c r="CJ19" s="78">
        <f>(CJ18*12)/'Single Project Assumptions'!$D$39</f>
        <v>0</v>
      </c>
      <c r="CK19" s="78">
        <f>(CK18*12)/'Single Project Assumptions'!$D$39</f>
        <v>0</v>
      </c>
      <c r="CL19" s="78">
        <f>(CL18*12)/'Single Project Assumptions'!$D$39</f>
        <v>0</v>
      </c>
      <c r="CM19" s="78">
        <f>(CM18*12)/'Single Project Assumptions'!$D$39</f>
        <v>0</v>
      </c>
      <c r="CN19" s="78">
        <f>(CN18*12)/'Single Project Assumptions'!$D$39</f>
        <v>0</v>
      </c>
      <c r="CO19" s="78">
        <f>(CO18*12)/'Single Project Assumptions'!$D$39</f>
        <v>0</v>
      </c>
      <c r="CP19" s="78">
        <f>(CP18*12)/'Single Project Assumptions'!$D$39</f>
        <v>0</v>
      </c>
      <c r="CQ19" s="78">
        <f>(CQ18*12)/'Single Project Assumptions'!$D$39</f>
        <v>0</v>
      </c>
      <c r="CR19" s="78">
        <f>(CR18*12)/'Single Project Assumptions'!$D$39</f>
        <v>0</v>
      </c>
      <c r="CS19" s="78">
        <f>(CS18*12)/'Single Project Assumptions'!$D$39</f>
        <v>0</v>
      </c>
      <c r="CT19" s="78">
        <f>(CT18*12)/'Single Project Assumptions'!$D$39</f>
        <v>0</v>
      </c>
      <c r="CU19" s="78">
        <f>(CU18*12)/'Single Project Assumptions'!$D$39</f>
        <v>0</v>
      </c>
      <c r="CV19" s="78">
        <f>(CV18*12)/'Single Project Assumptions'!$D$39</f>
        <v>0</v>
      </c>
      <c r="CW19" s="78">
        <f>(CW18*12)/'Single Project Assumptions'!$D$39</f>
        <v>0</v>
      </c>
      <c r="CX19" s="78">
        <f>(CX18*12)/'Single Project Assumptions'!$D$39</f>
        <v>0</v>
      </c>
      <c r="CY19" s="78">
        <f>(CY18*12)/'Single Project Assumptions'!$D$39</f>
        <v>0</v>
      </c>
      <c r="CZ19" s="78">
        <f>(CZ18*12)/'Single Project Assumptions'!$D$39</f>
        <v>0</v>
      </c>
      <c r="DA19" s="78">
        <f>(DA18*12)/'Single Project Assumptions'!$D$39</f>
        <v>0</v>
      </c>
      <c r="DB19" s="78">
        <f>(DB18*12)/'Single Project Assumptions'!$D$39</f>
        <v>0</v>
      </c>
      <c r="DC19" s="78">
        <f>(DC18*12)/'Single Project Assumptions'!$D$39</f>
        <v>0</v>
      </c>
      <c r="DD19" s="78">
        <f>(DD18*12)/'Single Project Assumptions'!$D$39</f>
        <v>0</v>
      </c>
      <c r="DE19" s="78">
        <f>(DE18*12)/'Single Project Assumptions'!$D$39</f>
        <v>0</v>
      </c>
      <c r="DF19" s="78">
        <f>(DF18*12)/'Single Project Assumptions'!$D$39</f>
        <v>0</v>
      </c>
      <c r="DG19" s="78">
        <f>(DG18*12)/'Single Project Assumptions'!$D$39</f>
        <v>0</v>
      </c>
      <c r="DH19" s="78">
        <f>(DH18*12)/'Single Project Assumptions'!$D$39</f>
        <v>0</v>
      </c>
      <c r="DI19" s="78">
        <f>(DI18*12)/'Single Project Assumptions'!$D$39</f>
        <v>0</v>
      </c>
      <c r="DJ19" s="78">
        <f>(DJ18*12)/'Single Project Assumptions'!$D$39</f>
        <v>0</v>
      </c>
      <c r="DK19" s="78">
        <f>(DK18*12)/'Single Project Assumptions'!$D$39</f>
        <v>0</v>
      </c>
      <c r="DL19" s="78">
        <f>(DL18*12)/'Single Project Assumptions'!$D$39</f>
        <v>0</v>
      </c>
      <c r="DM19" s="78">
        <f>(DM18*12)/'Single Project Assumptions'!$D$39</f>
        <v>0</v>
      </c>
      <c r="DN19" s="78">
        <f>(DN18*12)/'Single Project Assumptions'!$D$39</f>
        <v>0</v>
      </c>
      <c r="DO19" s="78">
        <f>(DO18*12)/'Single Project Assumptions'!$D$39</f>
        <v>0</v>
      </c>
      <c r="DP19" s="78">
        <f>(DP18*12)/'Single Project Assumptions'!$D$39</f>
        <v>0</v>
      </c>
      <c r="DQ19" s="78">
        <f>(DQ18*12)/'Single Project Assumptions'!$D$39</f>
        <v>0</v>
      </c>
      <c r="DR19" s="78">
        <f>(DR18*12)/'Single Project Assumptions'!$D$39</f>
        <v>0</v>
      </c>
      <c r="DS19" s="78">
        <f>(DS18*12)/'Single Project Assumptions'!$D$39</f>
        <v>0</v>
      </c>
      <c r="DT19" s="78">
        <f>(DT18*12)/'Single Project Assumptions'!$D$39</f>
        <v>0</v>
      </c>
      <c r="DU19" s="78">
        <f>(DU18*12)/'Single Project Assumptions'!$D$39</f>
        <v>0</v>
      </c>
    </row>
    <row r="20" spans="3:125" s="3" customFormat="1" ht="22.95" customHeight="1"/>
    <row r="21" spans="3:125" s="3" customFormat="1" ht="22.95" customHeight="1"/>
    <row r="22" spans="3:125" s="3" customFormat="1" ht="22.95" customHeight="1"/>
    <row r="23" spans="3:125" s="3" customFormat="1" ht="22.95" customHeight="1"/>
    <row r="24" spans="3:125" s="3" customFormat="1" ht="22.95" customHeight="1"/>
    <row r="25" spans="3:125" s="3" customFormat="1" ht="22.95" customHeight="1"/>
    <row r="26" spans="3:125" s="3" customFormat="1" ht="22.95" customHeight="1"/>
    <row r="27" spans="3:125" s="3" customFormat="1" ht="22.95" customHeight="1"/>
    <row r="28" spans="3:125" s="3" customFormat="1" ht="22.95" customHeight="1"/>
    <row r="29" spans="3:125" s="3" customFormat="1" ht="22.95" customHeight="1"/>
    <row r="30" spans="3:125" s="3" customFormat="1" ht="22.95" customHeight="1"/>
    <row r="31" spans="3:125" s="3" customFormat="1" ht="22.95" customHeight="1"/>
    <row r="32" spans="3:125" s="3" customFormat="1" ht="22.95" customHeight="1"/>
    <row r="33" s="3" customFormat="1" ht="22.95" customHeight="1"/>
    <row r="34" s="3" customFormat="1" ht="22.95" customHeight="1"/>
    <row r="35" s="3" customFormat="1" ht="22.95" customHeight="1"/>
    <row r="36" s="3" customFormat="1" ht="22.95" customHeight="1"/>
    <row r="37" s="3" customFormat="1" ht="22.95" customHeight="1"/>
    <row r="38" s="3" customFormat="1" ht="22.95" customHeight="1"/>
    <row r="39" s="3" customFormat="1" ht="22.95" customHeight="1"/>
    <row r="40" s="3" customFormat="1" ht="22.95" customHeight="1"/>
    <row r="41" s="3" customFormat="1" ht="22.95" customHeight="1"/>
    <row r="42" s="3" customFormat="1" ht="22.95" customHeight="1"/>
    <row r="43" s="3" customFormat="1" ht="22.95" customHeight="1"/>
    <row r="44" s="3" customFormat="1" ht="22.95" customHeight="1"/>
    <row r="45" s="3" customFormat="1" ht="22.95" customHeight="1"/>
    <row r="46" s="3" customFormat="1" ht="22.95" customHeight="1"/>
    <row r="47" s="3" customFormat="1" ht="22.95" customHeight="1"/>
    <row r="48" s="3" customFormat="1" ht="22.95" customHeight="1"/>
    <row r="49" s="3" customFormat="1" ht="22.95" customHeight="1"/>
    <row r="50" s="3" customFormat="1" ht="22.95" customHeight="1"/>
    <row r="51" s="3" customFormat="1" ht="22.95" customHeight="1"/>
    <row r="52" s="3" customFormat="1" ht="22.95" customHeight="1"/>
    <row r="53" s="3" customFormat="1" ht="22.95" customHeight="1"/>
    <row r="54" s="3" customFormat="1" ht="22.95" customHeight="1"/>
    <row r="55" s="3" customFormat="1" ht="22.95" customHeight="1"/>
    <row r="56" s="3" customFormat="1" ht="22.95" customHeight="1"/>
    <row r="57" s="3" customFormat="1" ht="22.95" customHeight="1"/>
    <row r="58" s="3" customFormat="1" ht="22.95" customHeight="1"/>
    <row r="59" s="3" customFormat="1" ht="22.95" customHeight="1"/>
    <row r="60" s="3" customFormat="1" ht="22.95" customHeight="1"/>
    <row r="61" s="3" customFormat="1" ht="22.95" customHeight="1"/>
    <row r="62" s="3" customFormat="1" ht="22.95" customHeight="1"/>
    <row r="63" s="3" customFormat="1" ht="22.95" customHeight="1"/>
    <row r="64" s="3" customFormat="1" ht="22.95" customHeight="1"/>
    <row r="65" s="3" customFormat="1" ht="22.95" customHeight="1"/>
    <row r="66" s="3" customFormat="1" ht="22.95" customHeight="1"/>
    <row r="67" s="3" customFormat="1" ht="22.95" customHeight="1"/>
    <row r="68" s="3" customFormat="1" ht="22.95" customHeight="1"/>
    <row r="69" s="3" customFormat="1" ht="22.95" customHeight="1"/>
    <row r="70" s="3" customFormat="1" ht="22.95" customHeight="1"/>
    <row r="71" s="3" customFormat="1" ht="22.95" customHeight="1"/>
    <row r="72" s="3" customFormat="1" ht="22.95" customHeight="1"/>
    <row r="73" s="3" customFormat="1" ht="22.95" customHeight="1"/>
    <row r="74" s="3" customFormat="1" ht="22.95" customHeight="1"/>
    <row r="75" s="3" customFormat="1" ht="22.95" customHeight="1"/>
    <row r="76" s="3" customFormat="1" ht="22.95" customHeight="1"/>
    <row r="77" s="3" customFormat="1" ht="22.95" customHeight="1"/>
    <row r="78" s="3" customFormat="1" ht="22.95" customHeight="1"/>
    <row r="79" s="3" customFormat="1" ht="22.95" customHeight="1"/>
    <row r="80" s="3" customFormat="1" ht="22.95" customHeight="1"/>
    <row r="81" s="3" customFormat="1" ht="22.95" customHeight="1"/>
    <row r="82" s="3" customFormat="1" ht="22.95" customHeight="1"/>
    <row r="83" s="3" customFormat="1" ht="22.95" customHeight="1"/>
    <row r="84" s="3" customFormat="1" ht="22.95" customHeight="1"/>
    <row r="85" s="3" customFormat="1" ht="22.95" customHeight="1"/>
    <row r="86" s="3" customFormat="1" ht="22.95" customHeight="1"/>
    <row r="87" s="3" customFormat="1" ht="22.95" customHeight="1"/>
    <row r="88" s="3" customFormat="1" ht="22.95" customHeight="1"/>
    <row r="89" s="3" customFormat="1" ht="22.95" customHeight="1"/>
    <row r="90" s="3" customFormat="1" ht="22.95" customHeight="1"/>
    <row r="91" s="3" customFormat="1" ht="22.95" customHeight="1"/>
    <row r="92" s="3" customFormat="1" ht="22.95" customHeight="1"/>
    <row r="93" s="3" customFormat="1" ht="22.95" customHeight="1"/>
    <row r="94" s="3" customFormat="1" ht="22.95" customHeight="1"/>
    <row r="95" s="3" customFormat="1" ht="22.95" customHeight="1"/>
    <row r="96" s="3" customFormat="1" ht="22.95" customHeight="1"/>
    <row r="97" s="3" customFormat="1" ht="22.95" customHeight="1"/>
    <row r="98" s="3" customFormat="1" ht="22.95" customHeight="1"/>
    <row r="99" s="3" customFormat="1" ht="22.95" customHeight="1"/>
    <row r="100" s="3" customFormat="1" ht="22.95" customHeight="1"/>
    <row r="101" s="3" customFormat="1" ht="22.95" customHeight="1"/>
    <row r="102" s="3" customFormat="1" ht="22.95" customHeight="1"/>
    <row r="103" s="3" customFormat="1" ht="22.95" customHeight="1"/>
    <row r="104" s="3" customFormat="1" ht="22.95" customHeight="1"/>
    <row r="105" s="3" customFormat="1" ht="22.95" customHeight="1"/>
    <row r="106" s="3" customFormat="1" ht="22.95" customHeight="1"/>
    <row r="107" s="3" customFormat="1" ht="22.95" customHeight="1"/>
    <row r="108" s="3" customFormat="1" ht="22.95" customHeight="1"/>
    <row r="109" s="3" customFormat="1" ht="22.95" customHeight="1"/>
    <row r="110" s="3" customFormat="1" ht="22.95" customHeight="1"/>
    <row r="111" s="3" customFormat="1" ht="22.95" customHeight="1"/>
    <row r="112" s="3" customFormat="1" ht="22.95" customHeight="1"/>
    <row r="113" s="3" customFormat="1" ht="22.95" customHeight="1"/>
    <row r="114" s="3" customFormat="1" ht="22.95" customHeight="1"/>
    <row r="115" s="3" customFormat="1" ht="22.95" customHeight="1"/>
    <row r="116" s="3" customFormat="1" ht="22.95" customHeight="1"/>
    <row r="117" s="3" customFormat="1" ht="22.95" customHeight="1"/>
    <row r="118" s="3" customFormat="1" ht="22.95" customHeight="1"/>
    <row r="119" s="3" customFormat="1" ht="22.95" customHeight="1"/>
    <row r="120" s="3" customFormat="1" ht="22.95" customHeight="1"/>
    <row r="121" s="3" customFormat="1" ht="22.95" customHeight="1"/>
    <row r="122" s="3" customFormat="1" ht="22.95" customHeight="1"/>
    <row r="123" s="3" customFormat="1" ht="22.95" customHeight="1"/>
    <row r="124" s="3" customFormat="1" ht="22.95" customHeight="1"/>
    <row r="125" s="3" customFormat="1" ht="22.95" customHeight="1"/>
    <row r="126" s="3" customFormat="1" ht="22.95" customHeight="1"/>
    <row r="127" s="3" customFormat="1" ht="22.95" customHeight="1"/>
    <row r="128" s="3" customFormat="1" ht="22.95" customHeight="1"/>
    <row r="129" s="3" customFormat="1" ht="22.95" customHeight="1"/>
    <row r="130" s="3" customFormat="1" ht="22.95" customHeight="1"/>
    <row r="131" s="3" customFormat="1" ht="22.95" customHeight="1"/>
    <row r="132" s="3" customFormat="1" ht="22.95" customHeight="1"/>
    <row r="133" s="3" customFormat="1" ht="22.95" customHeight="1"/>
    <row r="134" s="3" customFormat="1" ht="22.95" customHeight="1"/>
    <row r="135" s="3" customFormat="1" ht="22.95" customHeight="1"/>
    <row r="136" s="3" customFormat="1" ht="22.95" customHeight="1"/>
    <row r="137" s="3" customFormat="1" ht="22.95" customHeight="1"/>
    <row r="138" s="3" customFormat="1" ht="22.95" customHeight="1"/>
    <row r="139" s="3" customFormat="1" ht="22.95" customHeight="1"/>
    <row r="140" s="3" customFormat="1" ht="22.95" customHeight="1"/>
    <row r="141" s="3" customFormat="1" ht="22.95" customHeight="1"/>
    <row r="142" s="3" customFormat="1" ht="22.95" customHeight="1"/>
    <row r="143" s="3" customFormat="1" ht="22.95" customHeight="1"/>
    <row r="144" s="3" customFormat="1" ht="22.95" customHeight="1"/>
    <row r="145" s="3" customFormat="1" ht="22.95" customHeight="1"/>
    <row r="146" s="3" customFormat="1" ht="22.95" customHeight="1"/>
    <row r="147" s="3" customFormat="1" ht="22.95" customHeight="1"/>
    <row r="148" s="3" customFormat="1" ht="22.95" customHeight="1"/>
    <row r="149" s="3" customFormat="1" ht="22.95" customHeight="1"/>
    <row r="150" s="3" customFormat="1" ht="22.95" customHeight="1"/>
    <row r="151" s="3" customFormat="1" ht="22.95" customHeight="1"/>
    <row r="152" s="3" customFormat="1" ht="22.95" customHeight="1"/>
    <row r="153" s="3" customFormat="1" ht="22.95" customHeight="1"/>
    <row r="154" s="3" customFormat="1" ht="22.95" customHeight="1"/>
    <row r="155" s="3" customFormat="1" ht="22.95" customHeight="1"/>
    <row r="156" s="3" customFormat="1" ht="22.95" customHeight="1"/>
    <row r="157" s="3" customFormat="1" ht="22.95" customHeight="1"/>
    <row r="158" s="3" customFormat="1" ht="22.95" customHeight="1"/>
    <row r="159" s="3" customFormat="1" ht="22.95" customHeight="1"/>
    <row r="160" s="3" customFormat="1" ht="22.95" customHeight="1"/>
    <row r="161" s="3" customFormat="1" ht="22.95" customHeight="1"/>
    <row r="162" s="3" customFormat="1" ht="22.95" customHeight="1"/>
    <row r="163" s="3" customFormat="1" ht="22.95" customHeight="1"/>
    <row r="164" s="3" customFormat="1" ht="22.95" customHeight="1"/>
    <row r="165" s="3" customFormat="1" ht="22.95" customHeight="1"/>
    <row r="166" s="3" customFormat="1" ht="22.95" customHeight="1"/>
    <row r="167" s="3" customFormat="1" ht="22.95" customHeight="1"/>
    <row r="168" s="3" customFormat="1" ht="22.95" customHeight="1"/>
    <row r="169" s="3" customFormat="1" ht="22.95" customHeight="1"/>
    <row r="170" s="3" customFormat="1" ht="22.95" customHeight="1"/>
    <row r="171" s="3" customFormat="1" ht="22.95" customHeight="1"/>
    <row r="172" s="3" customFormat="1" ht="22.95" customHeight="1"/>
    <row r="173" s="3" customFormat="1" ht="22.95" customHeight="1"/>
    <row r="174" s="3" customFormat="1" ht="22.95" customHeight="1"/>
    <row r="175" s="3" customFormat="1" ht="22.95" customHeight="1"/>
    <row r="176" s="3" customFormat="1" ht="22.95" customHeight="1"/>
    <row r="177" s="3" customFormat="1" ht="22.95" customHeight="1"/>
    <row r="178" s="3" customFormat="1" ht="22.95" customHeight="1"/>
    <row r="179" s="3" customFormat="1" ht="22.95" customHeight="1"/>
    <row r="180" s="3" customFormat="1" ht="22.95" customHeight="1"/>
    <row r="181" s="3" customFormat="1" ht="22.95" customHeight="1"/>
    <row r="182" s="3" customFormat="1" ht="22.95" customHeight="1"/>
    <row r="183" s="3" customFormat="1" ht="22.95" customHeight="1"/>
    <row r="184" s="3" customFormat="1" ht="22.95" customHeight="1"/>
    <row r="185" s="3" customFormat="1" ht="22.95" customHeight="1"/>
    <row r="186" s="3" customFormat="1" ht="22.95" customHeight="1"/>
    <row r="187" s="3" customFormat="1" ht="22.95" customHeight="1"/>
    <row r="188" s="3" customFormat="1" ht="22.95" customHeight="1"/>
    <row r="189" s="3" customFormat="1" ht="22.95" customHeight="1"/>
    <row r="190" s="3" customFormat="1" ht="22.95" customHeight="1"/>
    <row r="191" s="3" customFormat="1" ht="22.95" customHeight="1"/>
    <row r="192" s="3" customFormat="1" ht="22.95" customHeight="1"/>
    <row r="193" s="3" customFormat="1" ht="22.95" customHeight="1"/>
    <row r="194" s="3" customFormat="1" ht="22.95" customHeight="1"/>
    <row r="195" s="3" customFormat="1" ht="22.95" customHeight="1"/>
    <row r="196" s="3" customFormat="1" ht="22.95" customHeight="1"/>
    <row r="197" s="3" customFormat="1" ht="22.95" customHeight="1"/>
    <row r="198" s="3" customFormat="1" ht="22.95" customHeight="1"/>
    <row r="199" s="3" customFormat="1" ht="22.95" customHeight="1"/>
    <row r="200" s="3" customFormat="1" ht="22.95" customHeight="1"/>
    <row r="201" s="3" customFormat="1" ht="22.95" customHeight="1"/>
    <row r="202" s="3" customFormat="1" ht="22.95" customHeight="1"/>
    <row r="203" s="3" customFormat="1" ht="22.95" customHeight="1"/>
    <row r="204" s="3" customFormat="1" ht="22.95" customHeight="1"/>
    <row r="205" s="3" customFormat="1" ht="22.95" customHeight="1"/>
    <row r="206" s="3" customFormat="1" ht="22.95" customHeight="1"/>
    <row r="207" s="3" customFormat="1" ht="22.95" customHeight="1"/>
    <row r="208" s="3" customFormat="1" ht="22.95" customHeight="1"/>
    <row r="209" s="3" customFormat="1" ht="22.95" customHeight="1"/>
    <row r="210" s="3" customFormat="1" ht="22.95" customHeight="1"/>
    <row r="211" s="3" customFormat="1" ht="22.95" customHeight="1"/>
    <row r="212" s="3" customFormat="1" ht="22.95" customHeight="1"/>
    <row r="213" s="3" customFormat="1" ht="22.95" customHeight="1"/>
    <row r="214" s="3" customFormat="1" ht="22.95" customHeight="1"/>
    <row r="215" s="3" customFormat="1" ht="22.95" customHeight="1"/>
    <row r="216" s="3" customFormat="1" ht="22.95" customHeight="1"/>
    <row r="217" s="3" customFormat="1" ht="22.95" customHeight="1"/>
    <row r="218" s="3" customFormat="1" ht="22.95" customHeight="1"/>
    <row r="219" s="3" customFormat="1" ht="22.95" customHeight="1"/>
    <row r="220" s="3" customFormat="1" ht="22.9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89996032593768116"/>
  </sheetPr>
  <dimension ref="C1:DU240"/>
  <sheetViews>
    <sheetView workbookViewId="0"/>
  </sheetViews>
  <sheetFormatPr baseColWidth="10" defaultColWidth="10.796875" defaultRowHeight="13.8"/>
  <cols>
    <col min="1" max="2" width="2.5" style="2" customWidth="1"/>
    <col min="3" max="3" width="36.69921875" style="2" customWidth="1"/>
    <col min="4" max="4" width="14.69921875" style="2" customWidth="1"/>
    <col min="5" max="7" width="13.19921875" style="2" customWidth="1"/>
    <col min="8" max="21" width="14.19921875" style="2" customWidth="1"/>
    <col min="22" max="31" width="15.296875" style="2" customWidth="1"/>
    <col min="32" max="37" width="14.19921875" style="2" customWidth="1"/>
    <col min="38" max="38" width="13.19921875" style="2" customWidth="1"/>
    <col min="39" max="39" width="12.796875" style="2" customWidth="1"/>
    <col min="40" max="44" width="13.5" style="2" customWidth="1"/>
    <col min="45" max="125" width="11" style="2" customWidth="1"/>
    <col min="126" max="129" width="10.796875" style="2" customWidth="1"/>
    <col min="130" max="16384" width="10.796875" style="2"/>
  </cols>
  <sheetData>
    <row r="1" spans="3:125" s="3" customFormat="1" ht="22.95" customHeight="1"/>
    <row r="2" spans="3:125" s="3" customFormat="1" ht="22.95" customHeight="1">
      <c r="D2" s="57" t="s">
        <v>260</v>
      </c>
      <c r="E2" s="3">
        <f>IF(E4='Single Project Assumptions'!$L$11,1,0)</f>
        <v>0</v>
      </c>
      <c r="F2" s="3">
        <f>IF(F4='Single Project Assumptions'!$L$11,1,0)</f>
        <v>0</v>
      </c>
      <c r="G2" s="3">
        <f>IF(G4='Single Project Assumptions'!$L$11,1,0)</f>
        <v>0</v>
      </c>
      <c r="H2" s="3">
        <f>IF(H4='Single Project Assumptions'!$L$11,1,0)</f>
        <v>0</v>
      </c>
      <c r="I2" s="3">
        <f>IF(I4='Single Project Assumptions'!$L$11,1,0)</f>
        <v>0</v>
      </c>
      <c r="J2" s="3">
        <f>IF(J4='Single Project Assumptions'!$L$11,1,0)</f>
        <v>0</v>
      </c>
      <c r="K2" s="3">
        <f>IF(K4='Single Project Assumptions'!$L$11,1,0)</f>
        <v>0</v>
      </c>
      <c r="L2" s="3">
        <f>IF(L4='Single Project Assumptions'!$L$11,1,0)</f>
        <v>0</v>
      </c>
      <c r="M2" s="3">
        <f>IF(M4='Single Project Assumptions'!$L$11,1,0)</f>
        <v>0</v>
      </c>
      <c r="N2" s="3">
        <f>IF(N4='Single Project Assumptions'!$L$11,1,0)</f>
        <v>0</v>
      </c>
      <c r="O2" s="3">
        <f>IF(O4='Single Project Assumptions'!$L$11,1,0)</f>
        <v>0</v>
      </c>
      <c r="P2" s="3">
        <f>IF(P4='Single Project Assumptions'!$L$11,1,0)</f>
        <v>0</v>
      </c>
      <c r="Q2" s="3">
        <f>IF(Q4='Single Project Assumptions'!$L$11,1,0)</f>
        <v>0</v>
      </c>
      <c r="R2" s="3">
        <f>IF(R4='Single Project Assumptions'!$L$11,1,0)</f>
        <v>0</v>
      </c>
      <c r="S2" s="3">
        <f>IF(S4='Single Project Assumptions'!$L$11,1,0)</f>
        <v>0</v>
      </c>
      <c r="T2" s="3">
        <f>IF(T4='Single Project Assumptions'!$L$11,1,0)</f>
        <v>0</v>
      </c>
      <c r="U2" s="3">
        <f>IF(U4='Single Project Assumptions'!$L$11,1,0)</f>
        <v>0</v>
      </c>
      <c r="V2" s="3">
        <f>IF(V4='Single Project Assumptions'!$L$11,1,0)</f>
        <v>0</v>
      </c>
      <c r="W2" s="3">
        <f>IF(W4='Single Project Assumptions'!$L$11,1,0)</f>
        <v>0</v>
      </c>
      <c r="X2" s="3">
        <f>IF(X4='Single Project Assumptions'!$L$11,1,0)</f>
        <v>0</v>
      </c>
      <c r="Y2" s="3">
        <f>IF(Y4='Single Project Assumptions'!$L$11,1,0)</f>
        <v>0</v>
      </c>
      <c r="Z2" s="3">
        <f>IF(Z4='Single Project Assumptions'!$L$11,1,0)</f>
        <v>0</v>
      </c>
      <c r="AA2" s="3">
        <f>IF(AA4='Single Project Assumptions'!$L$11,1,0)</f>
        <v>0</v>
      </c>
      <c r="AB2" s="3">
        <f>IF(AB4='Single Project Assumptions'!$L$11,1,0)</f>
        <v>0</v>
      </c>
      <c r="AC2" s="3">
        <f>IF(AC4='Single Project Assumptions'!$L$11,1,0)</f>
        <v>1</v>
      </c>
      <c r="AD2" s="3">
        <f>IF(AD4='Single Project Assumptions'!$L$11,1,0)</f>
        <v>0</v>
      </c>
      <c r="AE2" s="3">
        <f>IF(AE4='Single Project Assumptions'!$L$11,1,0)</f>
        <v>0</v>
      </c>
      <c r="AF2" s="3">
        <f>IF(AF4='Single Project Assumptions'!$L$11,1,0)</f>
        <v>0</v>
      </c>
      <c r="AG2" s="3">
        <f>IF(AG4='Single Project Assumptions'!$L$11,1,0)</f>
        <v>0</v>
      </c>
      <c r="AH2" s="3">
        <f>IF(AH4='Single Project Assumptions'!$L$11,1,0)</f>
        <v>0</v>
      </c>
      <c r="AI2" s="3">
        <f>IF(AI4='Single Project Assumptions'!$L$11,1,0)</f>
        <v>0</v>
      </c>
      <c r="AJ2" s="3">
        <f>IF(AJ4='Single Project Assumptions'!$L$11,1,0)</f>
        <v>0</v>
      </c>
      <c r="AK2" s="3">
        <f>IF(AK4='Single Project Assumptions'!$L$11,1,0)</f>
        <v>0</v>
      </c>
      <c r="AL2" s="3">
        <f>IF(AL4='Single Project Assumptions'!$L$11,1,0)</f>
        <v>0</v>
      </c>
      <c r="AM2" s="3">
        <f>IF(AM4='Single Project Assumptions'!$L$11,1,0)</f>
        <v>0</v>
      </c>
      <c r="AN2" s="3">
        <f>IF(AN4='Single Project Assumptions'!$L$11,1,0)</f>
        <v>0</v>
      </c>
      <c r="AO2" s="3">
        <f>IF(AO4='Single Project Assumptions'!$L$11,1,0)</f>
        <v>0</v>
      </c>
      <c r="AP2" s="3">
        <f>IF(AP4='Single Project Assumptions'!$L$11,1,0)</f>
        <v>0</v>
      </c>
      <c r="AQ2" s="3">
        <f>IF(AQ4='Single Project Assumptions'!$L$11,1,0)</f>
        <v>0</v>
      </c>
      <c r="AR2" s="3">
        <f>IF(AR4='Single Project Assumptions'!$L$11,1,0)</f>
        <v>0</v>
      </c>
      <c r="AS2" s="3">
        <f>IF(AS4='Single Project Assumptions'!$L$11,1,0)</f>
        <v>0</v>
      </c>
      <c r="AT2" s="3">
        <f>IF(AT4='Single Project Assumptions'!$L$11,1,0)</f>
        <v>0</v>
      </c>
      <c r="AU2" s="3">
        <f>IF(AU4='Single Project Assumptions'!$L$11,1,0)</f>
        <v>0</v>
      </c>
      <c r="AV2" s="3">
        <f>IF(AV4='Single Project Assumptions'!$L$11,1,0)</f>
        <v>0</v>
      </c>
      <c r="AW2" s="3">
        <f>IF(AW4='Single Project Assumptions'!$L$11,1,0)</f>
        <v>0</v>
      </c>
      <c r="AX2" s="3">
        <f>IF(AX4='Single Project Assumptions'!$L$11,1,0)</f>
        <v>0</v>
      </c>
      <c r="AY2" s="3">
        <f>IF(AY4='Single Project Assumptions'!$L$11,1,0)</f>
        <v>0</v>
      </c>
      <c r="AZ2" s="3">
        <f>IF(AZ4='Single Project Assumptions'!$L$11,1,0)</f>
        <v>0</v>
      </c>
      <c r="BA2" s="3">
        <f>IF(BA4='Single Project Assumptions'!$L$11,1,0)</f>
        <v>0</v>
      </c>
      <c r="BB2" s="3">
        <f>IF(BB4='Single Project Assumptions'!$L$11,1,0)</f>
        <v>0</v>
      </c>
      <c r="BC2" s="3">
        <f>IF(BC4='Single Project Assumptions'!$L$11,1,0)</f>
        <v>0</v>
      </c>
      <c r="BD2" s="3">
        <f>IF(BD4='Single Project Assumptions'!$L$11,1,0)</f>
        <v>0</v>
      </c>
      <c r="BE2" s="3">
        <f>IF(BE4='Single Project Assumptions'!$L$11,1,0)</f>
        <v>0</v>
      </c>
      <c r="BF2" s="3">
        <f>IF(BF4='Single Project Assumptions'!$L$11,1,0)</f>
        <v>0</v>
      </c>
      <c r="BG2" s="3">
        <f>IF(BG4='Single Project Assumptions'!$L$11,1,0)</f>
        <v>0</v>
      </c>
      <c r="BH2" s="3">
        <f>IF(BH4='Single Project Assumptions'!$L$11,1,0)</f>
        <v>0</v>
      </c>
      <c r="BI2" s="3">
        <f>IF(BI4='Single Project Assumptions'!$L$11,1,0)</f>
        <v>0</v>
      </c>
      <c r="BJ2" s="3">
        <f>IF(BJ4='Single Project Assumptions'!$L$11,1,0)</f>
        <v>0</v>
      </c>
      <c r="BK2" s="3">
        <f>IF(BK4='Single Project Assumptions'!$L$11,1,0)</f>
        <v>0</v>
      </c>
      <c r="BL2" s="3">
        <f>IF(BL4='Single Project Assumptions'!$L$11,1,0)</f>
        <v>0</v>
      </c>
      <c r="BM2" s="3">
        <f>IF(BM4='Single Project Assumptions'!$L$11,1,0)</f>
        <v>0</v>
      </c>
      <c r="BN2" s="3">
        <f>IF(BN4='Single Project Assumptions'!$L$11,1,0)</f>
        <v>0</v>
      </c>
      <c r="BO2" s="3">
        <f>IF(BO4='Single Project Assumptions'!$L$11,1,0)</f>
        <v>0</v>
      </c>
      <c r="BP2" s="3">
        <f>IF(BP4='Single Project Assumptions'!$L$11,1,0)</f>
        <v>0</v>
      </c>
      <c r="BQ2" s="3">
        <f>IF(BQ4='Single Project Assumptions'!$L$11,1,0)</f>
        <v>0</v>
      </c>
      <c r="BR2" s="3">
        <f>IF(BR4='Single Project Assumptions'!$L$11,1,0)</f>
        <v>0</v>
      </c>
      <c r="BS2" s="3">
        <f>IF(BS4='Single Project Assumptions'!$L$11,1,0)</f>
        <v>0</v>
      </c>
      <c r="BT2" s="3">
        <f>IF(BT4='Single Project Assumptions'!$L$11,1,0)</f>
        <v>0</v>
      </c>
      <c r="BU2" s="3">
        <f>IF(BU4='Single Project Assumptions'!$L$11,1,0)</f>
        <v>0</v>
      </c>
      <c r="BV2" s="3">
        <f>IF(BV4='Single Project Assumptions'!$L$11,1,0)</f>
        <v>0</v>
      </c>
      <c r="BW2" s="3">
        <f>IF(BW4='Single Project Assumptions'!$L$11,1,0)</f>
        <v>0</v>
      </c>
      <c r="BX2" s="3">
        <f>IF(BX4='Single Project Assumptions'!$L$11,1,0)</f>
        <v>0</v>
      </c>
      <c r="BY2" s="3">
        <f>IF(BY4='Single Project Assumptions'!$L$11,1,0)</f>
        <v>0</v>
      </c>
      <c r="BZ2" s="3">
        <f>IF(BZ4='Single Project Assumptions'!$L$11,1,0)</f>
        <v>0</v>
      </c>
      <c r="CA2" s="3">
        <f>IF(CA4='Single Project Assumptions'!$L$11,1,0)</f>
        <v>0</v>
      </c>
      <c r="CB2" s="3">
        <f>IF(CB4='Single Project Assumptions'!$L$11,1,0)</f>
        <v>0</v>
      </c>
      <c r="CC2" s="3">
        <f>IF(CC4='Single Project Assumptions'!$L$11,1,0)</f>
        <v>0</v>
      </c>
      <c r="CD2" s="3">
        <f>IF(CD4='Single Project Assumptions'!$L$11,1,0)</f>
        <v>0</v>
      </c>
      <c r="CE2" s="3">
        <f>IF(CE4='Single Project Assumptions'!$L$11,1,0)</f>
        <v>0</v>
      </c>
      <c r="CF2" s="3">
        <f>IF(CF4='Single Project Assumptions'!$L$11,1,0)</f>
        <v>0</v>
      </c>
      <c r="CG2" s="3">
        <f>IF(CG4='Single Project Assumptions'!$L$11,1,0)</f>
        <v>0</v>
      </c>
      <c r="CH2" s="3">
        <f>IF(CH4='Single Project Assumptions'!$L$11,1,0)</f>
        <v>0</v>
      </c>
      <c r="CI2" s="3">
        <f>IF(CI4='Single Project Assumptions'!$L$11,1,0)</f>
        <v>0</v>
      </c>
      <c r="CJ2" s="3">
        <f>IF(CJ4='Single Project Assumptions'!$L$11,1,0)</f>
        <v>0</v>
      </c>
      <c r="CK2" s="3">
        <f>IF(CK4='Single Project Assumptions'!$L$11,1,0)</f>
        <v>0</v>
      </c>
      <c r="CL2" s="3">
        <f>IF(CL4='Single Project Assumptions'!$L$11,1,0)</f>
        <v>0</v>
      </c>
      <c r="CM2" s="3">
        <f>IF(CM4='Single Project Assumptions'!$L$11,1,0)</f>
        <v>0</v>
      </c>
      <c r="CN2" s="3">
        <f>IF(CN4='Single Project Assumptions'!$L$11,1,0)</f>
        <v>0</v>
      </c>
      <c r="CO2" s="3">
        <f>IF(CO4='Single Project Assumptions'!$L$11,1,0)</f>
        <v>0</v>
      </c>
      <c r="CP2" s="3">
        <f>IF(CP4='Single Project Assumptions'!$L$11,1,0)</f>
        <v>0</v>
      </c>
      <c r="CQ2" s="3">
        <f>IF(CQ4='Single Project Assumptions'!$L$11,1,0)</f>
        <v>0</v>
      </c>
      <c r="CR2" s="3">
        <f>IF(CR4='Single Project Assumptions'!$L$11,1,0)</f>
        <v>0</v>
      </c>
      <c r="CS2" s="3">
        <f>IF(CS4='Single Project Assumptions'!$L$11,1,0)</f>
        <v>0</v>
      </c>
      <c r="CT2" s="3">
        <f>IF(CT4='Single Project Assumptions'!$L$11,1,0)</f>
        <v>0</v>
      </c>
      <c r="CU2" s="3">
        <f>IF(CU4='Single Project Assumptions'!$L$11,1,0)</f>
        <v>0</v>
      </c>
      <c r="CV2" s="3">
        <f>IF(CV4='Single Project Assumptions'!$L$11,1,0)</f>
        <v>0</v>
      </c>
      <c r="CW2" s="3">
        <f>IF(CW4='Single Project Assumptions'!$L$11,1,0)</f>
        <v>0</v>
      </c>
      <c r="CX2" s="3">
        <f>IF(CX4='Single Project Assumptions'!$L$11,1,0)</f>
        <v>0</v>
      </c>
      <c r="CY2" s="3">
        <f>IF(CY4='Single Project Assumptions'!$L$11,1,0)</f>
        <v>0</v>
      </c>
      <c r="CZ2" s="3">
        <f>IF(CZ4='Single Project Assumptions'!$L$11,1,0)</f>
        <v>0</v>
      </c>
      <c r="DA2" s="3">
        <f>IF(DA4='Single Project Assumptions'!$L$11,1,0)</f>
        <v>0</v>
      </c>
      <c r="DB2" s="3">
        <f>IF(DB4='Single Project Assumptions'!$L$11,1,0)</f>
        <v>0</v>
      </c>
      <c r="DC2" s="3">
        <f>IF(DC4='Single Project Assumptions'!$L$11,1,0)</f>
        <v>0</v>
      </c>
      <c r="DD2" s="3">
        <f>IF(DD4='Single Project Assumptions'!$L$11,1,0)</f>
        <v>0</v>
      </c>
      <c r="DE2" s="3">
        <f>IF(DE4='Single Project Assumptions'!$L$11,1,0)</f>
        <v>0</v>
      </c>
      <c r="DF2" s="3">
        <f>IF(DF4='Single Project Assumptions'!$L$11,1,0)</f>
        <v>0</v>
      </c>
      <c r="DG2" s="3">
        <f>IF(DG4='Single Project Assumptions'!$L$11,1,0)</f>
        <v>0</v>
      </c>
      <c r="DH2" s="3">
        <f>IF(DH4='Single Project Assumptions'!$L$11,1,0)</f>
        <v>0</v>
      </c>
      <c r="DI2" s="3">
        <f>IF(DI4='Single Project Assumptions'!$L$11,1,0)</f>
        <v>0</v>
      </c>
      <c r="DJ2" s="3">
        <f>IF(DJ4='Single Project Assumptions'!$L$11,1,0)</f>
        <v>0</v>
      </c>
      <c r="DK2" s="3">
        <f>IF(DK4='Single Project Assumptions'!$L$11,1,0)</f>
        <v>0</v>
      </c>
      <c r="DL2" s="3">
        <f>IF(DL4='Single Project Assumptions'!$L$11,1,0)</f>
        <v>0</v>
      </c>
      <c r="DM2" s="3">
        <f>IF(DM4='Single Project Assumptions'!$L$11,1,0)</f>
        <v>0</v>
      </c>
      <c r="DN2" s="3">
        <f>IF(DN4='Single Project Assumptions'!$L$11,1,0)</f>
        <v>0</v>
      </c>
      <c r="DO2" s="3">
        <f>IF(DO4='Single Project Assumptions'!$L$11,1,0)</f>
        <v>0</v>
      </c>
      <c r="DP2" s="3">
        <f>IF(DP4='Single Project Assumptions'!$L$11,1,0)</f>
        <v>0</v>
      </c>
      <c r="DQ2" s="3">
        <f>IF(DQ4='Single Project Assumptions'!$L$11,1,0)</f>
        <v>0</v>
      </c>
      <c r="DR2" s="3">
        <f>IF(DR4='Single Project Assumptions'!$L$11,1,0)</f>
        <v>0</v>
      </c>
      <c r="DS2" s="3">
        <f>IF(DS4='Single Project Assumptions'!$L$11,1,0)</f>
        <v>0</v>
      </c>
      <c r="DT2" s="3">
        <f>IF(DT4='Single Project Assumptions'!$L$11,1,0)</f>
        <v>0</v>
      </c>
      <c r="DU2" s="3">
        <f>IF(DU4='Single Project Assumptions'!$L$11,1,0)</f>
        <v>0</v>
      </c>
    </row>
    <row r="3" spans="3:125" s="3" customFormat="1" ht="22.95" customHeight="1">
      <c r="D3" s="57" t="s">
        <v>83</v>
      </c>
      <c r="E3" s="3">
        <f t="shared" ref="E3:AJ3" si="0">YEAR(E4)</f>
        <v>2026</v>
      </c>
      <c r="F3" s="3">
        <f t="shared" si="0"/>
        <v>2027</v>
      </c>
      <c r="G3" s="3">
        <f t="shared" si="0"/>
        <v>2027</v>
      </c>
      <c r="H3" s="3">
        <f t="shared" si="0"/>
        <v>2027</v>
      </c>
      <c r="I3" s="3">
        <f t="shared" si="0"/>
        <v>2027</v>
      </c>
      <c r="J3" s="3">
        <f t="shared" si="0"/>
        <v>2027</v>
      </c>
      <c r="K3" s="3">
        <f t="shared" si="0"/>
        <v>2027</v>
      </c>
      <c r="L3" s="3">
        <f t="shared" si="0"/>
        <v>2027</v>
      </c>
      <c r="M3" s="3">
        <f t="shared" si="0"/>
        <v>2027</v>
      </c>
      <c r="N3" s="3">
        <f t="shared" si="0"/>
        <v>2027</v>
      </c>
      <c r="O3" s="3">
        <f t="shared" si="0"/>
        <v>2027</v>
      </c>
      <c r="P3" s="3">
        <f t="shared" si="0"/>
        <v>2027</v>
      </c>
      <c r="Q3" s="3">
        <f t="shared" si="0"/>
        <v>2027</v>
      </c>
      <c r="R3" s="3">
        <f t="shared" si="0"/>
        <v>2028</v>
      </c>
      <c r="S3" s="3">
        <f t="shared" si="0"/>
        <v>2028</v>
      </c>
      <c r="T3" s="3">
        <f t="shared" si="0"/>
        <v>2028</v>
      </c>
      <c r="U3" s="3">
        <f t="shared" si="0"/>
        <v>2028</v>
      </c>
      <c r="V3" s="3">
        <f t="shared" si="0"/>
        <v>2028</v>
      </c>
      <c r="W3" s="3">
        <f t="shared" si="0"/>
        <v>2028</v>
      </c>
      <c r="X3" s="3">
        <f t="shared" si="0"/>
        <v>2028</v>
      </c>
      <c r="Y3" s="3">
        <f t="shared" si="0"/>
        <v>2028</v>
      </c>
      <c r="Z3" s="3">
        <f t="shared" si="0"/>
        <v>2028</v>
      </c>
      <c r="AA3" s="3">
        <f t="shared" si="0"/>
        <v>2028</v>
      </c>
      <c r="AB3" s="3">
        <f t="shared" si="0"/>
        <v>2028</v>
      </c>
      <c r="AC3" s="3">
        <f t="shared" si="0"/>
        <v>2028</v>
      </c>
      <c r="AD3" s="3">
        <f t="shared" si="0"/>
        <v>2029</v>
      </c>
      <c r="AE3" s="3">
        <f t="shared" si="0"/>
        <v>2029</v>
      </c>
      <c r="AF3" s="3">
        <f t="shared" si="0"/>
        <v>2029</v>
      </c>
      <c r="AG3" s="3">
        <f t="shared" si="0"/>
        <v>2029</v>
      </c>
      <c r="AH3" s="3">
        <f t="shared" si="0"/>
        <v>2029</v>
      </c>
      <c r="AI3" s="3">
        <f t="shared" si="0"/>
        <v>2029</v>
      </c>
      <c r="AJ3" s="3">
        <f t="shared" si="0"/>
        <v>2029</v>
      </c>
      <c r="AK3" s="3">
        <f t="shared" ref="AK3:BP3" si="1">YEAR(AK4)</f>
        <v>2029</v>
      </c>
      <c r="AL3" s="3">
        <f t="shared" si="1"/>
        <v>2029</v>
      </c>
      <c r="AM3" s="3">
        <f t="shared" si="1"/>
        <v>2029</v>
      </c>
      <c r="AN3" s="3">
        <f t="shared" si="1"/>
        <v>2029</v>
      </c>
      <c r="AO3" s="3">
        <f t="shared" si="1"/>
        <v>2029</v>
      </c>
      <c r="AP3" s="3">
        <f t="shared" si="1"/>
        <v>2030</v>
      </c>
      <c r="AQ3" s="3">
        <f t="shared" si="1"/>
        <v>2030</v>
      </c>
      <c r="AR3" s="3">
        <f t="shared" si="1"/>
        <v>2030</v>
      </c>
      <c r="AS3" s="3">
        <f t="shared" si="1"/>
        <v>2030</v>
      </c>
      <c r="AT3" s="3">
        <f t="shared" si="1"/>
        <v>2030</v>
      </c>
      <c r="AU3" s="3">
        <f t="shared" si="1"/>
        <v>2030</v>
      </c>
      <c r="AV3" s="3">
        <f t="shared" si="1"/>
        <v>2030</v>
      </c>
      <c r="AW3" s="3">
        <f t="shared" si="1"/>
        <v>2030</v>
      </c>
      <c r="AX3" s="3">
        <f t="shared" si="1"/>
        <v>2030</v>
      </c>
      <c r="AY3" s="3">
        <f t="shared" si="1"/>
        <v>2030</v>
      </c>
      <c r="AZ3" s="3">
        <f t="shared" si="1"/>
        <v>2030</v>
      </c>
      <c r="BA3" s="3">
        <f t="shared" si="1"/>
        <v>2030</v>
      </c>
      <c r="BB3" s="3">
        <f t="shared" si="1"/>
        <v>2031</v>
      </c>
      <c r="BC3" s="3">
        <f t="shared" si="1"/>
        <v>2031</v>
      </c>
      <c r="BD3" s="3">
        <f t="shared" si="1"/>
        <v>2031</v>
      </c>
      <c r="BE3" s="3">
        <f t="shared" si="1"/>
        <v>2031</v>
      </c>
      <c r="BF3" s="3">
        <f t="shared" si="1"/>
        <v>2031</v>
      </c>
      <c r="BG3" s="3">
        <f t="shared" si="1"/>
        <v>2031</v>
      </c>
      <c r="BH3" s="3">
        <f t="shared" si="1"/>
        <v>2031</v>
      </c>
      <c r="BI3" s="3">
        <f t="shared" si="1"/>
        <v>2031</v>
      </c>
      <c r="BJ3" s="3">
        <f t="shared" si="1"/>
        <v>2031</v>
      </c>
      <c r="BK3" s="3">
        <f t="shared" si="1"/>
        <v>2031</v>
      </c>
      <c r="BL3" s="3">
        <f t="shared" si="1"/>
        <v>2031</v>
      </c>
      <c r="BM3" s="3">
        <f t="shared" si="1"/>
        <v>2031</v>
      </c>
      <c r="BN3" s="3">
        <f t="shared" si="1"/>
        <v>2032</v>
      </c>
      <c r="BO3" s="3">
        <f t="shared" si="1"/>
        <v>2032</v>
      </c>
      <c r="BP3" s="3">
        <f t="shared" si="1"/>
        <v>2032</v>
      </c>
      <c r="BQ3" s="3">
        <f t="shared" ref="BQ3:CV3" si="2">YEAR(BQ4)</f>
        <v>2032</v>
      </c>
      <c r="BR3" s="3">
        <f t="shared" si="2"/>
        <v>2032</v>
      </c>
      <c r="BS3" s="3">
        <f t="shared" si="2"/>
        <v>2032</v>
      </c>
      <c r="BT3" s="3">
        <f t="shared" si="2"/>
        <v>2032</v>
      </c>
      <c r="BU3" s="3">
        <f t="shared" si="2"/>
        <v>2032</v>
      </c>
      <c r="BV3" s="3">
        <f t="shared" si="2"/>
        <v>2032</v>
      </c>
      <c r="BW3" s="3">
        <f t="shared" si="2"/>
        <v>2032</v>
      </c>
      <c r="BX3" s="3">
        <f t="shared" si="2"/>
        <v>2032</v>
      </c>
      <c r="BY3" s="3">
        <f t="shared" si="2"/>
        <v>2032</v>
      </c>
      <c r="BZ3" s="3">
        <f t="shared" si="2"/>
        <v>2033</v>
      </c>
      <c r="CA3" s="3">
        <f t="shared" si="2"/>
        <v>2033</v>
      </c>
      <c r="CB3" s="3">
        <f t="shared" si="2"/>
        <v>2033</v>
      </c>
      <c r="CC3" s="3">
        <f t="shared" si="2"/>
        <v>2033</v>
      </c>
      <c r="CD3" s="3">
        <f t="shared" si="2"/>
        <v>2033</v>
      </c>
      <c r="CE3" s="3">
        <f t="shared" si="2"/>
        <v>2033</v>
      </c>
      <c r="CF3" s="3">
        <f t="shared" si="2"/>
        <v>2033</v>
      </c>
      <c r="CG3" s="3">
        <f t="shared" si="2"/>
        <v>2033</v>
      </c>
      <c r="CH3" s="3">
        <f t="shared" si="2"/>
        <v>2033</v>
      </c>
      <c r="CI3" s="3">
        <f t="shared" si="2"/>
        <v>2033</v>
      </c>
      <c r="CJ3" s="3">
        <f t="shared" si="2"/>
        <v>2033</v>
      </c>
      <c r="CK3" s="3">
        <f t="shared" si="2"/>
        <v>2033</v>
      </c>
      <c r="CL3" s="3">
        <f t="shared" si="2"/>
        <v>2034</v>
      </c>
      <c r="CM3" s="3">
        <f t="shared" si="2"/>
        <v>2034</v>
      </c>
      <c r="CN3" s="3">
        <f t="shared" si="2"/>
        <v>2034</v>
      </c>
      <c r="CO3" s="3">
        <f t="shared" si="2"/>
        <v>2034</v>
      </c>
      <c r="CP3" s="3">
        <f t="shared" si="2"/>
        <v>2034</v>
      </c>
      <c r="CQ3" s="3">
        <f t="shared" si="2"/>
        <v>2034</v>
      </c>
      <c r="CR3" s="3">
        <f t="shared" si="2"/>
        <v>2034</v>
      </c>
      <c r="CS3" s="3">
        <f t="shared" si="2"/>
        <v>2034</v>
      </c>
      <c r="CT3" s="3">
        <f t="shared" si="2"/>
        <v>2034</v>
      </c>
      <c r="CU3" s="3">
        <f t="shared" si="2"/>
        <v>2034</v>
      </c>
      <c r="CV3" s="3">
        <f t="shared" si="2"/>
        <v>2034</v>
      </c>
      <c r="CW3" s="3">
        <f t="shared" ref="CW3:DU3" si="3">YEAR(CW4)</f>
        <v>2034</v>
      </c>
      <c r="CX3" s="3">
        <f t="shared" si="3"/>
        <v>2035</v>
      </c>
      <c r="CY3" s="3">
        <f t="shared" si="3"/>
        <v>2035</v>
      </c>
      <c r="CZ3" s="3">
        <f t="shared" si="3"/>
        <v>2035</v>
      </c>
      <c r="DA3" s="3">
        <f t="shared" si="3"/>
        <v>2035</v>
      </c>
      <c r="DB3" s="3">
        <f t="shared" si="3"/>
        <v>2035</v>
      </c>
      <c r="DC3" s="3">
        <f t="shared" si="3"/>
        <v>2035</v>
      </c>
      <c r="DD3" s="3">
        <f t="shared" si="3"/>
        <v>2035</v>
      </c>
      <c r="DE3" s="3">
        <f t="shared" si="3"/>
        <v>2035</v>
      </c>
      <c r="DF3" s="3">
        <f t="shared" si="3"/>
        <v>2035</v>
      </c>
      <c r="DG3" s="3">
        <f t="shared" si="3"/>
        <v>2035</v>
      </c>
      <c r="DH3" s="3">
        <f t="shared" si="3"/>
        <v>2035</v>
      </c>
      <c r="DI3" s="3">
        <f t="shared" si="3"/>
        <v>2035</v>
      </c>
      <c r="DJ3" s="3">
        <f t="shared" si="3"/>
        <v>2036</v>
      </c>
      <c r="DK3" s="3">
        <f t="shared" si="3"/>
        <v>2036</v>
      </c>
      <c r="DL3" s="3">
        <f t="shared" si="3"/>
        <v>2036</v>
      </c>
      <c r="DM3" s="3">
        <f t="shared" si="3"/>
        <v>2036</v>
      </c>
      <c r="DN3" s="3">
        <f t="shared" si="3"/>
        <v>2036</v>
      </c>
      <c r="DO3" s="3">
        <f t="shared" si="3"/>
        <v>2036</v>
      </c>
      <c r="DP3" s="3">
        <f t="shared" si="3"/>
        <v>2036</v>
      </c>
      <c r="DQ3" s="3">
        <f t="shared" si="3"/>
        <v>2036</v>
      </c>
      <c r="DR3" s="3">
        <f t="shared" si="3"/>
        <v>2036</v>
      </c>
      <c r="DS3" s="3">
        <f t="shared" si="3"/>
        <v>2036</v>
      </c>
      <c r="DT3" s="3">
        <f t="shared" si="3"/>
        <v>2036</v>
      </c>
      <c r="DU3" s="3">
        <f t="shared" si="3"/>
        <v>2036</v>
      </c>
    </row>
    <row r="4" spans="3:125" s="3" customFormat="1" ht="22.95" customHeight="1">
      <c r="C4" s="5" t="s">
        <v>269</v>
      </c>
      <c r="D4" s="23" t="s">
        <v>72</v>
      </c>
      <c r="E4" s="20">
        <f>'Single Project Assumptions'!D6</f>
        <v>46387</v>
      </c>
      <c r="F4" s="20">
        <f t="shared" ref="F4:AK4" si="4">EOMONTH(E4,1)</f>
        <v>46418</v>
      </c>
      <c r="G4" s="20">
        <f t="shared" si="4"/>
        <v>46446</v>
      </c>
      <c r="H4" s="20">
        <f t="shared" si="4"/>
        <v>46477</v>
      </c>
      <c r="I4" s="20">
        <f t="shared" si="4"/>
        <v>46507</v>
      </c>
      <c r="J4" s="20">
        <f t="shared" si="4"/>
        <v>46538</v>
      </c>
      <c r="K4" s="20">
        <f t="shared" si="4"/>
        <v>46568</v>
      </c>
      <c r="L4" s="20">
        <f t="shared" si="4"/>
        <v>46599</v>
      </c>
      <c r="M4" s="20">
        <f t="shared" si="4"/>
        <v>46630</v>
      </c>
      <c r="N4" s="20">
        <f t="shared" si="4"/>
        <v>46660</v>
      </c>
      <c r="O4" s="20">
        <f t="shared" si="4"/>
        <v>46691</v>
      </c>
      <c r="P4" s="20">
        <f t="shared" si="4"/>
        <v>46721</v>
      </c>
      <c r="Q4" s="20">
        <f t="shared" si="4"/>
        <v>46752</v>
      </c>
      <c r="R4" s="20">
        <f t="shared" si="4"/>
        <v>46783</v>
      </c>
      <c r="S4" s="20">
        <f t="shared" si="4"/>
        <v>46812</v>
      </c>
      <c r="T4" s="20">
        <f t="shared" si="4"/>
        <v>46843</v>
      </c>
      <c r="U4" s="20">
        <f t="shared" si="4"/>
        <v>46873</v>
      </c>
      <c r="V4" s="20">
        <f t="shared" si="4"/>
        <v>46904</v>
      </c>
      <c r="W4" s="20">
        <f t="shared" si="4"/>
        <v>46934</v>
      </c>
      <c r="X4" s="20">
        <f t="shared" si="4"/>
        <v>46965</v>
      </c>
      <c r="Y4" s="20">
        <f t="shared" si="4"/>
        <v>46996</v>
      </c>
      <c r="Z4" s="20">
        <f t="shared" si="4"/>
        <v>47026</v>
      </c>
      <c r="AA4" s="20">
        <f t="shared" si="4"/>
        <v>47057</v>
      </c>
      <c r="AB4" s="20">
        <f t="shared" si="4"/>
        <v>47087</v>
      </c>
      <c r="AC4" s="20">
        <f t="shared" si="4"/>
        <v>47118</v>
      </c>
      <c r="AD4" s="20">
        <f t="shared" si="4"/>
        <v>47149</v>
      </c>
      <c r="AE4" s="20">
        <f t="shared" si="4"/>
        <v>47177</v>
      </c>
      <c r="AF4" s="20">
        <f t="shared" si="4"/>
        <v>47208</v>
      </c>
      <c r="AG4" s="20">
        <f t="shared" si="4"/>
        <v>47238</v>
      </c>
      <c r="AH4" s="20">
        <f t="shared" si="4"/>
        <v>47269</v>
      </c>
      <c r="AI4" s="20">
        <f t="shared" si="4"/>
        <v>47299</v>
      </c>
      <c r="AJ4" s="20">
        <f t="shared" si="4"/>
        <v>47330</v>
      </c>
      <c r="AK4" s="20">
        <f t="shared" si="4"/>
        <v>47361</v>
      </c>
      <c r="AL4" s="20">
        <f t="shared" ref="AL4:BQ4" si="5">EOMONTH(AK4,1)</f>
        <v>47391</v>
      </c>
      <c r="AM4" s="20">
        <f t="shared" si="5"/>
        <v>47422</v>
      </c>
      <c r="AN4" s="20">
        <f t="shared" si="5"/>
        <v>47452</v>
      </c>
      <c r="AO4" s="20">
        <f t="shared" si="5"/>
        <v>47483</v>
      </c>
      <c r="AP4" s="20">
        <f t="shared" si="5"/>
        <v>47514</v>
      </c>
      <c r="AQ4" s="20">
        <f t="shared" si="5"/>
        <v>47542</v>
      </c>
      <c r="AR4" s="20">
        <f t="shared" si="5"/>
        <v>47573</v>
      </c>
      <c r="AS4" s="20">
        <f t="shared" si="5"/>
        <v>47603</v>
      </c>
      <c r="AT4" s="20">
        <f t="shared" si="5"/>
        <v>47634</v>
      </c>
      <c r="AU4" s="20">
        <f t="shared" si="5"/>
        <v>47664</v>
      </c>
      <c r="AV4" s="20">
        <f t="shared" si="5"/>
        <v>47695</v>
      </c>
      <c r="AW4" s="20">
        <f t="shared" si="5"/>
        <v>47726</v>
      </c>
      <c r="AX4" s="20">
        <f t="shared" si="5"/>
        <v>47756</v>
      </c>
      <c r="AY4" s="20">
        <f t="shared" si="5"/>
        <v>47787</v>
      </c>
      <c r="AZ4" s="20">
        <f t="shared" si="5"/>
        <v>47817</v>
      </c>
      <c r="BA4" s="20">
        <f t="shared" si="5"/>
        <v>47848</v>
      </c>
      <c r="BB4" s="20">
        <f t="shared" si="5"/>
        <v>47879</v>
      </c>
      <c r="BC4" s="20">
        <f t="shared" si="5"/>
        <v>47907</v>
      </c>
      <c r="BD4" s="20">
        <f t="shared" si="5"/>
        <v>47938</v>
      </c>
      <c r="BE4" s="20">
        <f t="shared" si="5"/>
        <v>47968</v>
      </c>
      <c r="BF4" s="20">
        <f t="shared" si="5"/>
        <v>47999</v>
      </c>
      <c r="BG4" s="20">
        <f t="shared" si="5"/>
        <v>48029</v>
      </c>
      <c r="BH4" s="20">
        <f t="shared" si="5"/>
        <v>48060</v>
      </c>
      <c r="BI4" s="20">
        <f t="shared" si="5"/>
        <v>48091</v>
      </c>
      <c r="BJ4" s="20">
        <f t="shared" si="5"/>
        <v>48121</v>
      </c>
      <c r="BK4" s="20">
        <f t="shared" si="5"/>
        <v>48152</v>
      </c>
      <c r="BL4" s="20">
        <f t="shared" si="5"/>
        <v>48182</v>
      </c>
      <c r="BM4" s="20">
        <f t="shared" si="5"/>
        <v>48213</v>
      </c>
      <c r="BN4" s="20">
        <f t="shared" si="5"/>
        <v>48244</v>
      </c>
      <c r="BO4" s="20">
        <f t="shared" si="5"/>
        <v>48273</v>
      </c>
      <c r="BP4" s="20">
        <f t="shared" si="5"/>
        <v>48304</v>
      </c>
      <c r="BQ4" s="20">
        <f t="shared" si="5"/>
        <v>48334</v>
      </c>
      <c r="BR4" s="20">
        <f t="shared" ref="BR4:CW4" si="6">EOMONTH(BQ4,1)</f>
        <v>48365</v>
      </c>
      <c r="BS4" s="20">
        <f t="shared" si="6"/>
        <v>48395</v>
      </c>
      <c r="BT4" s="20">
        <f t="shared" si="6"/>
        <v>48426</v>
      </c>
      <c r="BU4" s="20">
        <f t="shared" si="6"/>
        <v>48457</v>
      </c>
      <c r="BV4" s="20">
        <f t="shared" si="6"/>
        <v>48487</v>
      </c>
      <c r="BW4" s="20">
        <f t="shared" si="6"/>
        <v>48518</v>
      </c>
      <c r="BX4" s="20">
        <f t="shared" si="6"/>
        <v>48548</v>
      </c>
      <c r="BY4" s="20">
        <f t="shared" si="6"/>
        <v>48579</v>
      </c>
      <c r="BZ4" s="20">
        <f t="shared" si="6"/>
        <v>48610</v>
      </c>
      <c r="CA4" s="20">
        <f t="shared" si="6"/>
        <v>48638</v>
      </c>
      <c r="CB4" s="20">
        <f t="shared" si="6"/>
        <v>48669</v>
      </c>
      <c r="CC4" s="20">
        <f t="shared" si="6"/>
        <v>48699</v>
      </c>
      <c r="CD4" s="20">
        <f t="shared" si="6"/>
        <v>48730</v>
      </c>
      <c r="CE4" s="20">
        <f t="shared" si="6"/>
        <v>48760</v>
      </c>
      <c r="CF4" s="20">
        <f t="shared" si="6"/>
        <v>48791</v>
      </c>
      <c r="CG4" s="20">
        <f t="shared" si="6"/>
        <v>48822</v>
      </c>
      <c r="CH4" s="20">
        <f t="shared" si="6"/>
        <v>48852</v>
      </c>
      <c r="CI4" s="20">
        <f t="shared" si="6"/>
        <v>48883</v>
      </c>
      <c r="CJ4" s="20">
        <f t="shared" si="6"/>
        <v>48913</v>
      </c>
      <c r="CK4" s="20">
        <f t="shared" si="6"/>
        <v>48944</v>
      </c>
      <c r="CL4" s="20">
        <f t="shared" si="6"/>
        <v>48975</v>
      </c>
      <c r="CM4" s="20">
        <f t="shared" si="6"/>
        <v>49003</v>
      </c>
      <c r="CN4" s="20">
        <f t="shared" si="6"/>
        <v>49034</v>
      </c>
      <c r="CO4" s="20">
        <f t="shared" si="6"/>
        <v>49064</v>
      </c>
      <c r="CP4" s="20">
        <f t="shared" si="6"/>
        <v>49095</v>
      </c>
      <c r="CQ4" s="20">
        <f t="shared" si="6"/>
        <v>49125</v>
      </c>
      <c r="CR4" s="20">
        <f t="shared" si="6"/>
        <v>49156</v>
      </c>
      <c r="CS4" s="20">
        <f t="shared" si="6"/>
        <v>49187</v>
      </c>
      <c r="CT4" s="20">
        <f t="shared" si="6"/>
        <v>49217</v>
      </c>
      <c r="CU4" s="20">
        <f t="shared" si="6"/>
        <v>49248</v>
      </c>
      <c r="CV4" s="20">
        <f t="shared" si="6"/>
        <v>49278</v>
      </c>
      <c r="CW4" s="20">
        <f t="shared" si="6"/>
        <v>49309</v>
      </c>
      <c r="CX4" s="20">
        <f t="shared" ref="CX4:DU4" si="7">EOMONTH(CW4,1)</f>
        <v>49340</v>
      </c>
      <c r="CY4" s="20">
        <f t="shared" si="7"/>
        <v>49368</v>
      </c>
      <c r="CZ4" s="20">
        <f t="shared" si="7"/>
        <v>49399</v>
      </c>
      <c r="DA4" s="20">
        <f t="shared" si="7"/>
        <v>49429</v>
      </c>
      <c r="DB4" s="20">
        <f t="shared" si="7"/>
        <v>49460</v>
      </c>
      <c r="DC4" s="20">
        <f t="shared" si="7"/>
        <v>49490</v>
      </c>
      <c r="DD4" s="20">
        <f t="shared" si="7"/>
        <v>49521</v>
      </c>
      <c r="DE4" s="20">
        <f t="shared" si="7"/>
        <v>49552</v>
      </c>
      <c r="DF4" s="20">
        <f t="shared" si="7"/>
        <v>49582</v>
      </c>
      <c r="DG4" s="20">
        <f t="shared" si="7"/>
        <v>49613</v>
      </c>
      <c r="DH4" s="20">
        <f t="shared" si="7"/>
        <v>49643</v>
      </c>
      <c r="DI4" s="20">
        <f t="shared" si="7"/>
        <v>49674</v>
      </c>
      <c r="DJ4" s="20">
        <f t="shared" si="7"/>
        <v>49705</v>
      </c>
      <c r="DK4" s="20">
        <f t="shared" si="7"/>
        <v>49734</v>
      </c>
      <c r="DL4" s="20">
        <f t="shared" si="7"/>
        <v>49765</v>
      </c>
      <c r="DM4" s="20">
        <f t="shared" si="7"/>
        <v>49795</v>
      </c>
      <c r="DN4" s="20">
        <f t="shared" si="7"/>
        <v>49826</v>
      </c>
      <c r="DO4" s="20">
        <f t="shared" si="7"/>
        <v>49856</v>
      </c>
      <c r="DP4" s="20">
        <f t="shared" si="7"/>
        <v>49887</v>
      </c>
      <c r="DQ4" s="20">
        <f t="shared" si="7"/>
        <v>49918</v>
      </c>
      <c r="DR4" s="20">
        <f t="shared" si="7"/>
        <v>49948</v>
      </c>
      <c r="DS4" s="20">
        <f t="shared" si="7"/>
        <v>49979</v>
      </c>
      <c r="DT4" s="20">
        <f t="shared" si="7"/>
        <v>50009</v>
      </c>
      <c r="DU4" s="20">
        <f t="shared" si="7"/>
        <v>50040</v>
      </c>
    </row>
    <row r="5" spans="3:125" s="3" customFormat="1" ht="22.95" customHeight="1">
      <c r="D5" s="24"/>
    </row>
    <row r="6" spans="3:125" s="3" customFormat="1" ht="22.95" customHeight="1">
      <c r="C6" s="37" t="s">
        <v>270</v>
      </c>
      <c r="D6" s="38"/>
      <c r="E6" s="39">
        <v>0</v>
      </c>
      <c r="F6" s="40">
        <f t="shared" ref="F6:AK6" si="8">E9</f>
        <v>0</v>
      </c>
      <c r="G6" s="40">
        <f t="shared" si="8"/>
        <v>0</v>
      </c>
      <c r="H6" s="40">
        <f t="shared" si="8"/>
        <v>0</v>
      </c>
      <c r="I6" s="40">
        <f t="shared" si="8"/>
        <v>0</v>
      </c>
      <c r="J6" s="40">
        <f t="shared" si="8"/>
        <v>0</v>
      </c>
      <c r="K6" s="40">
        <f t="shared" si="8"/>
        <v>0</v>
      </c>
      <c r="L6" s="40">
        <f t="shared" si="8"/>
        <v>0</v>
      </c>
      <c r="M6" s="40">
        <f t="shared" si="8"/>
        <v>0</v>
      </c>
      <c r="N6" s="40">
        <f t="shared" si="8"/>
        <v>0</v>
      </c>
      <c r="O6" s="40">
        <f t="shared" si="8"/>
        <v>0</v>
      </c>
      <c r="P6" s="40">
        <f t="shared" si="8"/>
        <v>0</v>
      </c>
      <c r="Q6" s="40">
        <f t="shared" si="8"/>
        <v>0</v>
      </c>
      <c r="R6" s="40">
        <f t="shared" si="8"/>
        <v>0</v>
      </c>
      <c r="S6" s="40">
        <f t="shared" si="8"/>
        <v>0</v>
      </c>
      <c r="T6" s="40">
        <f t="shared" si="8"/>
        <v>0</v>
      </c>
      <c r="U6" s="40">
        <f t="shared" si="8"/>
        <v>0</v>
      </c>
      <c r="V6" s="40">
        <f t="shared" si="8"/>
        <v>0</v>
      </c>
      <c r="W6" s="40">
        <f t="shared" si="8"/>
        <v>0</v>
      </c>
      <c r="X6" s="40">
        <f t="shared" si="8"/>
        <v>0</v>
      </c>
      <c r="Y6" s="40">
        <f t="shared" si="8"/>
        <v>0</v>
      </c>
      <c r="Z6" s="40">
        <f t="shared" si="8"/>
        <v>0</v>
      </c>
      <c r="AA6" s="40">
        <f t="shared" si="8"/>
        <v>0</v>
      </c>
      <c r="AB6" s="40">
        <f t="shared" si="8"/>
        <v>0</v>
      </c>
      <c r="AC6" s="40">
        <f t="shared" si="8"/>
        <v>0</v>
      </c>
      <c r="AD6" s="40">
        <f t="shared" si="8"/>
        <v>0</v>
      </c>
      <c r="AE6" s="40">
        <f t="shared" si="8"/>
        <v>0</v>
      </c>
      <c r="AF6" s="40">
        <f t="shared" si="8"/>
        <v>0</v>
      </c>
      <c r="AG6" s="40">
        <f t="shared" si="8"/>
        <v>0</v>
      </c>
      <c r="AH6" s="40">
        <f t="shared" si="8"/>
        <v>0</v>
      </c>
      <c r="AI6" s="40">
        <f t="shared" si="8"/>
        <v>0</v>
      </c>
      <c r="AJ6" s="40">
        <f t="shared" si="8"/>
        <v>0</v>
      </c>
      <c r="AK6" s="40">
        <f t="shared" si="8"/>
        <v>0</v>
      </c>
      <c r="AL6" s="40">
        <f t="shared" ref="AL6:BQ6" si="9">AK9</f>
        <v>0</v>
      </c>
      <c r="AM6" s="40">
        <f t="shared" si="9"/>
        <v>0</v>
      </c>
      <c r="AN6" s="40">
        <f t="shared" si="9"/>
        <v>0</v>
      </c>
      <c r="AO6" s="40">
        <f t="shared" si="9"/>
        <v>0</v>
      </c>
      <c r="AP6" s="40">
        <f t="shared" si="9"/>
        <v>0</v>
      </c>
      <c r="AQ6" s="40">
        <f t="shared" si="9"/>
        <v>0</v>
      </c>
      <c r="AR6" s="40">
        <f t="shared" si="9"/>
        <v>0</v>
      </c>
      <c r="AS6" s="40">
        <f t="shared" si="9"/>
        <v>0</v>
      </c>
      <c r="AT6" s="40">
        <f t="shared" si="9"/>
        <v>0</v>
      </c>
      <c r="AU6" s="40">
        <f t="shared" si="9"/>
        <v>0</v>
      </c>
      <c r="AV6" s="40">
        <f t="shared" si="9"/>
        <v>0</v>
      </c>
      <c r="AW6" s="40">
        <f t="shared" si="9"/>
        <v>0</v>
      </c>
      <c r="AX6" s="40">
        <f t="shared" si="9"/>
        <v>0</v>
      </c>
      <c r="AY6" s="40">
        <f t="shared" si="9"/>
        <v>8.3333333333333339</v>
      </c>
      <c r="AZ6" s="40">
        <f t="shared" si="9"/>
        <v>16.666666666666668</v>
      </c>
      <c r="BA6" s="40">
        <f t="shared" si="9"/>
        <v>25</v>
      </c>
      <c r="BB6" s="40">
        <f t="shared" si="9"/>
        <v>33.333333333333336</v>
      </c>
      <c r="BC6" s="40">
        <f t="shared" si="9"/>
        <v>41.666666666666671</v>
      </c>
      <c r="BD6" s="40">
        <f t="shared" si="9"/>
        <v>50.000000000000007</v>
      </c>
      <c r="BE6" s="40">
        <f t="shared" si="9"/>
        <v>0</v>
      </c>
      <c r="BF6" s="40">
        <f t="shared" si="9"/>
        <v>0</v>
      </c>
      <c r="BG6" s="40">
        <f t="shared" si="9"/>
        <v>0</v>
      </c>
      <c r="BH6" s="40">
        <f t="shared" si="9"/>
        <v>0</v>
      </c>
      <c r="BI6" s="40">
        <f t="shared" si="9"/>
        <v>0</v>
      </c>
      <c r="BJ6" s="40">
        <f t="shared" si="9"/>
        <v>0</v>
      </c>
      <c r="BK6" s="40">
        <f t="shared" si="9"/>
        <v>0</v>
      </c>
      <c r="BL6" s="40">
        <f t="shared" si="9"/>
        <v>0</v>
      </c>
      <c r="BM6" s="40">
        <f t="shared" si="9"/>
        <v>0</v>
      </c>
      <c r="BN6" s="40">
        <f t="shared" si="9"/>
        <v>0</v>
      </c>
      <c r="BO6" s="40">
        <f t="shared" si="9"/>
        <v>0</v>
      </c>
      <c r="BP6" s="40">
        <f t="shared" si="9"/>
        <v>0</v>
      </c>
      <c r="BQ6" s="40">
        <f t="shared" si="9"/>
        <v>0</v>
      </c>
      <c r="BR6" s="40">
        <f t="shared" ref="BR6:CW6" si="10">BQ9</f>
        <v>0</v>
      </c>
      <c r="BS6" s="40">
        <f t="shared" si="10"/>
        <v>0</v>
      </c>
      <c r="BT6" s="40">
        <f t="shared" si="10"/>
        <v>0</v>
      </c>
      <c r="BU6" s="40">
        <f t="shared" si="10"/>
        <v>0</v>
      </c>
      <c r="BV6" s="40">
        <f t="shared" si="10"/>
        <v>0</v>
      </c>
      <c r="BW6" s="40">
        <f t="shared" si="10"/>
        <v>0</v>
      </c>
      <c r="BX6" s="40">
        <f t="shared" si="10"/>
        <v>0</v>
      </c>
      <c r="BY6" s="40">
        <f t="shared" si="10"/>
        <v>0</v>
      </c>
      <c r="BZ6" s="40">
        <f t="shared" si="10"/>
        <v>0</v>
      </c>
      <c r="CA6" s="40">
        <f t="shared" si="10"/>
        <v>0</v>
      </c>
      <c r="CB6" s="40">
        <f t="shared" si="10"/>
        <v>0</v>
      </c>
      <c r="CC6" s="40">
        <f t="shared" si="10"/>
        <v>0</v>
      </c>
      <c r="CD6" s="40">
        <f t="shared" si="10"/>
        <v>0</v>
      </c>
      <c r="CE6" s="40">
        <f t="shared" si="10"/>
        <v>0</v>
      </c>
      <c r="CF6" s="40">
        <f t="shared" si="10"/>
        <v>0</v>
      </c>
      <c r="CG6" s="40">
        <f t="shared" si="10"/>
        <v>0</v>
      </c>
      <c r="CH6" s="40">
        <f t="shared" si="10"/>
        <v>0</v>
      </c>
      <c r="CI6" s="40">
        <f t="shared" si="10"/>
        <v>0</v>
      </c>
      <c r="CJ6" s="40">
        <f t="shared" si="10"/>
        <v>0</v>
      </c>
      <c r="CK6" s="40">
        <f t="shared" si="10"/>
        <v>0</v>
      </c>
      <c r="CL6" s="40">
        <f t="shared" si="10"/>
        <v>0</v>
      </c>
      <c r="CM6" s="40">
        <f t="shared" si="10"/>
        <v>0</v>
      </c>
      <c r="CN6" s="40">
        <f t="shared" si="10"/>
        <v>0</v>
      </c>
      <c r="CO6" s="40">
        <f t="shared" si="10"/>
        <v>0</v>
      </c>
      <c r="CP6" s="40">
        <f t="shared" si="10"/>
        <v>0</v>
      </c>
      <c r="CQ6" s="40">
        <f t="shared" si="10"/>
        <v>0</v>
      </c>
      <c r="CR6" s="40">
        <f t="shared" si="10"/>
        <v>0</v>
      </c>
      <c r="CS6" s="40">
        <f t="shared" si="10"/>
        <v>0</v>
      </c>
      <c r="CT6" s="40">
        <f t="shared" si="10"/>
        <v>0</v>
      </c>
      <c r="CU6" s="40">
        <f t="shared" si="10"/>
        <v>0</v>
      </c>
      <c r="CV6" s="40">
        <f t="shared" si="10"/>
        <v>0</v>
      </c>
      <c r="CW6" s="40">
        <f t="shared" si="10"/>
        <v>0</v>
      </c>
      <c r="CX6" s="40">
        <f t="shared" ref="CX6:DU6" si="11">CW9</f>
        <v>0</v>
      </c>
      <c r="CY6" s="40">
        <f t="shared" si="11"/>
        <v>0</v>
      </c>
      <c r="CZ6" s="40">
        <f t="shared" si="11"/>
        <v>0</v>
      </c>
      <c r="DA6" s="40">
        <f t="shared" si="11"/>
        <v>0</v>
      </c>
      <c r="DB6" s="40">
        <f t="shared" si="11"/>
        <v>0</v>
      </c>
      <c r="DC6" s="40">
        <f t="shared" si="11"/>
        <v>0</v>
      </c>
      <c r="DD6" s="40">
        <f t="shared" si="11"/>
        <v>0</v>
      </c>
      <c r="DE6" s="40">
        <f t="shared" si="11"/>
        <v>0</v>
      </c>
      <c r="DF6" s="40">
        <f t="shared" si="11"/>
        <v>0</v>
      </c>
      <c r="DG6" s="40">
        <f t="shared" si="11"/>
        <v>0</v>
      </c>
      <c r="DH6" s="40">
        <f t="shared" si="11"/>
        <v>0</v>
      </c>
      <c r="DI6" s="40">
        <f t="shared" si="11"/>
        <v>0</v>
      </c>
      <c r="DJ6" s="40">
        <f t="shared" si="11"/>
        <v>0</v>
      </c>
      <c r="DK6" s="40">
        <f t="shared" si="11"/>
        <v>0</v>
      </c>
      <c r="DL6" s="40">
        <f t="shared" si="11"/>
        <v>0</v>
      </c>
      <c r="DM6" s="40">
        <f t="shared" si="11"/>
        <v>0</v>
      </c>
      <c r="DN6" s="40">
        <f t="shared" si="11"/>
        <v>0</v>
      </c>
      <c r="DO6" s="40">
        <f t="shared" si="11"/>
        <v>0</v>
      </c>
      <c r="DP6" s="40">
        <f t="shared" si="11"/>
        <v>0</v>
      </c>
      <c r="DQ6" s="40">
        <f t="shared" si="11"/>
        <v>0</v>
      </c>
      <c r="DR6" s="40">
        <f t="shared" si="11"/>
        <v>0</v>
      </c>
      <c r="DS6" s="40">
        <f t="shared" si="11"/>
        <v>0</v>
      </c>
      <c r="DT6" s="40">
        <f t="shared" si="11"/>
        <v>0</v>
      </c>
      <c r="DU6" s="40">
        <f t="shared" si="11"/>
        <v>0</v>
      </c>
    </row>
    <row r="7" spans="3:125" s="3" customFormat="1" ht="22.95" customHeight="1">
      <c r="C7" s="31" t="s">
        <v>271</v>
      </c>
      <c r="D7" s="41">
        <f>SUM(E7:DU7)</f>
        <v>150</v>
      </c>
      <c r="E7" s="42">
        <f>IF(AND(E$4&gt;='Single Project Assumptions'!$P$12,'Development Phase'!E$4&lt;'Single Project Assumptions'!$P$14),'Single Project Assumptions'!$P$15,0)</f>
        <v>0</v>
      </c>
      <c r="F7" s="42">
        <f>IF(AND(F$4&gt;='Single Project Assumptions'!$P$12,'Development Phase'!F$4&lt;'Single Project Assumptions'!$P$14),'Single Project Assumptions'!$P$15,0)</f>
        <v>0</v>
      </c>
      <c r="G7" s="42">
        <f>IF(AND(G$4&gt;='Single Project Assumptions'!$P$12,'Development Phase'!G$4&lt;'Single Project Assumptions'!$P$14),'Single Project Assumptions'!$P$15,0)</f>
        <v>0</v>
      </c>
      <c r="H7" s="42">
        <f>IF(AND(H$4&gt;='Single Project Assumptions'!$P$12,'Development Phase'!H$4&lt;'Single Project Assumptions'!$P$14),'Single Project Assumptions'!$P$15,0)</f>
        <v>0</v>
      </c>
      <c r="I7" s="42">
        <f>IF(AND(I$4&gt;='Single Project Assumptions'!$P$12,'Development Phase'!I$4&lt;'Single Project Assumptions'!$P$14),'Single Project Assumptions'!$P$15,0)</f>
        <v>0</v>
      </c>
      <c r="J7" s="42">
        <f>IF(AND(J$4&gt;='Single Project Assumptions'!$P$12,'Development Phase'!J$4&lt;'Single Project Assumptions'!$P$14),'Single Project Assumptions'!$P$15,0)</f>
        <v>0</v>
      </c>
      <c r="K7" s="42">
        <f>IF(AND(K$4&gt;='Single Project Assumptions'!$P$12,'Development Phase'!K$4&lt;'Single Project Assumptions'!$P$14),'Single Project Assumptions'!$P$15,0)</f>
        <v>0</v>
      </c>
      <c r="L7" s="42">
        <f>IF(AND(L$4&gt;='Single Project Assumptions'!$P$12,'Development Phase'!L$4&lt;'Single Project Assumptions'!$P$14),'Single Project Assumptions'!$P$15,0)</f>
        <v>0</v>
      </c>
      <c r="M7" s="42">
        <f>IF(AND(M$4&gt;='Single Project Assumptions'!$P$12,'Development Phase'!M$4&lt;'Single Project Assumptions'!$P$14),'Single Project Assumptions'!$P$15,0)</f>
        <v>0</v>
      </c>
      <c r="N7" s="42">
        <f>IF(AND(N$4&gt;='Single Project Assumptions'!$P$12,'Development Phase'!N$4&lt;'Single Project Assumptions'!$P$14),'Single Project Assumptions'!$P$15,0)</f>
        <v>0</v>
      </c>
      <c r="O7" s="42">
        <f>IF(AND(O$4&gt;='Single Project Assumptions'!$P$12,'Development Phase'!O$4&lt;'Single Project Assumptions'!$P$14),'Single Project Assumptions'!$P$15,0)</f>
        <v>0</v>
      </c>
      <c r="P7" s="42">
        <f>IF(AND(P$4&gt;='Single Project Assumptions'!$P$12,'Development Phase'!P$4&lt;'Single Project Assumptions'!$P$14),'Single Project Assumptions'!$P$15,0)</f>
        <v>0</v>
      </c>
      <c r="Q7" s="42">
        <f>IF(AND(Q$4&gt;='Single Project Assumptions'!$P$12,'Development Phase'!Q$4&lt;'Single Project Assumptions'!$P$14),'Single Project Assumptions'!$P$15,0)</f>
        <v>0</v>
      </c>
      <c r="R7" s="42">
        <f>IF(AND(R$4&gt;='Single Project Assumptions'!$P$12,'Development Phase'!R$4&lt;'Single Project Assumptions'!$P$14),'Single Project Assumptions'!$P$15,0)</f>
        <v>0</v>
      </c>
      <c r="S7" s="42">
        <f>IF(AND(S$4&gt;='Single Project Assumptions'!$P$12,'Development Phase'!S$4&lt;'Single Project Assumptions'!$P$14),'Single Project Assumptions'!$P$15,0)</f>
        <v>0</v>
      </c>
      <c r="T7" s="42">
        <f>IF(AND(T$4&gt;='Single Project Assumptions'!$P$12,'Development Phase'!T$4&lt;'Single Project Assumptions'!$P$14),'Single Project Assumptions'!$P$15,0)</f>
        <v>0</v>
      </c>
      <c r="U7" s="42">
        <f>IF(AND(U$4&gt;='Single Project Assumptions'!$P$12,'Development Phase'!U$4&lt;'Single Project Assumptions'!$P$14),'Single Project Assumptions'!$P$15,0)</f>
        <v>0</v>
      </c>
      <c r="V7" s="42">
        <f>IF(AND(V$4&gt;='Single Project Assumptions'!$P$12,'Development Phase'!V$4&lt;'Single Project Assumptions'!$P$14),'Single Project Assumptions'!$P$15,0)</f>
        <v>0</v>
      </c>
      <c r="W7" s="42">
        <f>IF(AND(W$4&gt;='Single Project Assumptions'!$P$12,'Development Phase'!W$4&lt;'Single Project Assumptions'!$P$14),'Single Project Assumptions'!$P$15,0)</f>
        <v>0</v>
      </c>
      <c r="X7" s="42">
        <f>IF(AND(X$4&gt;='Single Project Assumptions'!$P$12,'Development Phase'!X$4&lt;'Single Project Assumptions'!$P$14),'Single Project Assumptions'!$P$15,0)</f>
        <v>0</v>
      </c>
      <c r="Y7" s="42">
        <f>IF(AND(Y$4&gt;='Single Project Assumptions'!$P$12,'Development Phase'!Y$4&lt;'Single Project Assumptions'!$P$14),'Single Project Assumptions'!$P$15,0)</f>
        <v>0</v>
      </c>
      <c r="Z7" s="42">
        <f>IF(AND(Z$4&gt;='Single Project Assumptions'!$P$12,'Development Phase'!Z$4&lt;'Single Project Assumptions'!$P$14),'Single Project Assumptions'!$P$15,0)</f>
        <v>0</v>
      </c>
      <c r="AA7" s="42">
        <f>IF(AND(AA$4&gt;='Single Project Assumptions'!$P$12,'Development Phase'!AA$4&lt;'Single Project Assumptions'!$P$14),'Single Project Assumptions'!$P$15,0)</f>
        <v>0</v>
      </c>
      <c r="AB7" s="42">
        <f>IF(AND(AB$4&gt;='Single Project Assumptions'!$P$12,'Development Phase'!AB$4&lt;'Single Project Assumptions'!$P$14),'Single Project Assumptions'!$P$15,0)</f>
        <v>0</v>
      </c>
      <c r="AC7" s="42">
        <f>IF(AND(AC$4&gt;='Single Project Assumptions'!$P$12,'Development Phase'!AC$4&lt;'Single Project Assumptions'!$P$14),'Single Project Assumptions'!$P$15,0)</f>
        <v>0</v>
      </c>
      <c r="AD7" s="42">
        <f>IF(AND(AD$4&gt;='Single Project Assumptions'!$P$12,'Development Phase'!AD$4&lt;'Single Project Assumptions'!$P$14),'Single Project Assumptions'!$P$15,0)</f>
        <v>0</v>
      </c>
      <c r="AE7" s="42">
        <f>IF(AND(AE$4&gt;='Single Project Assumptions'!$P$12,'Development Phase'!AE$4&lt;'Single Project Assumptions'!$P$14),'Single Project Assumptions'!$P$15,0)</f>
        <v>0</v>
      </c>
      <c r="AF7" s="42">
        <f>IF(AND(AF$4&gt;='Single Project Assumptions'!$P$12,'Development Phase'!AF$4&lt;'Single Project Assumptions'!$P$14),'Single Project Assumptions'!$P$15,0)</f>
        <v>0</v>
      </c>
      <c r="AG7" s="42">
        <f>IF(AND(AG$4&gt;='Single Project Assumptions'!$P$12,'Development Phase'!AG$4&lt;'Single Project Assumptions'!$P$14),'Single Project Assumptions'!$P$15,0)</f>
        <v>0</v>
      </c>
      <c r="AH7" s="42">
        <f>IF(AND(AH$4&gt;='Single Project Assumptions'!$P$12,'Development Phase'!AH$4&lt;'Single Project Assumptions'!$P$14),'Single Project Assumptions'!$P$15,0)</f>
        <v>0</v>
      </c>
      <c r="AI7" s="42">
        <f>IF(AND(AI$4&gt;='Single Project Assumptions'!$P$12,'Development Phase'!AI$4&lt;'Single Project Assumptions'!$P$14),'Single Project Assumptions'!$P$15,0)</f>
        <v>0</v>
      </c>
      <c r="AJ7" s="42">
        <f>IF(AND(AJ$4&gt;='Single Project Assumptions'!$P$12,'Development Phase'!AJ$4&lt;'Single Project Assumptions'!$P$14),'Single Project Assumptions'!$P$15,0)</f>
        <v>0</v>
      </c>
      <c r="AK7" s="42">
        <f>IF(AND(AK$4&gt;='Single Project Assumptions'!$P$12,'Development Phase'!AK$4&lt;'Single Project Assumptions'!$P$14),'Single Project Assumptions'!$P$15,0)</f>
        <v>0</v>
      </c>
      <c r="AL7" s="42">
        <f>IF(AND(AL$4&gt;='Single Project Assumptions'!$P$12,'Development Phase'!AL$4&lt;'Single Project Assumptions'!$P$14),'Single Project Assumptions'!$P$15,0)</f>
        <v>0</v>
      </c>
      <c r="AM7" s="42">
        <f>IF(AND(AM$4&gt;='Single Project Assumptions'!$P$12,'Development Phase'!AM$4&lt;'Single Project Assumptions'!$P$14),'Single Project Assumptions'!$P$15,0)</f>
        <v>0</v>
      </c>
      <c r="AN7" s="42">
        <f>IF(AND(AN$4&gt;='Single Project Assumptions'!$P$12,'Development Phase'!AN$4&lt;'Single Project Assumptions'!$P$14),'Single Project Assumptions'!$P$15,0)</f>
        <v>0</v>
      </c>
      <c r="AO7" s="42">
        <f>IF(AND(AO$4&gt;='Single Project Assumptions'!$P$12,'Development Phase'!AO$4&lt;'Single Project Assumptions'!$P$14),'Single Project Assumptions'!$P$15,0)</f>
        <v>0</v>
      </c>
      <c r="AP7" s="42">
        <f>IF(AND(AP$4&gt;='Single Project Assumptions'!$P$12,'Development Phase'!AP$4&lt;'Single Project Assumptions'!$P$14),'Single Project Assumptions'!$P$15,0)</f>
        <v>0</v>
      </c>
      <c r="AQ7" s="42">
        <f>IF(AND(AQ$4&gt;='Single Project Assumptions'!$P$12,'Development Phase'!AQ$4&lt;'Single Project Assumptions'!$P$14),'Single Project Assumptions'!$P$15,0)</f>
        <v>0</v>
      </c>
      <c r="AR7" s="42">
        <f>IF(AND(AR$4&gt;='Single Project Assumptions'!$P$12,'Development Phase'!AR$4&lt;'Single Project Assumptions'!$P$14),'Single Project Assumptions'!$P$15,0)</f>
        <v>0</v>
      </c>
      <c r="AS7" s="42">
        <f>IF(AND(AS$4&gt;='Single Project Assumptions'!$P$12,'Development Phase'!AS$4&lt;'Single Project Assumptions'!$P$14),'Single Project Assumptions'!$P$15,0)</f>
        <v>0</v>
      </c>
      <c r="AT7" s="42">
        <f>IF(AND(AT$4&gt;='Single Project Assumptions'!$P$12,'Development Phase'!AT$4&lt;'Single Project Assumptions'!$P$14),'Single Project Assumptions'!$P$15,0)</f>
        <v>0</v>
      </c>
      <c r="AU7" s="42">
        <f>IF(AND(AU$4&gt;='Single Project Assumptions'!$P$12,'Development Phase'!AU$4&lt;'Single Project Assumptions'!$P$14),'Single Project Assumptions'!$P$15,0)</f>
        <v>0</v>
      </c>
      <c r="AV7" s="42">
        <f>IF(AND(AV$4&gt;='Single Project Assumptions'!$P$12,'Development Phase'!AV$4&lt;'Single Project Assumptions'!$P$14),'Single Project Assumptions'!$P$15,0)</f>
        <v>0</v>
      </c>
      <c r="AW7" s="42">
        <f>IF(AND(AW$4&gt;='Single Project Assumptions'!$P$12,'Development Phase'!AW$4&lt;'Single Project Assumptions'!$P$14),'Single Project Assumptions'!$P$15,0)</f>
        <v>0</v>
      </c>
      <c r="AX7" s="42">
        <f>IF(AND(AX$4&gt;='Single Project Assumptions'!$P$12,'Development Phase'!AX$4&lt;'Single Project Assumptions'!$P$14),'Single Project Assumptions'!$P$15,0)</f>
        <v>8.3333333333333339</v>
      </c>
      <c r="AY7" s="42">
        <f>IF(AND(AY$4&gt;='Single Project Assumptions'!$P$12,'Development Phase'!AY$4&lt;'Single Project Assumptions'!$P$14),'Single Project Assumptions'!$P$15,0)</f>
        <v>8.3333333333333339</v>
      </c>
      <c r="AZ7" s="42">
        <f>IF(AND(AZ$4&gt;='Single Project Assumptions'!$P$12,'Development Phase'!AZ$4&lt;'Single Project Assumptions'!$P$14),'Single Project Assumptions'!$P$15,0)</f>
        <v>8.3333333333333339</v>
      </c>
      <c r="BA7" s="42">
        <f>IF(AND(BA$4&gt;='Single Project Assumptions'!$P$12,'Development Phase'!BA$4&lt;'Single Project Assumptions'!$P$14),'Single Project Assumptions'!$P$15,0)</f>
        <v>8.3333333333333339</v>
      </c>
      <c r="BB7" s="42">
        <f>IF(AND(BB$4&gt;='Single Project Assumptions'!$P$12,'Development Phase'!BB$4&lt;'Single Project Assumptions'!$P$14),'Single Project Assumptions'!$P$15,0)</f>
        <v>8.3333333333333339</v>
      </c>
      <c r="BC7" s="42">
        <f>IF(AND(BC$4&gt;='Single Project Assumptions'!$P$12,'Development Phase'!BC$4&lt;'Single Project Assumptions'!$P$14),'Single Project Assumptions'!$P$15,0)</f>
        <v>8.3333333333333339</v>
      </c>
      <c r="BD7" s="42">
        <f>IF(AND(BD$4&gt;='Single Project Assumptions'!$P$12,'Development Phase'!BD$4&lt;'Single Project Assumptions'!$P$14),'Single Project Assumptions'!$P$15,0)</f>
        <v>8.3333333333333339</v>
      </c>
      <c r="BE7" s="42">
        <f>IF(AND(BE$4&gt;='Single Project Assumptions'!$P$12,'Development Phase'!BE$4&lt;'Single Project Assumptions'!$P$14),'Single Project Assumptions'!$P$15,0)</f>
        <v>8.3333333333333339</v>
      </c>
      <c r="BF7" s="42">
        <f>IF(AND(BF$4&gt;='Single Project Assumptions'!$P$12,'Development Phase'!BF$4&lt;'Single Project Assumptions'!$P$14),'Single Project Assumptions'!$P$15,0)</f>
        <v>8.3333333333333339</v>
      </c>
      <c r="BG7" s="42">
        <f>IF(AND(BG$4&gt;='Single Project Assumptions'!$P$12,'Development Phase'!BG$4&lt;'Single Project Assumptions'!$P$14),'Single Project Assumptions'!$P$15,0)</f>
        <v>8.3333333333333339</v>
      </c>
      <c r="BH7" s="42">
        <f>IF(AND(BH$4&gt;='Single Project Assumptions'!$P$12,'Development Phase'!BH$4&lt;'Single Project Assumptions'!$P$14),'Single Project Assumptions'!$P$15,0)</f>
        <v>8.3333333333333339</v>
      </c>
      <c r="BI7" s="42">
        <f>IF(AND(BI$4&gt;='Single Project Assumptions'!$P$12,'Development Phase'!BI$4&lt;'Single Project Assumptions'!$P$14),'Single Project Assumptions'!$P$15,0)</f>
        <v>8.3333333333333339</v>
      </c>
      <c r="BJ7" s="42">
        <f>IF(AND(BJ$4&gt;='Single Project Assumptions'!$P$12,'Development Phase'!BJ$4&lt;'Single Project Assumptions'!$P$14),'Single Project Assumptions'!$P$15,0)</f>
        <v>8.3333333333333339</v>
      </c>
      <c r="BK7" s="42">
        <f>IF(AND(BK$4&gt;='Single Project Assumptions'!$P$12,'Development Phase'!BK$4&lt;'Single Project Assumptions'!$P$14),'Single Project Assumptions'!$P$15,0)</f>
        <v>8.3333333333333339</v>
      </c>
      <c r="BL7" s="42">
        <f>IF(AND(BL$4&gt;='Single Project Assumptions'!$P$12,'Development Phase'!BL$4&lt;'Single Project Assumptions'!$P$14),'Single Project Assumptions'!$P$15,0)</f>
        <v>8.3333333333333339</v>
      </c>
      <c r="BM7" s="42">
        <f>IF(AND(BM$4&gt;='Single Project Assumptions'!$P$12,'Development Phase'!BM$4&lt;'Single Project Assumptions'!$P$14),'Single Project Assumptions'!$P$15,0)</f>
        <v>8.3333333333333339</v>
      </c>
      <c r="BN7" s="42">
        <f>IF(AND(BN$4&gt;='Single Project Assumptions'!$P$12,'Development Phase'!BN$4&lt;'Single Project Assumptions'!$P$14),'Single Project Assumptions'!$P$15,0)</f>
        <v>8.3333333333333339</v>
      </c>
      <c r="BO7" s="42">
        <f>IF(AND(BO$4&gt;='Single Project Assumptions'!$P$12,'Development Phase'!BO$4&lt;'Single Project Assumptions'!$P$14),'Single Project Assumptions'!$P$15,0)</f>
        <v>8.3333333333333339</v>
      </c>
      <c r="BP7" s="42">
        <f>IF(AND(BP$4&gt;='Single Project Assumptions'!$P$12,'Development Phase'!BP$4&lt;'Single Project Assumptions'!$P$14),'Single Project Assumptions'!$P$15,0)</f>
        <v>0</v>
      </c>
      <c r="BQ7" s="42">
        <f>IF(AND(BQ$4&gt;='Single Project Assumptions'!$P$12,'Development Phase'!BQ$4&lt;'Single Project Assumptions'!$P$14),'Single Project Assumptions'!$P$15,0)</f>
        <v>0</v>
      </c>
      <c r="BR7" s="42">
        <f>IF(AND(BR$4&gt;='Single Project Assumptions'!$P$12,'Development Phase'!BR$4&lt;'Single Project Assumptions'!$P$14),'Single Project Assumptions'!$P$15,0)</f>
        <v>0</v>
      </c>
      <c r="BS7" s="42">
        <f>IF(AND(BS$4&gt;='Single Project Assumptions'!$P$12,'Development Phase'!BS$4&lt;'Single Project Assumptions'!$P$14),'Single Project Assumptions'!$P$15,0)</f>
        <v>0</v>
      </c>
      <c r="BT7" s="42">
        <f>IF(AND(BT$4&gt;='Single Project Assumptions'!$P$12,'Development Phase'!BT$4&lt;'Single Project Assumptions'!$P$14),'Single Project Assumptions'!$P$15,0)</f>
        <v>0</v>
      </c>
      <c r="BU7" s="42">
        <f>IF(AND(BU$4&gt;='Single Project Assumptions'!$P$12,'Development Phase'!BU$4&lt;'Single Project Assumptions'!$P$14),'Single Project Assumptions'!$P$15,0)</f>
        <v>0</v>
      </c>
      <c r="BV7" s="42">
        <f>IF(AND(BV$4&gt;='Single Project Assumptions'!$P$12,'Development Phase'!BV$4&lt;'Single Project Assumptions'!$P$14),'Single Project Assumptions'!$P$15,0)</f>
        <v>0</v>
      </c>
      <c r="BW7" s="42">
        <f>IF(AND(BW$4&gt;='Single Project Assumptions'!$P$12,'Development Phase'!BW$4&lt;'Single Project Assumptions'!$P$14),'Single Project Assumptions'!$P$15,0)</f>
        <v>0</v>
      </c>
      <c r="BX7" s="42">
        <f>IF(AND(BX$4&gt;='Single Project Assumptions'!$P$12,'Development Phase'!BX$4&lt;'Single Project Assumptions'!$P$14),'Single Project Assumptions'!$P$15,0)</f>
        <v>0</v>
      </c>
      <c r="BY7" s="42">
        <f>IF(AND(BY$4&gt;='Single Project Assumptions'!$P$12,'Development Phase'!BY$4&lt;'Single Project Assumptions'!$P$14),'Single Project Assumptions'!$P$15,0)</f>
        <v>0</v>
      </c>
      <c r="BZ7" s="42">
        <f>IF(AND(BZ$4&gt;='Single Project Assumptions'!$P$12,'Development Phase'!BZ$4&lt;'Single Project Assumptions'!$P$14),'Single Project Assumptions'!$P$15,0)</f>
        <v>0</v>
      </c>
      <c r="CA7" s="42">
        <f>IF(AND(CA$4&gt;='Single Project Assumptions'!$P$12,'Development Phase'!CA$4&lt;'Single Project Assumptions'!$P$14),'Single Project Assumptions'!$P$15,0)</f>
        <v>0</v>
      </c>
      <c r="CB7" s="42">
        <f>IF(AND(CB$4&gt;='Single Project Assumptions'!$P$12,'Development Phase'!CB$4&lt;'Single Project Assumptions'!$P$14),'Single Project Assumptions'!$P$15,0)</f>
        <v>0</v>
      </c>
      <c r="CC7" s="42">
        <f>IF(AND(CC$4&gt;='Single Project Assumptions'!$P$12,'Development Phase'!CC$4&lt;'Single Project Assumptions'!$P$14),'Single Project Assumptions'!$P$15,0)</f>
        <v>0</v>
      </c>
      <c r="CD7" s="42">
        <f>IF(AND(CD$4&gt;='Single Project Assumptions'!$P$12,'Development Phase'!CD$4&lt;'Single Project Assumptions'!$P$14),'Single Project Assumptions'!$P$15,0)</f>
        <v>0</v>
      </c>
      <c r="CE7" s="42">
        <f>IF(AND(CE$4&gt;='Single Project Assumptions'!$P$12,'Development Phase'!CE$4&lt;'Single Project Assumptions'!$P$14),'Single Project Assumptions'!$P$15,0)</f>
        <v>0</v>
      </c>
      <c r="CF7" s="42">
        <f>IF(AND(CF$4&gt;='Single Project Assumptions'!$P$12,'Development Phase'!CF$4&lt;'Single Project Assumptions'!$P$14),'Single Project Assumptions'!$P$15,0)</f>
        <v>0</v>
      </c>
      <c r="CG7" s="42">
        <f>IF(AND(CG$4&gt;='Single Project Assumptions'!$P$12,'Development Phase'!CG$4&lt;'Single Project Assumptions'!$P$14),'Single Project Assumptions'!$P$15,0)</f>
        <v>0</v>
      </c>
      <c r="CH7" s="42">
        <f>IF(AND(CH$4&gt;='Single Project Assumptions'!$P$12,'Development Phase'!CH$4&lt;'Single Project Assumptions'!$P$14),'Single Project Assumptions'!$P$15,0)</f>
        <v>0</v>
      </c>
      <c r="CI7" s="42">
        <f>IF(AND(CI$4&gt;='Single Project Assumptions'!$P$12,'Development Phase'!CI$4&lt;'Single Project Assumptions'!$P$14),'Single Project Assumptions'!$P$15,0)</f>
        <v>0</v>
      </c>
      <c r="CJ7" s="42">
        <f>IF(AND(CJ$4&gt;='Single Project Assumptions'!$P$12,'Development Phase'!CJ$4&lt;'Single Project Assumptions'!$P$14),'Single Project Assumptions'!$P$15,0)</f>
        <v>0</v>
      </c>
      <c r="CK7" s="42">
        <f>IF(AND(CK$4&gt;='Single Project Assumptions'!$P$12,'Development Phase'!CK$4&lt;'Single Project Assumptions'!$P$14),'Single Project Assumptions'!$P$15,0)</f>
        <v>0</v>
      </c>
      <c r="CL7" s="42">
        <f>IF(AND(CL$4&gt;='Single Project Assumptions'!$P$12,'Development Phase'!CL$4&lt;'Single Project Assumptions'!$P$14),'Single Project Assumptions'!$P$15,0)</f>
        <v>0</v>
      </c>
      <c r="CM7" s="42">
        <f>IF(AND(CM$4&gt;='Single Project Assumptions'!$P$12,'Development Phase'!CM$4&lt;'Single Project Assumptions'!$P$14),'Single Project Assumptions'!$P$15,0)</f>
        <v>0</v>
      </c>
      <c r="CN7" s="42">
        <f>IF(AND(CN$4&gt;='Single Project Assumptions'!$P$12,'Development Phase'!CN$4&lt;'Single Project Assumptions'!$P$14),'Single Project Assumptions'!$P$15,0)</f>
        <v>0</v>
      </c>
      <c r="CO7" s="42">
        <f>IF(AND(CO$4&gt;='Single Project Assumptions'!$P$12,'Development Phase'!CO$4&lt;'Single Project Assumptions'!$P$14),'Single Project Assumptions'!$P$15,0)</f>
        <v>0</v>
      </c>
      <c r="CP7" s="42">
        <f>IF(AND(CP$4&gt;='Single Project Assumptions'!$P$12,'Development Phase'!CP$4&lt;'Single Project Assumptions'!$P$14),'Single Project Assumptions'!$P$15,0)</f>
        <v>0</v>
      </c>
      <c r="CQ7" s="42">
        <f>IF(AND(CQ$4&gt;='Single Project Assumptions'!$P$12,'Development Phase'!CQ$4&lt;'Single Project Assumptions'!$P$14),'Single Project Assumptions'!$P$15,0)</f>
        <v>0</v>
      </c>
      <c r="CR7" s="42">
        <f>IF(AND(CR$4&gt;='Single Project Assumptions'!$P$12,'Development Phase'!CR$4&lt;'Single Project Assumptions'!$P$14),'Single Project Assumptions'!$P$15,0)</f>
        <v>0</v>
      </c>
      <c r="CS7" s="42">
        <f>IF(AND(CS$4&gt;='Single Project Assumptions'!$P$12,'Development Phase'!CS$4&lt;'Single Project Assumptions'!$P$14),'Single Project Assumptions'!$P$15,0)</f>
        <v>0</v>
      </c>
      <c r="CT7" s="42">
        <f>IF(AND(CT$4&gt;='Single Project Assumptions'!$P$12,'Development Phase'!CT$4&lt;'Single Project Assumptions'!$P$14),'Single Project Assumptions'!$P$15,0)</f>
        <v>0</v>
      </c>
      <c r="CU7" s="42">
        <f>IF(AND(CU$4&gt;='Single Project Assumptions'!$P$12,'Development Phase'!CU$4&lt;'Single Project Assumptions'!$P$14),'Single Project Assumptions'!$P$15,0)</f>
        <v>0</v>
      </c>
      <c r="CV7" s="42">
        <f>IF(AND(CV$4&gt;='Single Project Assumptions'!$P$12,'Development Phase'!CV$4&lt;'Single Project Assumptions'!$P$14),'Single Project Assumptions'!$P$15,0)</f>
        <v>0</v>
      </c>
      <c r="CW7" s="42">
        <f>IF(AND(CW$4&gt;='Single Project Assumptions'!$P$12,'Development Phase'!CW$4&lt;'Single Project Assumptions'!$P$14),'Single Project Assumptions'!$P$15,0)</f>
        <v>0</v>
      </c>
      <c r="CX7" s="42">
        <f>IF(AND(CX$4&gt;='Single Project Assumptions'!$P$12,'Development Phase'!CX$4&lt;'Single Project Assumptions'!$P$14),'Single Project Assumptions'!$P$15,0)</f>
        <v>0</v>
      </c>
      <c r="CY7" s="42">
        <f>IF(AND(CY$4&gt;='Single Project Assumptions'!$P$12,'Development Phase'!CY$4&lt;'Single Project Assumptions'!$P$14),'Single Project Assumptions'!$P$15,0)</f>
        <v>0</v>
      </c>
      <c r="CZ7" s="42">
        <f>IF(AND(CZ$4&gt;='Single Project Assumptions'!$P$12,'Development Phase'!CZ$4&lt;'Single Project Assumptions'!$P$14),'Single Project Assumptions'!$P$15,0)</f>
        <v>0</v>
      </c>
      <c r="DA7" s="42">
        <f>IF(AND(DA$4&gt;='Single Project Assumptions'!$P$12,'Development Phase'!DA$4&lt;'Single Project Assumptions'!$P$14),'Single Project Assumptions'!$P$15,0)</f>
        <v>0</v>
      </c>
      <c r="DB7" s="42">
        <f>IF(AND(DB$4&gt;='Single Project Assumptions'!$P$12,'Development Phase'!DB$4&lt;'Single Project Assumptions'!$P$14),'Single Project Assumptions'!$P$15,0)</f>
        <v>0</v>
      </c>
      <c r="DC7" s="42">
        <f>IF(AND(DC$4&gt;='Single Project Assumptions'!$P$12,'Development Phase'!DC$4&lt;'Single Project Assumptions'!$P$14),'Single Project Assumptions'!$P$15,0)</f>
        <v>0</v>
      </c>
      <c r="DD7" s="42">
        <f>IF(AND(DD$4&gt;='Single Project Assumptions'!$P$12,'Development Phase'!DD$4&lt;'Single Project Assumptions'!$P$14),'Single Project Assumptions'!$P$15,0)</f>
        <v>0</v>
      </c>
      <c r="DE7" s="42">
        <f>IF(AND(DE$4&gt;='Single Project Assumptions'!$P$12,'Development Phase'!DE$4&lt;'Single Project Assumptions'!$P$14),'Single Project Assumptions'!$P$15,0)</f>
        <v>0</v>
      </c>
      <c r="DF7" s="42">
        <f>IF(AND(DF$4&gt;='Single Project Assumptions'!$P$12,'Development Phase'!DF$4&lt;'Single Project Assumptions'!$P$14),'Single Project Assumptions'!$P$15,0)</f>
        <v>0</v>
      </c>
      <c r="DG7" s="42">
        <f>IF(AND(DG$4&gt;='Single Project Assumptions'!$P$12,'Development Phase'!DG$4&lt;'Single Project Assumptions'!$P$14),'Single Project Assumptions'!$P$15,0)</f>
        <v>0</v>
      </c>
      <c r="DH7" s="42">
        <f>IF(AND(DH$4&gt;='Single Project Assumptions'!$P$12,'Development Phase'!DH$4&lt;'Single Project Assumptions'!$P$14),'Single Project Assumptions'!$P$15,0)</f>
        <v>0</v>
      </c>
      <c r="DI7" s="42">
        <f>IF(AND(DI$4&gt;='Single Project Assumptions'!$P$12,'Development Phase'!DI$4&lt;'Single Project Assumptions'!$P$14),'Single Project Assumptions'!$P$15,0)</f>
        <v>0</v>
      </c>
      <c r="DJ7" s="42">
        <f>IF(AND(DJ$4&gt;='Single Project Assumptions'!$P$12,'Development Phase'!DJ$4&lt;'Single Project Assumptions'!$P$14),'Single Project Assumptions'!$P$15,0)</f>
        <v>0</v>
      </c>
      <c r="DK7" s="42">
        <f>IF(AND(DK$4&gt;='Single Project Assumptions'!$P$12,'Development Phase'!DK$4&lt;'Single Project Assumptions'!$P$14),'Single Project Assumptions'!$P$15,0)</f>
        <v>0</v>
      </c>
      <c r="DL7" s="42">
        <f>IF(AND(DL$4&gt;='Single Project Assumptions'!$P$12,'Development Phase'!DL$4&lt;'Single Project Assumptions'!$P$14),'Single Project Assumptions'!$P$15,0)</f>
        <v>0</v>
      </c>
      <c r="DM7" s="42">
        <f>IF(AND(DM$4&gt;='Single Project Assumptions'!$P$12,'Development Phase'!DM$4&lt;'Single Project Assumptions'!$P$14),'Single Project Assumptions'!$P$15,0)</f>
        <v>0</v>
      </c>
      <c r="DN7" s="42">
        <f>IF(AND(DN$4&gt;='Single Project Assumptions'!$P$12,'Development Phase'!DN$4&lt;'Single Project Assumptions'!$P$14),'Single Project Assumptions'!$P$15,0)</f>
        <v>0</v>
      </c>
      <c r="DO7" s="42">
        <f>IF(AND(DO$4&gt;='Single Project Assumptions'!$P$12,'Development Phase'!DO$4&lt;'Single Project Assumptions'!$P$14),'Single Project Assumptions'!$P$15,0)</f>
        <v>0</v>
      </c>
      <c r="DP7" s="42">
        <f>IF(AND(DP$4&gt;='Single Project Assumptions'!$P$12,'Development Phase'!DP$4&lt;'Single Project Assumptions'!$P$14),'Single Project Assumptions'!$P$15,0)</f>
        <v>0</v>
      </c>
      <c r="DQ7" s="42">
        <f>IF(AND(DQ$4&gt;='Single Project Assumptions'!$P$12,'Development Phase'!DQ$4&lt;'Single Project Assumptions'!$P$14),'Single Project Assumptions'!$P$15,0)</f>
        <v>0</v>
      </c>
      <c r="DR7" s="42">
        <f>IF(AND(DR$4&gt;='Single Project Assumptions'!$P$12,'Development Phase'!DR$4&lt;'Single Project Assumptions'!$P$14),'Single Project Assumptions'!$P$15,0)</f>
        <v>0</v>
      </c>
      <c r="DS7" s="42">
        <f>IF(AND(DS$4&gt;='Single Project Assumptions'!$P$12,'Development Phase'!DS$4&lt;'Single Project Assumptions'!$P$14),'Single Project Assumptions'!$P$15,0)</f>
        <v>0</v>
      </c>
      <c r="DT7" s="42">
        <f>IF(AND(DT$4&gt;='Single Project Assumptions'!$P$12,'Development Phase'!DT$4&lt;'Single Project Assumptions'!$P$14),'Single Project Assumptions'!$P$15,0)</f>
        <v>0</v>
      </c>
      <c r="DU7" s="42">
        <f>IF(AND(DU$4&gt;='Single Project Assumptions'!$P$12,'Development Phase'!DU$4&lt;'Single Project Assumptions'!$P$14),'Single Project Assumptions'!$P$15,0)</f>
        <v>0</v>
      </c>
    </row>
    <row r="8" spans="3:125" s="3" customFormat="1" ht="22.95" customHeight="1">
      <c r="C8" s="31" t="s">
        <v>272</v>
      </c>
      <c r="D8" s="41">
        <f>SUM(E8:DU8)</f>
        <v>-150</v>
      </c>
      <c r="E8" s="42">
        <f>IF(E$4&lt;'Single Project Assumptions'!$L$15,0,-SUM('Development Phase'!E6:E7))</f>
        <v>0</v>
      </c>
      <c r="F8" s="42">
        <f>IF(F$4&lt;'Single Project Assumptions'!$L$15,0,-SUM('Development Phase'!F6:F7))</f>
        <v>0</v>
      </c>
      <c r="G8" s="42">
        <f>IF(G$4&lt;'Single Project Assumptions'!$L$15,0,-SUM('Development Phase'!G6:G7))</f>
        <v>0</v>
      </c>
      <c r="H8" s="42">
        <f>IF(H$4&lt;'Single Project Assumptions'!$L$15,0,-SUM('Development Phase'!H6:H7))</f>
        <v>0</v>
      </c>
      <c r="I8" s="42">
        <f>IF(I$4&lt;'Single Project Assumptions'!$L$15,0,-SUM('Development Phase'!I6:I7))</f>
        <v>0</v>
      </c>
      <c r="J8" s="42">
        <f>IF(J$4&lt;'Single Project Assumptions'!$L$15,0,-SUM('Development Phase'!J6:J7))</f>
        <v>0</v>
      </c>
      <c r="K8" s="42">
        <f>IF(K$4&lt;'Single Project Assumptions'!$L$15,0,-SUM('Development Phase'!K6:K7))</f>
        <v>0</v>
      </c>
      <c r="L8" s="42">
        <f>IF(L$4&lt;'Single Project Assumptions'!$L$15,0,-SUM('Development Phase'!L6:L7))</f>
        <v>0</v>
      </c>
      <c r="M8" s="42">
        <f>IF(M$4&lt;'Single Project Assumptions'!$L$15,0,-SUM('Development Phase'!M6:M7))</f>
        <v>0</v>
      </c>
      <c r="N8" s="42">
        <f>IF(N$4&lt;'Single Project Assumptions'!$L$15,0,-SUM('Development Phase'!N6:N7))</f>
        <v>0</v>
      </c>
      <c r="O8" s="42">
        <f>IF(O$4&lt;'Single Project Assumptions'!$L$15,0,-SUM('Development Phase'!O6:O7))</f>
        <v>0</v>
      </c>
      <c r="P8" s="42">
        <f>IF(P$4&lt;'Single Project Assumptions'!$L$15,0,-SUM('Development Phase'!P6:P7))</f>
        <v>0</v>
      </c>
      <c r="Q8" s="42">
        <f>IF(Q$4&lt;'Single Project Assumptions'!$L$15,0,-SUM('Development Phase'!Q6:Q7))</f>
        <v>0</v>
      </c>
      <c r="R8" s="42">
        <f>IF(R$4&lt;'Single Project Assumptions'!$L$15,0,-SUM('Development Phase'!R6:R7))</f>
        <v>0</v>
      </c>
      <c r="S8" s="42">
        <f>IF(S$4&lt;'Single Project Assumptions'!$L$15,0,-SUM('Development Phase'!S6:S7))</f>
        <v>0</v>
      </c>
      <c r="T8" s="42">
        <f>IF(T$4&lt;'Single Project Assumptions'!$L$15,0,-SUM('Development Phase'!T6:T7))</f>
        <v>0</v>
      </c>
      <c r="U8" s="42">
        <f>IF(U$4&lt;'Single Project Assumptions'!$L$15,0,-SUM('Development Phase'!U6:U7))</f>
        <v>0</v>
      </c>
      <c r="V8" s="42">
        <f>IF(V$4&lt;'Single Project Assumptions'!$L$15,0,-SUM('Development Phase'!V6:V7))</f>
        <v>0</v>
      </c>
      <c r="W8" s="42">
        <f>IF(W$4&lt;'Single Project Assumptions'!$L$15,0,-SUM('Development Phase'!W6:W7))</f>
        <v>0</v>
      </c>
      <c r="X8" s="42">
        <f>IF(X$4&lt;'Single Project Assumptions'!$L$15,0,-SUM('Development Phase'!X6:X7))</f>
        <v>0</v>
      </c>
      <c r="Y8" s="42">
        <f>IF(Y$4&lt;'Single Project Assumptions'!$L$15,0,-SUM('Development Phase'!Y6:Y7))</f>
        <v>0</v>
      </c>
      <c r="Z8" s="42">
        <f>IF(Z$4&lt;'Single Project Assumptions'!$L$15,0,-SUM('Development Phase'!Z6:Z7))</f>
        <v>0</v>
      </c>
      <c r="AA8" s="42">
        <f>IF(AA$4&lt;'Single Project Assumptions'!$L$15,0,-SUM('Development Phase'!AA6:AA7))</f>
        <v>0</v>
      </c>
      <c r="AB8" s="42">
        <f>IF(AB$4&lt;'Single Project Assumptions'!$L$15,0,-SUM('Development Phase'!AB6:AB7))</f>
        <v>0</v>
      </c>
      <c r="AC8" s="42">
        <f>IF(AC$4&lt;'Single Project Assumptions'!$L$15,0,-SUM('Development Phase'!AC6:AC7))</f>
        <v>0</v>
      </c>
      <c r="AD8" s="42">
        <f>IF(AD$4&lt;'Single Project Assumptions'!$L$15,0,-SUM('Development Phase'!AD6:AD7))</f>
        <v>0</v>
      </c>
      <c r="AE8" s="42">
        <f>IF(AE$4&lt;'Single Project Assumptions'!$L$15,0,-SUM('Development Phase'!AE6:AE7))</f>
        <v>0</v>
      </c>
      <c r="AF8" s="42">
        <f>IF(AF$4&lt;'Single Project Assumptions'!$L$15,0,-SUM('Development Phase'!AF6:AF7))</f>
        <v>0</v>
      </c>
      <c r="AG8" s="42">
        <f>IF(AG$4&lt;'Single Project Assumptions'!$L$15,0,-SUM('Development Phase'!AG6:AG7))</f>
        <v>0</v>
      </c>
      <c r="AH8" s="42">
        <f>IF(AH$4&lt;'Single Project Assumptions'!$L$15,0,-SUM('Development Phase'!AH6:AH7))</f>
        <v>0</v>
      </c>
      <c r="AI8" s="42">
        <f>IF(AI$4&lt;'Single Project Assumptions'!$L$15,0,-SUM('Development Phase'!AI6:AI7))</f>
        <v>0</v>
      </c>
      <c r="AJ8" s="42">
        <f>IF(AJ$4&lt;'Single Project Assumptions'!$L$15,0,-SUM('Development Phase'!AJ6:AJ7))</f>
        <v>0</v>
      </c>
      <c r="AK8" s="42">
        <f>IF(AK$4&lt;'Single Project Assumptions'!$L$15,0,-SUM('Development Phase'!AK6:AK7))</f>
        <v>0</v>
      </c>
      <c r="AL8" s="42">
        <f>IF(AL$4&lt;'Single Project Assumptions'!$L$15,0,-SUM('Development Phase'!AL6:AL7))</f>
        <v>0</v>
      </c>
      <c r="AM8" s="42">
        <f>IF(AM$4&lt;'Single Project Assumptions'!$L$15,0,-SUM('Development Phase'!AM6:AM7))</f>
        <v>0</v>
      </c>
      <c r="AN8" s="42">
        <f>IF(AN$4&lt;'Single Project Assumptions'!$L$15,0,-SUM('Development Phase'!AN6:AN7))</f>
        <v>0</v>
      </c>
      <c r="AO8" s="42">
        <f>IF(AO$4&lt;'Single Project Assumptions'!$L$15,0,-SUM('Development Phase'!AO6:AO7))</f>
        <v>0</v>
      </c>
      <c r="AP8" s="42">
        <f>IF(AP$4&lt;'Single Project Assumptions'!$L$15,0,-SUM('Development Phase'!AP6:AP7))</f>
        <v>0</v>
      </c>
      <c r="AQ8" s="42">
        <f>IF(AQ$4&lt;'Single Project Assumptions'!$L$15,0,-SUM('Development Phase'!AQ6:AQ7))</f>
        <v>0</v>
      </c>
      <c r="AR8" s="42">
        <f>IF(AR$4&lt;'Single Project Assumptions'!$L$15,0,-SUM('Development Phase'!AR6:AR7))</f>
        <v>0</v>
      </c>
      <c r="AS8" s="42">
        <f>IF(AS$4&lt;'Single Project Assumptions'!$L$15,0,-SUM('Development Phase'!AS6:AS7))</f>
        <v>0</v>
      </c>
      <c r="AT8" s="42">
        <f>IF(AT$4&lt;'Single Project Assumptions'!$L$15,0,-SUM('Development Phase'!AT6:AT7))</f>
        <v>0</v>
      </c>
      <c r="AU8" s="42">
        <f>IF(AU$4&lt;'Single Project Assumptions'!$L$15,0,-SUM('Development Phase'!AU6:AU7))</f>
        <v>0</v>
      </c>
      <c r="AV8" s="42">
        <f>IF(AV$4&lt;'Single Project Assumptions'!$L$15,0,-SUM('Development Phase'!AV6:AV7))</f>
        <v>0</v>
      </c>
      <c r="AW8" s="42">
        <f>IF(AW$4&lt;'Single Project Assumptions'!$L$15,0,-SUM('Development Phase'!AW6:AW7))</f>
        <v>0</v>
      </c>
      <c r="AX8" s="42">
        <f>IF(AX$4&lt;'Single Project Assumptions'!$L$15,0,-SUM('Development Phase'!AX6:AX7))</f>
        <v>0</v>
      </c>
      <c r="AY8" s="42">
        <f>IF(AY$4&lt;'Single Project Assumptions'!$L$15,0,-SUM('Development Phase'!AY6:AY7))</f>
        <v>0</v>
      </c>
      <c r="AZ8" s="42">
        <f>IF(AZ$4&lt;'Single Project Assumptions'!$L$15,0,-SUM('Development Phase'!AZ6:AZ7))</f>
        <v>0</v>
      </c>
      <c r="BA8" s="42">
        <f>IF(BA$4&lt;'Single Project Assumptions'!$L$15,0,-SUM('Development Phase'!BA6:BA7))</f>
        <v>0</v>
      </c>
      <c r="BB8" s="42">
        <f>IF(BB$4&lt;'Single Project Assumptions'!$L$15,0,-SUM('Development Phase'!BB6:BB7))</f>
        <v>0</v>
      </c>
      <c r="BC8" s="42">
        <f>IF(BC$4&lt;'Single Project Assumptions'!$L$15,0,-SUM('Development Phase'!BC6:BC7))</f>
        <v>0</v>
      </c>
      <c r="BD8" s="42">
        <f>IF(BD$4&lt;'Single Project Assumptions'!$L$15,0,-SUM('Development Phase'!BD6:BD7))</f>
        <v>-58.333333333333343</v>
      </c>
      <c r="BE8" s="42">
        <f>IF(BE$4&lt;'Single Project Assumptions'!$L$15,0,-SUM('Development Phase'!BE6:BE7))</f>
        <v>-8.3333333333333339</v>
      </c>
      <c r="BF8" s="42">
        <f>IF(BF$4&lt;'Single Project Assumptions'!$L$15,0,-SUM('Development Phase'!BF6:BF7))</f>
        <v>-8.3333333333333339</v>
      </c>
      <c r="BG8" s="42">
        <f>IF(BG$4&lt;'Single Project Assumptions'!$L$15,0,-SUM('Development Phase'!BG6:BG7))</f>
        <v>-8.3333333333333339</v>
      </c>
      <c r="BH8" s="42">
        <f>IF(BH$4&lt;'Single Project Assumptions'!$L$15,0,-SUM('Development Phase'!BH6:BH7))</f>
        <v>-8.3333333333333339</v>
      </c>
      <c r="BI8" s="42">
        <f>IF(BI$4&lt;'Single Project Assumptions'!$L$15,0,-SUM('Development Phase'!BI6:BI7))</f>
        <v>-8.3333333333333339</v>
      </c>
      <c r="BJ8" s="42">
        <f>IF(BJ$4&lt;'Single Project Assumptions'!$L$15,0,-SUM('Development Phase'!BJ6:BJ7))</f>
        <v>-8.3333333333333339</v>
      </c>
      <c r="BK8" s="42">
        <f>IF(BK$4&lt;'Single Project Assumptions'!$L$15,0,-SUM('Development Phase'!BK6:BK7))</f>
        <v>-8.3333333333333339</v>
      </c>
      <c r="BL8" s="42">
        <f>IF(BL$4&lt;'Single Project Assumptions'!$L$15,0,-SUM('Development Phase'!BL6:BL7))</f>
        <v>-8.3333333333333339</v>
      </c>
      <c r="BM8" s="42">
        <f>IF(BM$4&lt;'Single Project Assumptions'!$L$15,0,-SUM('Development Phase'!BM6:BM7))</f>
        <v>-8.3333333333333339</v>
      </c>
      <c r="BN8" s="42">
        <f>IF(BN$4&lt;'Single Project Assumptions'!$L$15,0,-SUM('Development Phase'!BN6:BN7))</f>
        <v>-8.3333333333333339</v>
      </c>
      <c r="BO8" s="42">
        <f>IF(BO$4&lt;'Single Project Assumptions'!$L$15,0,-SUM('Development Phase'!BO6:BO7))</f>
        <v>-8.3333333333333339</v>
      </c>
      <c r="BP8" s="42">
        <f>IF(BP$4&lt;'Single Project Assumptions'!$L$15,0,-SUM('Development Phase'!BP6:BP7))</f>
        <v>0</v>
      </c>
      <c r="BQ8" s="42">
        <f>IF(BQ$4&lt;'Single Project Assumptions'!$L$15,0,-SUM('Development Phase'!BQ6:BQ7))</f>
        <v>0</v>
      </c>
      <c r="BR8" s="42">
        <f>IF(BR$4&lt;'Single Project Assumptions'!$L$15,0,-SUM('Development Phase'!BR6:BR7))</f>
        <v>0</v>
      </c>
      <c r="BS8" s="42">
        <f>IF(BS$4&lt;'Single Project Assumptions'!$L$15,0,-SUM('Development Phase'!BS6:BS7))</f>
        <v>0</v>
      </c>
      <c r="BT8" s="42">
        <f>IF(BT$4&lt;'Single Project Assumptions'!$L$15,0,-SUM('Development Phase'!BT6:BT7))</f>
        <v>0</v>
      </c>
      <c r="BU8" s="42">
        <f>IF(BU$4&lt;'Single Project Assumptions'!$L$15,0,-SUM('Development Phase'!BU6:BU7))</f>
        <v>0</v>
      </c>
      <c r="BV8" s="42">
        <f>IF(BV$4&lt;'Single Project Assumptions'!$L$15,0,-SUM('Development Phase'!BV6:BV7))</f>
        <v>0</v>
      </c>
      <c r="BW8" s="42">
        <f>IF(BW$4&lt;'Single Project Assumptions'!$L$15,0,-SUM('Development Phase'!BW6:BW7))</f>
        <v>0</v>
      </c>
      <c r="BX8" s="42">
        <f>IF(BX$4&lt;'Single Project Assumptions'!$L$15,0,-SUM('Development Phase'!BX6:BX7))</f>
        <v>0</v>
      </c>
      <c r="BY8" s="42">
        <f>IF(BY$4&lt;'Single Project Assumptions'!$L$15,0,-SUM('Development Phase'!BY6:BY7))</f>
        <v>0</v>
      </c>
      <c r="BZ8" s="42">
        <f>IF(BZ$4&lt;'Single Project Assumptions'!$L$15,0,-SUM('Development Phase'!BZ6:BZ7))</f>
        <v>0</v>
      </c>
      <c r="CA8" s="42">
        <f>IF(CA$4&lt;'Single Project Assumptions'!$L$15,0,-SUM('Development Phase'!CA6:CA7))</f>
        <v>0</v>
      </c>
      <c r="CB8" s="42">
        <f>IF(CB$4&lt;'Single Project Assumptions'!$L$15,0,-SUM('Development Phase'!CB6:CB7))</f>
        <v>0</v>
      </c>
      <c r="CC8" s="42">
        <f>IF(CC$4&lt;'Single Project Assumptions'!$L$15,0,-SUM('Development Phase'!CC6:CC7))</f>
        <v>0</v>
      </c>
      <c r="CD8" s="42">
        <f>IF(CD$4&lt;'Single Project Assumptions'!$L$15,0,-SUM('Development Phase'!CD6:CD7))</f>
        <v>0</v>
      </c>
      <c r="CE8" s="42">
        <f>IF(CE$4&lt;'Single Project Assumptions'!$L$15,0,-SUM('Development Phase'!CE6:CE7))</f>
        <v>0</v>
      </c>
      <c r="CF8" s="42">
        <f>IF(CF$4&lt;'Single Project Assumptions'!$L$15,0,-SUM('Development Phase'!CF6:CF7))</f>
        <v>0</v>
      </c>
      <c r="CG8" s="42">
        <f>IF(CG$4&lt;'Single Project Assumptions'!$L$15,0,-SUM('Development Phase'!CG6:CG7))</f>
        <v>0</v>
      </c>
      <c r="CH8" s="42">
        <f>IF(CH$4&lt;'Single Project Assumptions'!$L$15,0,-SUM('Development Phase'!CH6:CH7))</f>
        <v>0</v>
      </c>
      <c r="CI8" s="42">
        <f>IF(CI$4&lt;'Single Project Assumptions'!$L$15,0,-SUM('Development Phase'!CI6:CI7))</f>
        <v>0</v>
      </c>
      <c r="CJ8" s="42">
        <f>IF(CJ$4&lt;'Single Project Assumptions'!$L$15,0,-SUM('Development Phase'!CJ6:CJ7))</f>
        <v>0</v>
      </c>
      <c r="CK8" s="42">
        <f>IF(CK$4&lt;'Single Project Assumptions'!$L$15,0,-SUM('Development Phase'!CK6:CK7))</f>
        <v>0</v>
      </c>
      <c r="CL8" s="42">
        <f>IF(CL$4&lt;'Single Project Assumptions'!$L$15,0,-SUM('Development Phase'!CL6:CL7))</f>
        <v>0</v>
      </c>
      <c r="CM8" s="42">
        <f>IF(CM$4&lt;'Single Project Assumptions'!$L$15,0,-SUM('Development Phase'!CM6:CM7))</f>
        <v>0</v>
      </c>
      <c r="CN8" s="42">
        <f>IF(CN$4&lt;'Single Project Assumptions'!$L$15,0,-SUM('Development Phase'!CN6:CN7))</f>
        <v>0</v>
      </c>
      <c r="CO8" s="42">
        <f>IF(CO$4&lt;'Single Project Assumptions'!$L$15,0,-SUM('Development Phase'!CO6:CO7))</f>
        <v>0</v>
      </c>
      <c r="CP8" s="42">
        <f>IF(CP$4&lt;'Single Project Assumptions'!$L$15,0,-SUM('Development Phase'!CP6:CP7))</f>
        <v>0</v>
      </c>
      <c r="CQ8" s="42">
        <f>IF(CQ$4&lt;'Single Project Assumptions'!$L$15,0,-SUM('Development Phase'!CQ6:CQ7))</f>
        <v>0</v>
      </c>
      <c r="CR8" s="42">
        <f>IF(CR$4&lt;'Single Project Assumptions'!$L$15,0,-SUM('Development Phase'!CR6:CR7))</f>
        <v>0</v>
      </c>
      <c r="CS8" s="42">
        <f>IF(CS$4&lt;'Single Project Assumptions'!$L$15,0,-SUM('Development Phase'!CS6:CS7))</f>
        <v>0</v>
      </c>
      <c r="CT8" s="42">
        <f>IF(CT$4&lt;'Single Project Assumptions'!$L$15,0,-SUM('Development Phase'!CT6:CT7))</f>
        <v>0</v>
      </c>
      <c r="CU8" s="42">
        <f>IF(CU$4&lt;'Single Project Assumptions'!$L$15,0,-SUM('Development Phase'!CU6:CU7))</f>
        <v>0</v>
      </c>
      <c r="CV8" s="42">
        <f>IF(CV$4&lt;'Single Project Assumptions'!$L$15,0,-SUM('Development Phase'!CV6:CV7))</f>
        <v>0</v>
      </c>
      <c r="CW8" s="42">
        <f>IF(CW$4&lt;'Single Project Assumptions'!$L$15,0,-SUM('Development Phase'!CW6:CW7))</f>
        <v>0</v>
      </c>
      <c r="CX8" s="42">
        <f>IF(CX$4&lt;'Single Project Assumptions'!$L$15,0,-SUM('Development Phase'!CX6:CX7))</f>
        <v>0</v>
      </c>
      <c r="CY8" s="42">
        <f>IF(CY$4&lt;'Single Project Assumptions'!$L$15,0,-SUM('Development Phase'!CY6:CY7))</f>
        <v>0</v>
      </c>
      <c r="CZ8" s="42">
        <f>IF(CZ$4&lt;'Single Project Assumptions'!$L$15,0,-SUM('Development Phase'!CZ6:CZ7))</f>
        <v>0</v>
      </c>
      <c r="DA8" s="42">
        <f>IF(DA$4&lt;'Single Project Assumptions'!$L$15,0,-SUM('Development Phase'!DA6:DA7))</f>
        <v>0</v>
      </c>
      <c r="DB8" s="42">
        <f>IF(DB$4&lt;'Single Project Assumptions'!$L$15,0,-SUM('Development Phase'!DB6:DB7))</f>
        <v>0</v>
      </c>
      <c r="DC8" s="42">
        <f>IF(DC$4&lt;'Single Project Assumptions'!$L$15,0,-SUM('Development Phase'!DC6:DC7))</f>
        <v>0</v>
      </c>
      <c r="DD8" s="42">
        <f>IF(DD$4&lt;'Single Project Assumptions'!$L$15,0,-SUM('Development Phase'!DD6:DD7))</f>
        <v>0</v>
      </c>
      <c r="DE8" s="42">
        <f>IF(DE$4&lt;'Single Project Assumptions'!$L$15,0,-SUM('Development Phase'!DE6:DE7))</f>
        <v>0</v>
      </c>
      <c r="DF8" s="42">
        <f>IF(DF$4&lt;'Single Project Assumptions'!$L$15,0,-SUM('Development Phase'!DF6:DF7))</f>
        <v>0</v>
      </c>
      <c r="DG8" s="42">
        <f>IF(DG$4&lt;'Single Project Assumptions'!$L$15,0,-SUM('Development Phase'!DG6:DG7))</f>
        <v>0</v>
      </c>
      <c r="DH8" s="42">
        <f>IF(DH$4&lt;'Single Project Assumptions'!$L$15,0,-SUM('Development Phase'!DH6:DH7))</f>
        <v>0</v>
      </c>
      <c r="DI8" s="42">
        <f>IF(DI$4&lt;'Single Project Assumptions'!$L$15,0,-SUM('Development Phase'!DI6:DI7))</f>
        <v>0</v>
      </c>
      <c r="DJ8" s="42">
        <f>IF(DJ$4&lt;'Single Project Assumptions'!$L$15,0,-SUM('Development Phase'!DJ6:DJ7))</f>
        <v>0</v>
      </c>
      <c r="DK8" s="42">
        <f>IF(DK$4&lt;'Single Project Assumptions'!$L$15,0,-SUM('Development Phase'!DK6:DK7))</f>
        <v>0</v>
      </c>
      <c r="DL8" s="42">
        <f>IF(DL$4&lt;'Single Project Assumptions'!$L$15,0,-SUM('Development Phase'!DL6:DL7))</f>
        <v>0</v>
      </c>
      <c r="DM8" s="42">
        <f>IF(DM$4&lt;'Single Project Assumptions'!$L$15,0,-SUM('Development Phase'!DM6:DM7))</f>
        <v>0</v>
      </c>
      <c r="DN8" s="42">
        <f>IF(DN$4&lt;'Single Project Assumptions'!$L$15,0,-SUM('Development Phase'!DN6:DN7))</f>
        <v>0</v>
      </c>
      <c r="DO8" s="42">
        <f>IF(DO$4&lt;'Single Project Assumptions'!$L$15,0,-SUM('Development Phase'!DO6:DO7))</f>
        <v>0</v>
      </c>
      <c r="DP8" s="42">
        <f>IF(DP$4&lt;'Single Project Assumptions'!$L$15,0,-SUM('Development Phase'!DP6:DP7))</f>
        <v>0</v>
      </c>
      <c r="DQ8" s="42">
        <f>IF(DQ$4&lt;'Single Project Assumptions'!$L$15,0,-SUM('Development Phase'!DQ6:DQ7))</f>
        <v>0</v>
      </c>
      <c r="DR8" s="42">
        <f>IF(DR$4&lt;'Single Project Assumptions'!$L$15,0,-SUM('Development Phase'!DR6:DR7))</f>
        <v>0</v>
      </c>
      <c r="DS8" s="42">
        <f>IF(DS$4&lt;'Single Project Assumptions'!$L$15,0,-SUM('Development Phase'!DS6:DS7))</f>
        <v>0</v>
      </c>
      <c r="DT8" s="42">
        <f>IF(DT$4&lt;'Single Project Assumptions'!$L$15,0,-SUM('Development Phase'!DT6:DT7))</f>
        <v>0</v>
      </c>
      <c r="DU8" s="42">
        <f>IF(DU$4&lt;'Single Project Assumptions'!$L$15,0,-SUM('Development Phase'!DU6:DU7))</f>
        <v>0</v>
      </c>
    </row>
    <row r="9" spans="3:125" s="3" customFormat="1" ht="22.95" customHeight="1">
      <c r="C9" s="43" t="s">
        <v>273</v>
      </c>
      <c r="D9" s="44"/>
      <c r="E9" s="45">
        <f t="shared" ref="E9:AJ9" si="12">SUM(E6:E8)</f>
        <v>0</v>
      </c>
      <c r="F9" s="45">
        <f t="shared" si="12"/>
        <v>0</v>
      </c>
      <c r="G9" s="45">
        <f t="shared" si="12"/>
        <v>0</v>
      </c>
      <c r="H9" s="45">
        <f t="shared" si="12"/>
        <v>0</v>
      </c>
      <c r="I9" s="45">
        <f t="shared" si="12"/>
        <v>0</v>
      </c>
      <c r="J9" s="45">
        <f t="shared" si="12"/>
        <v>0</v>
      </c>
      <c r="K9" s="45">
        <f t="shared" si="12"/>
        <v>0</v>
      </c>
      <c r="L9" s="45">
        <f t="shared" si="12"/>
        <v>0</v>
      </c>
      <c r="M9" s="45">
        <f t="shared" si="12"/>
        <v>0</v>
      </c>
      <c r="N9" s="45">
        <f t="shared" si="12"/>
        <v>0</v>
      </c>
      <c r="O9" s="45">
        <f t="shared" si="12"/>
        <v>0</v>
      </c>
      <c r="P9" s="45">
        <f t="shared" si="12"/>
        <v>0</v>
      </c>
      <c r="Q9" s="45">
        <f t="shared" si="12"/>
        <v>0</v>
      </c>
      <c r="R9" s="45">
        <f t="shared" si="12"/>
        <v>0</v>
      </c>
      <c r="S9" s="45">
        <f t="shared" si="12"/>
        <v>0</v>
      </c>
      <c r="T9" s="45">
        <f t="shared" si="12"/>
        <v>0</v>
      </c>
      <c r="U9" s="45">
        <f t="shared" si="12"/>
        <v>0</v>
      </c>
      <c r="V9" s="45">
        <f t="shared" si="12"/>
        <v>0</v>
      </c>
      <c r="W9" s="45">
        <f t="shared" si="12"/>
        <v>0</v>
      </c>
      <c r="X9" s="45">
        <f t="shared" si="12"/>
        <v>0</v>
      </c>
      <c r="Y9" s="45">
        <f t="shared" si="12"/>
        <v>0</v>
      </c>
      <c r="Z9" s="45">
        <f t="shared" si="12"/>
        <v>0</v>
      </c>
      <c r="AA9" s="45">
        <f t="shared" si="12"/>
        <v>0</v>
      </c>
      <c r="AB9" s="45">
        <f t="shared" si="12"/>
        <v>0</v>
      </c>
      <c r="AC9" s="45">
        <f t="shared" si="12"/>
        <v>0</v>
      </c>
      <c r="AD9" s="45">
        <f t="shared" si="12"/>
        <v>0</v>
      </c>
      <c r="AE9" s="45">
        <f t="shared" si="12"/>
        <v>0</v>
      </c>
      <c r="AF9" s="45">
        <f t="shared" si="12"/>
        <v>0</v>
      </c>
      <c r="AG9" s="45">
        <f t="shared" si="12"/>
        <v>0</v>
      </c>
      <c r="AH9" s="45">
        <f t="shared" si="12"/>
        <v>0</v>
      </c>
      <c r="AI9" s="45">
        <f t="shared" si="12"/>
        <v>0</v>
      </c>
      <c r="AJ9" s="45">
        <f t="shared" si="12"/>
        <v>0</v>
      </c>
      <c r="AK9" s="45">
        <f t="shared" ref="AK9:BP9" si="13">SUM(AK6:AK8)</f>
        <v>0</v>
      </c>
      <c r="AL9" s="45">
        <f t="shared" si="13"/>
        <v>0</v>
      </c>
      <c r="AM9" s="45">
        <f t="shared" si="13"/>
        <v>0</v>
      </c>
      <c r="AN9" s="45">
        <f t="shared" si="13"/>
        <v>0</v>
      </c>
      <c r="AO9" s="45">
        <f t="shared" si="13"/>
        <v>0</v>
      </c>
      <c r="AP9" s="45">
        <f t="shared" si="13"/>
        <v>0</v>
      </c>
      <c r="AQ9" s="45">
        <f t="shared" si="13"/>
        <v>0</v>
      </c>
      <c r="AR9" s="45">
        <f t="shared" si="13"/>
        <v>0</v>
      </c>
      <c r="AS9" s="45">
        <f t="shared" si="13"/>
        <v>0</v>
      </c>
      <c r="AT9" s="45">
        <f t="shared" si="13"/>
        <v>0</v>
      </c>
      <c r="AU9" s="45">
        <f t="shared" si="13"/>
        <v>0</v>
      </c>
      <c r="AV9" s="45">
        <f t="shared" si="13"/>
        <v>0</v>
      </c>
      <c r="AW9" s="45">
        <f t="shared" si="13"/>
        <v>0</v>
      </c>
      <c r="AX9" s="45">
        <f t="shared" si="13"/>
        <v>8.3333333333333339</v>
      </c>
      <c r="AY9" s="45">
        <f t="shared" si="13"/>
        <v>16.666666666666668</v>
      </c>
      <c r="AZ9" s="45">
        <f t="shared" si="13"/>
        <v>25</v>
      </c>
      <c r="BA9" s="45">
        <f t="shared" si="13"/>
        <v>33.333333333333336</v>
      </c>
      <c r="BB9" s="45">
        <f t="shared" si="13"/>
        <v>41.666666666666671</v>
      </c>
      <c r="BC9" s="45">
        <f t="shared" si="13"/>
        <v>50.000000000000007</v>
      </c>
      <c r="BD9" s="45">
        <f t="shared" si="13"/>
        <v>0</v>
      </c>
      <c r="BE9" s="45">
        <f t="shared" si="13"/>
        <v>0</v>
      </c>
      <c r="BF9" s="45">
        <f t="shared" si="13"/>
        <v>0</v>
      </c>
      <c r="BG9" s="45">
        <f t="shared" si="13"/>
        <v>0</v>
      </c>
      <c r="BH9" s="45">
        <f t="shared" si="13"/>
        <v>0</v>
      </c>
      <c r="BI9" s="45">
        <f t="shared" si="13"/>
        <v>0</v>
      </c>
      <c r="BJ9" s="45">
        <f t="shared" si="13"/>
        <v>0</v>
      </c>
      <c r="BK9" s="45">
        <f t="shared" si="13"/>
        <v>0</v>
      </c>
      <c r="BL9" s="45">
        <f t="shared" si="13"/>
        <v>0</v>
      </c>
      <c r="BM9" s="45">
        <f t="shared" si="13"/>
        <v>0</v>
      </c>
      <c r="BN9" s="45">
        <f t="shared" si="13"/>
        <v>0</v>
      </c>
      <c r="BO9" s="45">
        <f t="shared" si="13"/>
        <v>0</v>
      </c>
      <c r="BP9" s="45">
        <f t="shared" si="13"/>
        <v>0</v>
      </c>
      <c r="BQ9" s="45">
        <f t="shared" ref="BQ9:CV9" si="14">SUM(BQ6:BQ8)</f>
        <v>0</v>
      </c>
      <c r="BR9" s="45">
        <f t="shared" si="14"/>
        <v>0</v>
      </c>
      <c r="BS9" s="45">
        <f t="shared" si="14"/>
        <v>0</v>
      </c>
      <c r="BT9" s="45">
        <f t="shared" si="14"/>
        <v>0</v>
      </c>
      <c r="BU9" s="45">
        <f t="shared" si="14"/>
        <v>0</v>
      </c>
      <c r="BV9" s="45">
        <f t="shared" si="14"/>
        <v>0</v>
      </c>
      <c r="BW9" s="45">
        <f t="shared" si="14"/>
        <v>0</v>
      </c>
      <c r="BX9" s="45">
        <f t="shared" si="14"/>
        <v>0</v>
      </c>
      <c r="BY9" s="45">
        <f t="shared" si="14"/>
        <v>0</v>
      </c>
      <c r="BZ9" s="45">
        <f t="shared" si="14"/>
        <v>0</v>
      </c>
      <c r="CA9" s="45">
        <f t="shared" si="14"/>
        <v>0</v>
      </c>
      <c r="CB9" s="45">
        <f t="shared" si="14"/>
        <v>0</v>
      </c>
      <c r="CC9" s="45">
        <f t="shared" si="14"/>
        <v>0</v>
      </c>
      <c r="CD9" s="45">
        <f t="shared" si="14"/>
        <v>0</v>
      </c>
      <c r="CE9" s="45">
        <f t="shared" si="14"/>
        <v>0</v>
      </c>
      <c r="CF9" s="45">
        <f t="shared" si="14"/>
        <v>0</v>
      </c>
      <c r="CG9" s="45">
        <f t="shared" si="14"/>
        <v>0</v>
      </c>
      <c r="CH9" s="45">
        <f t="shared" si="14"/>
        <v>0</v>
      </c>
      <c r="CI9" s="45">
        <f t="shared" si="14"/>
        <v>0</v>
      </c>
      <c r="CJ9" s="45">
        <f t="shared" si="14"/>
        <v>0</v>
      </c>
      <c r="CK9" s="45">
        <f t="shared" si="14"/>
        <v>0</v>
      </c>
      <c r="CL9" s="45">
        <f t="shared" si="14"/>
        <v>0</v>
      </c>
      <c r="CM9" s="45">
        <f t="shared" si="14"/>
        <v>0</v>
      </c>
      <c r="CN9" s="45">
        <f t="shared" si="14"/>
        <v>0</v>
      </c>
      <c r="CO9" s="45">
        <f t="shared" si="14"/>
        <v>0</v>
      </c>
      <c r="CP9" s="45">
        <f t="shared" si="14"/>
        <v>0</v>
      </c>
      <c r="CQ9" s="45">
        <f t="shared" si="14"/>
        <v>0</v>
      </c>
      <c r="CR9" s="45">
        <f t="shared" si="14"/>
        <v>0</v>
      </c>
      <c r="CS9" s="45">
        <f t="shared" si="14"/>
        <v>0</v>
      </c>
      <c r="CT9" s="45">
        <f t="shared" si="14"/>
        <v>0</v>
      </c>
      <c r="CU9" s="45">
        <f t="shared" si="14"/>
        <v>0</v>
      </c>
      <c r="CV9" s="45">
        <f t="shared" si="14"/>
        <v>0</v>
      </c>
      <c r="CW9" s="45">
        <f t="shared" ref="CW9:DU9" si="15">SUM(CW6:CW8)</f>
        <v>0</v>
      </c>
      <c r="CX9" s="45">
        <f t="shared" si="15"/>
        <v>0</v>
      </c>
      <c r="CY9" s="45">
        <f t="shared" si="15"/>
        <v>0</v>
      </c>
      <c r="CZ9" s="45">
        <f t="shared" si="15"/>
        <v>0</v>
      </c>
      <c r="DA9" s="45">
        <f t="shared" si="15"/>
        <v>0</v>
      </c>
      <c r="DB9" s="45">
        <f t="shared" si="15"/>
        <v>0</v>
      </c>
      <c r="DC9" s="45">
        <f t="shared" si="15"/>
        <v>0</v>
      </c>
      <c r="DD9" s="45">
        <f t="shared" si="15"/>
        <v>0</v>
      </c>
      <c r="DE9" s="45">
        <f t="shared" si="15"/>
        <v>0</v>
      </c>
      <c r="DF9" s="45">
        <f t="shared" si="15"/>
        <v>0</v>
      </c>
      <c r="DG9" s="45">
        <f t="shared" si="15"/>
        <v>0</v>
      </c>
      <c r="DH9" s="45">
        <f t="shared" si="15"/>
        <v>0</v>
      </c>
      <c r="DI9" s="45">
        <f t="shared" si="15"/>
        <v>0</v>
      </c>
      <c r="DJ9" s="45">
        <f t="shared" si="15"/>
        <v>0</v>
      </c>
      <c r="DK9" s="45">
        <f t="shared" si="15"/>
        <v>0</v>
      </c>
      <c r="DL9" s="45">
        <f t="shared" si="15"/>
        <v>0</v>
      </c>
      <c r="DM9" s="45">
        <f t="shared" si="15"/>
        <v>0</v>
      </c>
      <c r="DN9" s="45">
        <f t="shared" si="15"/>
        <v>0</v>
      </c>
      <c r="DO9" s="45">
        <f t="shared" si="15"/>
        <v>0</v>
      </c>
      <c r="DP9" s="45">
        <f t="shared" si="15"/>
        <v>0</v>
      </c>
      <c r="DQ9" s="45">
        <f t="shared" si="15"/>
        <v>0</v>
      </c>
      <c r="DR9" s="45">
        <f t="shared" si="15"/>
        <v>0</v>
      </c>
      <c r="DS9" s="45">
        <f t="shared" si="15"/>
        <v>0</v>
      </c>
      <c r="DT9" s="45">
        <f t="shared" si="15"/>
        <v>0</v>
      </c>
      <c r="DU9" s="45">
        <f t="shared" si="15"/>
        <v>0</v>
      </c>
    </row>
    <row r="10" spans="3:125" s="3" customFormat="1" ht="22.95" customHeight="1">
      <c r="D10" s="25"/>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row>
    <row r="11" spans="3:125" s="3" customFormat="1" ht="22.95" customHeight="1">
      <c r="C11" s="3" t="s">
        <v>274</v>
      </c>
      <c r="D11" s="25">
        <f>SUM(E11:DU11)</f>
        <v>33750000.000000007</v>
      </c>
      <c r="E11" s="21">
        <f>E7*'Single Project Assumptions'!$L$42</f>
        <v>0</v>
      </c>
      <c r="F11" s="21">
        <f>F7*'Single Project Assumptions'!$L$42</f>
        <v>0</v>
      </c>
      <c r="G11" s="21">
        <f>G7*'Single Project Assumptions'!$L$42</f>
        <v>0</v>
      </c>
      <c r="H11" s="21">
        <f>H7*'Single Project Assumptions'!$L$42</f>
        <v>0</v>
      </c>
      <c r="I11" s="21">
        <f>I7*'Single Project Assumptions'!$L$42</f>
        <v>0</v>
      </c>
      <c r="J11" s="21">
        <f>J7*'Single Project Assumptions'!$L$42</f>
        <v>0</v>
      </c>
      <c r="K11" s="21">
        <f>K7*'Single Project Assumptions'!$L$42</f>
        <v>0</v>
      </c>
      <c r="L11" s="21">
        <f>L7*'Single Project Assumptions'!$L$42</f>
        <v>0</v>
      </c>
      <c r="M11" s="21">
        <f>M7*'Single Project Assumptions'!$L$42</f>
        <v>0</v>
      </c>
      <c r="N11" s="21">
        <f>N7*'Single Project Assumptions'!$L$42</f>
        <v>0</v>
      </c>
      <c r="O11" s="21">
        <f>O7*'Single Project Assumptions'!$L$42</f>
        <v>0</v>
      </c>
      <c r="P11" s="21">
        <f>P7*'Single Project Assumptions'!$L$42</f>
        <v>0</v>
      </c>
      <c r="Q11" s="21">
        <f>Q7*'Single Project Assumptions'!$L$42</f>
        <v>0</v>
      </c>
      <c r="R11" s="21">
        <f>R7*'Single Project Assumptions'!$L$42</f>
        <v>0</v>
      </c>
      <c r="S11" s="21">
        <f>S7*'Single Project Assumptions'!$L$42</f>
        <v>0</v>
      </c>
      <c r="T11" s="21">
        <f>T7*'Single Project Assumptions'!$L$42</f>
        <v>0</v>
      </c>
      <c r="U11" s="21">
        <f>U7*'Single Project Assumptions'!$L$42</f>
        <v>0</v>
      </c>
      <c r="V11" s="21">
        <f>V7*'Single Project Assumptions'!$L$42</f>
        <v>0</v>
      </c>
      <c r="W11" s="21">
        <f>W7*'Single Project Assumptions'!$L$42</f>
        <v>0</v>
      </c>
      <c r="X11" s="21">
        <f>X7*'Single Project Assumptions'!$L$42</f>
        <v>0</v>
      </c>
      <c r="Y11" s="21">
        <f>Y7*'Single Project Assumptions'!$L$42</f>
        <v>0</v>
      </c>
      <c r="Z11" s="21">
        <f>Z7*'Single Project Assumptions'!$L$42</f>
        <v>0</v>
      </c>
      <c r="AA11" s="21">
        <f>AA7*'Single Project Assumptions'!$L$42</f>
        <v>0</v>
      </c>
      <c r="AB11" s="21">
        <f>AB7*'Single Project Assumptions'!$L$42</f>
        <v>0</v>
      </c>
      <c r="AC11" s="21">
        <f>AC7*'Single Project Assumptions'!$L$42</f>
        <v>0</v>
      </c>
      <c r="AD11" s="21">
        <f>AD7*'Single Project Assumptions'!$L$42</f>
        <v>0</v>
      </c>
      <c r="AE11" s="21">
        <f>AE7*'Single Project Assumptions'!$L$42</f>
        <v>0</v>
      </c>
      <c r="AF11" s="21">
        <f>AF7*'Single Project Assumptions'!$L$42</f>
        <v>0</v>
      </c>
      <c r="AG11" s="21">
        <f>AG7*'Single Project Assumptions'!$L$42</f>
        <v>0</v>
      </c>
      <c r="AH11" s="21">
        <f>AH7*'Single Project Assumptions'!$L$42</f>
        <v>0</v>
      </c>
      <c r="AI11" s="21">
        <f>AI7*'Single Project Assumptions'!$L$42</f>
        <v>0</v>
      </c>
      <c r="AJ11" s="21">
        <f>AJ7*'Single Project Assumptions'!$L$42</f>
        <v>0</v>
      </c>
      <c r="AK11" s="21">
        <f>AK7*'Single Project Assumptions'!$L$42</f>
        <v>0</v>
      </c>
      <c r="AL11" s="21">
        <f>AL7*'Single Project Assumptions'!$L$42</f>
        <v>0</v>
      </c>
      <c r="AM11" s="21">
        <f>AM7*'Single Project Assumptions'!$L$42</f>
        <v>0</v>
      </c>
      <c r="AN11" s="21">
        <f>AN7*'Single Project Assumptions'!$L$42</f>
        <v>0</v>
      </c>
      <c r="AO11" s="21">
        <f>AO7*'Single Project Assumptions'!$L$42</f>
        <v>0</v>
      </c>
      <c r="AP11" s="21">
        <f>AP7*'Single Project Assumptions'!$L$42</f>
        <v>0</v>
      </c>
      <c r="AQ11" s="21">
        <f>AQ7*'Single Project Assumptions'!$L$42</f>
        <v>0</v>
      </c>
      <c r="AR11" s="21">
        <f>AR7*'Single Project Assumptions'!$L$42</f>
        <v>0</v>
      </c>
      <c r="AS11" s="21">
        <f>AS7*'Single Project Assumptions'!$L$42</f>
        <v>0</v>
      </c>
      <c r="AT11" s="21">
        <f>AT7*'Single Project Assumptions'!$L$42</f>
        <v>0</v>
      </c>
      <c r="AU11" s="21">
        <f>AU7*'Single Project Assumptions'!$L$42</f>
        <v>0</v>
      </c>
      <c r="AV11" s="21">
        <f>AV7*'Single Project Assumptions'!$L$42</f>
        <v>0</v>
      </c>
      <c r="AW11" s="21">
        <f>AW7*'Single Project Assumptions'!$L$42</f>
        <v>0</v>
      </c>
      <c r="AX11" s="21">
        <f>AX7*'Single Project Assumptions'!$L$42</f>
        <v>1875000.0000000002</v>
      </c>
      <c r="AY11" s="21">
        <f>AY7*'Single Project Assumptions'!$L$42</f>
        <v>1875000.0000000002</v>
      </c>
      <c r="AZ11" s="21">
        <f>AZ7*'Single Project Assumptions'!$L$42</f>
        <v>1875000.0000000002</v>
      </c>
      <c r="BA11" s="21">
        <f>BA7*'Single Project Assumptions'!$L$42</f>
        <v>1875000.0000000002</v>
      </c>
      <c r="BB11" s="21">
        <f>BB7*'Single Project Assumptions'!$L$42</f>
        <v>1875000.0000000002</v>
      </c>
      <c r="BC11" s="21">
        <f>BC7*'Single Project Assumptions'!$L$42</f>
        <v>1875000.0000000002</v>
      </c>
      <c r="BD11" s="21">
        <f>BD7*'Single Project Assumptions'!$L$42</f>
        <v>1875000.0000000002</v>
      </c>
      <c r="BE11" s="21">
        <f>BE7*'Single Project Assumptions'!$L$42</f>
        <v>1875000.0000000002</v>
      </c>
      <c r="BF11" s="21">
        <f>BF7*'Single Project Assumptions'!$L$42</f>
        <v>1875000.0000000002</v>
      </c>
      <c r="BG11" s="21">
        <f>BG7*'Single Project Assumptions'!$L$42</f>
        <v>1875000.0000000002</v>
      </c>
      <c r="BH11" s="21">
        <f>BH7*'Single Project Assumptions'!$L$42</f>
        <v>1875000.0000000002</v>
      </c>
      <c r="BI11" s="21">
        <f>BI7*'Single Project Assumptions'!$L$42</f>
        <v>1875000.0000000002</v>
      </c>
      <c r="BJ11" s="21">
        <f>BJ7*'Single Project Assumptions'!$L$42</f>
        <v>1875000.0000000002</v>
      </c>
      <c r="BK11" s="21">
        <f>BK7*'Single Project Assumptions'!$L$42</f>
        <v>1875000.0000000002</v>
      </c>
      <c r="BL11" s="21">
        <f>BL7*'Single Project Assumptions'!$L$42</f>
        <v>1875000.0000000002</v>
      </c>
      <c r="BM11" s="21">
        <f>BM7*'Single Project Assumptions'!$L$42</f>
        <v>1875000.0000000002</v>
      </c>
      <c r="BN11" s="21">
        <f>BN7*'Single Project Assumptions'!$L$42</f>
        <v>1875000.0000000002</v>
      </c>
      <c r="BO11" s="21">
        <f>BO7*'Single Project Assumptions'!$L$42</f>
        <v>1875000.0000000002</v>
      </c>
      <c r="BP11" s="21">
        <f>BP7*'Single Project Assumptions'!$L$42</f>
        <v>0</v>
      </c>
      <c r="BQ11" s="21">
        <f>BQ7*'Single Project Assumptions'!$L$42</f>
        <v>0</v>
      </c>
      <c r="BR11" s="21">
        <f>BR7*'Single Project Assumptions'!$L$42</f>
        <v>0</v>
      </c>
      <c r="BS11" s="21">
        <f>BS7*'Single Project Assumptions'!$L$42</f>
        <v>0</v>
      </c>
      <c r="BT11" s="21">
        <f>BT7*'Single Project Assumptions'!$L$42</f>
        <v>0</v>
      </c>
      <c r="BU11" s="21">
        <f>BU7*'Single Project Assumptions'!$L$42</f>
        <v>0</v>
      </c>
      <c r="BV11" s="21">
        <f>BV7*'Single Project Assumptions'!$L$42</f>
        <v>0</v>
      </c>
      <c r="BW11" s="21">
        <f>BW7*'Single Project Assumptions'!$L$42</f>
        <v>0</v>
      </c>
      <c r="BX11" s="21">
        <f>BX7*'Single Project Assumptions'!$L$42</f>
        <v>0</v>
      </c>
      <c r="BY11" s="21">
        <f>BY7*'Single Project Assumptions'!$L$42</f>
        <v>0</v>
      </c>
      <c r="BZ11" s="21">
        <f>BZ7*'Single Project Assumptions'!$L$42</f>
        <v>0</v>
      </c>
      <c r="CA11" s="21">
        <f>CA7*'Single Project Assumptions'!$L$42</f>
        <v>0</v>
      </c>
      <c r="CB11" s="21">
        <f>CB7*'Single Project Assumptions'!$L$42</f>
        <v>0</v>
      </c>
      <c r="CC11" s="21">
        <f>CC7*'Single Project Assumptions'!$L$42</f>
        <v>0</v>
      </c>
      <c r="CD11" s="21">
        <f>CD7*'Single Project Assumptions'!$L$42</f>
        <v>0</v>
      </c>
      <c r="CE11" s="21">
        <f>CE7*'Single Project Assumptions'!$L$42</f>
        <v>0</v>
      </c>
      <c r="CF11" s="21">
        <f>CF7*'Single Project Assumptions'!$L$42</f>
        <v>0</v>
      </c>
      <c r="CG11" s="21">
        <f>CG7*'Single Project Assumptions'!$L$42</f>
        <v>0</v>
      </c>
      <c r="CH11" s="21">
        <f>CH7*'Single Project Assumptions'!$L$42</f>
        <v>0</v>
      </c>
      <c r="CI11" s="21">
        <f>CI7*'Single Project Assumptions'!$L$42</f>
        <v>0</v>
      </c>
      <c r="CJ11" s="21">
        <f>CJ7*'Single Project Assumptions'!$L$42</f>
        <v>0</v>
      </c>
      <c r="CK11" s="21">
        <f>CK7*'Single Project Assumptions'!$L$42</f>
        <v>0</v>
      </c>
      <c r="CL11" s="21">
        <f>CL7*'Single Project Assumptions'!$L$42</f>
        <v>0</v>
      </c>
      <c r="CM11" s="21">
        <f>CM7*'Single Project Assumptions'!$L$42</f>
        <v>0</v>
      </c>
      <c r="CN11" s="21">
        <f>CN7*'Single Project Assumptions'!$L$42</f>
        <v>0</v>
      </c>
      <c r="CO11" s="21">
        <f>CO7*'Single Project Assumptions'!$L$42</f>
        <v>0</v>
      </c>
      <c r="CP11" s="21">
        <f>CP7*'Single Project Assumptions'!$L$42</f>
        <v>0</v>
      </c>
      <c r="CQ11" s="21">
        <f>CQ7*'Single Project Assumptions'!$L$42</f>
        <v>0</v>
      </c>
      <c r="CR11" s="21">
        <f>CR7*'Single Project Assumptions'!$L$42</f>
        <v>0</v>
      </c>
      <c r="CS11" s="21">
        <f>CS7*'Single Project Assumptions'!$L$42</f>
        <v>0</v>
      </c>
      <c r="CT11" s="21">
        <f>CT7*'Single Project Assumptions'!$L$42</f>
        <v>0</v>
      </c>
      <c r="CU11" s="21">
        <f>CU7*'Single Project Assumptions'!$L$42</f>
        <v>0</v>
      </c>
      <c r="CV11" s="21">
        <f>CV7*'Single Project Assumptions'!$L$42</f>
        <v>0</v>
      </c>
      <c r="CW11" s="21">
        <f>CW7*'Single Project Assumptions'!$L$42</f>
        <v>0</v>
      </c>
      <c r="CX11" s="21">
        <f>CX7*'Single Project Assumptions'!$L$42</f>
        <v>0</v>
      </c>
      <c r="CY11" s="21">
        <f>CY7*'Single Project Assumptions'!$L$42</f>
        <v>0</v>
      </c>
      <c r="CZ11" s="21">
        <f>CZ7*'Single Project Assumptions'!$L$42</f>
        <v>0</v>
      </c>
      <c r="DA11" s="21">
        <f>DA7*'Single Project Assumptions'!$L$42</f>
        <v>0</v>
      </c>
      <c r="DB11" s="21">
        <f>DB7*'Single Project Assumptions'!$L$42</f>
        <v>0</v>
      </c>
      <c r="DC11" s="21">
        <f>DC7*'Single Project Assumptions'!$L$42</f>
        <v>0</v>
      </c>
      <c r="DD11" s="21">
        <f>DD7*'Single Project Assumptions'!$L$42</f>
        <v>0</v>
      </c>
      <c r="DE11" s="21">
        <f>DE7*'Single Project Assumptions'!$L$42</f>
        <v>0</v>
      </c>
      <c r="DF11" s="21">
        <f>DF7*'Single Project Assumptions'!$L$42</f>
        <v>0</v>
      </c>
      <c r="DG11" s="21">
        <f>DG7*'Single Project Assumptions'!$L$42</f>
        <v>0</v>
      </c>
      <c r="DH11" s="21">
        <f>DH7*'Single Project Assumptions'!$L$42</f>
        <v>0</v>
      </c>
      <c r="DI11" s="21">
        <f>DI7*'Single Project Assumptions'!$L$42</f>
        <v>0</v>
      </c>
      <c r="DJ11" s="21">
        <f>DJ7*'Single Project Assumptions'!$L$42</f>
        <v>0</v>
      </c>
      <c r="DK11" s="21">
        <f>DK7*'Single Project Assumptions'!$L$42</f>
        <v>0</v>
      </c>
      <c r="DL11" s="21">
        <f>DL7*'Single Project Assumptions'!$L$42</f>
        <v>0</v>
      </c>
      <c r="DM11" s="21">
        <f>DM7*'Single Project Assumptions'!$L$42</f>
        <v>0</v>
      </c>
      <c r="DN11" s="21">
        <f>DN7*'Single Project Assumptions'!$L$42</f>
        <v>0</v>
      </c>
      <c r="DO11" s="21">
        <f>DO7*'Single Project Assumptions'!$L$42</f>
        <v>0</v>
      </c>
      <c r="DP11" s="21">
        <f>DP7*'Single Project Assumptions'!$L$42</f>
        <v>0</v>
      </c>
      <c r="DQ11" s="21">
        <f>DQ7*'Single Project Assumptions'!$L$42</f>
        <v>0</v>
      </c>
      <c r="DR11" s="21">
        <f>DR7*'Single Project Assumptions'!$L$42</f>
        <v>0</v>
      </c>
      <c r="DS11" s="21">
        <f>DS7*'Single Project Assumptions'!$L$42</f>
        <v>0</v>
      </c>
      <c r="DT11" s="21">
        <f>DT7*'Single Project Assumptions'!$L$42</f>
        <v>0</v>
      </c>
      <c r="DU11" s="21">
        <f>DU7*'Single Project Assumptions'!$L$42</f>
        <v>0</v>
      </c>
    </row>
    <row r="12" spans="3:125" s="3" customFormat="1" ht="22.95" customHeight="1">
      <c r="C12" s="3" t="s">
        <v>275</v>
      </c>
      <c r="D12" s="25">
        <f>SUM(E12:DU12)</f>
        <v>191250000</v>
      </c>
      <c r="E12" s="21">
        <f>-E8*('Single Project Assumptions'!$L$37-'Single Project Assumptions'!$L$42)</f>
        <v>0</v>
      </c>
      <c r="F12" s="21">
        <f>-F8*('Single Project Assumptions'!$L$37-'Single Project Assumptions'!$L$42)</f>
        <v>0</v>
      </c>
      <c r="G12" s="21">
        <f>-G8*('Single Project Assumptions'!$L$37-'Single Project Assumptions'!$L$42)</f>
        <v>0</v>
      </c>
      <c r="H12" s="21">
        <f>-H8*('Single Project Assumptions'!$L$37-'Single Project Assumptions'!$L$42)</f>
        <v>0</v>
      </c>
      <c r="I12" s="21">
        <f>-I8*('Single Project Assumptions'!$L$37-'Single Project Assumptions'!$L$42)</f>
        <v>0</v>
      </c>
      <c r="J12" s="21">
        <f>-J8*('Single Project Assumptions'!$L$37-'Single Project Assumptions'!$L$42)</f>
        <v>0</v>
      </c>
      <c r="K12" s="21">
        <f>-K8*('Single Project Assumptions'!$L$37-'Single Project Assumptions'!$L$42)</f>
        <v>0</v>
      </c>
      <c r="L12" s="21">
        <f>-L8*('Single Project Assumptions'!$L$37-'Single Project Assumptions'!$L$42)</f>
        <v>0</v>
      </c>
      <c r="M12" s="21">
        <f>-M8*('Single Project Assumptions'!$L$37-'Single Project Assumptions'!$L$42)</f>
        <v>0</v>
      </c>
      <c r="N12" s="21">
        <f>-N8*('Single Project Assumptions'!$L$37-'Single Project Assumptions'!$L$42)</f>
        <v>0</v>
      </c>
      <c r="O12" s="21">
        <f>-O8*('Single Project Assumptions'!$L$37-'Single Project Assumptions'!$L$42)</f>
        <v>0</v>
      </c>
      <c r="P12" s="21">
        <f>-P8*('Single Project Assumptions'!$L$37-'Single Project Assumptions'!$L$42)</f>
        <v>0</v>
      </c>
      <c r="Q12" s="21">
        <f>-Q8*('Single Project Assumptions'!$L$37-'Single Project Assumptions'!$L$42)</f>
        <v>0</v>
      </c>
      <c r="R12" s="21">
        <f>-R8*('Single Project Assumptions'!$L$37-'Single Project Assumptions'!$L$42)</f>
        <v>0</v>
      </c>
      <c r="S12" s="21">
        <f>-S8*('Single Project Assumptions'!$L$37-'Single Project Assumptions'!$L$42)</f>
        <v>0</v>
      </c>
      <c r="T12" s="21">
        <f>-T8*('Single Project Assumptions'!$L$37-'Single Project Assumptions'!$L$42)</f>
        <v>0</v>
      </c>
      <c r="U12" s="21">
        <f>-U8*('Single Project Assumptions'!$L$37-'Single Project Assumptions'!$L$42)</f>
        <v>0</v>
      </c>
      <c r="V12" s="21">
        <f>-V8*('Single Project Assumptions'!$L$37-'Single Project Assumptions'!$L$42)</f>
        <v>0</v>
      </c>
      <c r="W12" s="21">
        <f>-W8*('Single Project Assumptions'!$L$37-'Single Project Assumptions'!$L$42)</f>
        <v>0</v>
      </c>
      <c r="X12" s="21">
        <f>-X8*('Single Project Assumptions'!$L$37-'Single Project Assumptions'!$L$42)</f>
        <v>0</v>
      </c>
      <c r="Y12" s="21">
        <f>-Y8*('Single Project Assumptions'!$L$37-'Single Project Assumptions'!$L$42)</f>
        <v>0</v>
      </c>
      <c r="Z12" s="21">
        <f>-Z8*('Single Project Assumptions'!$L$37-'Single Project Assumptions'!$L$42)</f>
        <v>0</v>
      </c>
      <c r="AA12" s="21">
        <f>-AA8*('Single Project Assumptions'!$L$37-'Single Project Assumptions'!$L$42)</f>
        <v>0</v>
      </c>
      <c r="AB12" s="21">
        <f>-AB8*('Single Project Assumptions'!$L$37-'Single Project Assumptions'!$L$42)</f>
        <v>0</v>
      </c>
      <c r="AC12" s="21">
        <f>-AC8*('Single Project Assumptions'!$L$37-'Single Project Assumptions'!$L$42)</f>
        <v>0</v>
      </c>
      <c r="AD12" s="21">
        <f>-AD8*('Single Project Assumptions'!$L$37-'Single Project Assumptions'!$L$42)</f>
        <v>0</v>
      </c>
      <c r="AE12" s="21">
        <f>-AE8*('Single Project Assumptions'!$L$37-'Single Project Assumptions'!$L$42)</f>
        <v>0</v>
      </c>
      <c r="AF12" s="21">
        <f>-AF8*('Single Project Assumptions'!$L$37-'Single Project Assumptions'!$L$42)</f>
        <v>0</v>
      </c>
      <c r="AG12" s="21">
        <f>-AG8*('Single Project Assumptions'!$L$37-'Single Project Assumptions'!$L$42)</f>
        <v>0</v>
      </c>
      <c r="AH12" s="21">
        <f>-AH8*('Single Project Assumptions'!$L$37-'Single Project Assumptions'!$L$42)</f>
        <v>0</v>
      </c>
      <c r="AI12" s="21">
        <f>-AI8*('Single Project Assumptions'!$L$37-'Single Project Assumptions'!$L$42)</f>
        <v>0</v>
      </c>
      <c r="AJ12" s="21">
        <f>-AJ8*('Single Project Assumptions'!$L$37-'Single Project Assumptions'!$L$42)</f>
        <v>0</v>
      </c>
      <c r="AK12" s="21">
        <f>-AK8*('Single Project Assumptions'!$L$37-'Single Project Assumptions'!$L$42)</f>
        <v>0</v>
      </c>
      <c r="AL12" s="21">
        <f>-AL8*('Single Project Assumptions'!$L$37-'Single Project Assumptions'!$L$42)</f>
        <v>0</v>
      </c>
      <c r="AM12" s="21">
        <f>-AM8*('Single Project Assumptions'!$L$37-'Single Project Assumptions'!$L$42)</f>
        <v>0</v>
      </c>
      <c r="AN12" s="21">
        <f>-AN8*('Single Project Assumptions'!$L$37-'Single Project Assumptions'!$L$42)</f>
        <v>0</v>
      </c>
      <c r="AO12" s="21">
        <f>-AO8*('Single Project Assumptions'!$L$37-'Single Project Assumptions'!$L$42)</f>
        <v>0</v>
      </c>
      <c r="AP12" s="21">
        <f>-AP8*('Single Project Assumptions'!$L$37-'Single Project Assumptions'!$L$42)</f>
        <v>0</v>
      </c>
      <c r="AQ12" s="21">
        <f>-AQ8*('Single Project Assumptions'!$L$37-'Single Project Assumptions'!$L$42)</f>
        <v>0</v>
      </c>
      <c r="AR12" s="21">
        <f>-AR8*('Single Project Assumptions'!$L$37-'Single Project Assumptions'!$L$42)</f>
        <v>0</v>
      </c>
      <c r="AS12" s="21">
        <f>-AS8*('Single Project Assumptions'!$L$37-'Single Project Assumptions'!$L$42)</f>
        <v>0</v>
      </c>
      <c r="AT12" s="21">
        <f>-AT8*('Single Project Assumptions'!$L$37-'Single Project Assumptions'!$L$42)</f>
        <v>0</v>
      </c>
      <c r="AU12" s="21">
        <f>-AU8*('Single Project Assumptions'!$L$37-'Single Project Assumptions'!$L$42)</f>
        <v>0</v>
      </c>
      <c r="AV12" s="21">
        <f>-AV8*('Single Project Assumptions'!$L$37-'Single Project Assumptions'!$L$42)</f>
        <v>0</v>
      </c>
      <c r="AW12" s="21">
        <f>-AW8*('Single Project Assumptions'!$L$37-'Single Project Assumptions'!$L$42)</f>
        <v>0</v>
      </c>
      <c r="AX12" s="21">
        <f>-AX8*('Single Project Assumptions'!$L$37-'Single Project Assumptions'!$L$42)</f>
        <v>0</v>
      </c>
      <c r="AY12" s="21">
        <f>-AY8*('Single Project Assumptions'!$L$37-'Single Project Assumptions'!$L$42)</f>
        <v>0</v>
      </c>
      <c r="AZ12" s="21">
        <f>-AZ8*('Single Project Assumptions'!$L$37-'Single Project Assumptions'!$L$42)</f>
        <v>0</v>
      </c>
      <c r="BA12" s="21">
        <f>-BA8*('Single Project Assumptions'!$L$37-'Single Project Assumptions'!$L$42)</f>
        <v>0</v>
      </c>
      <c r="BB12" s="21">
        <f>-BB8*('Single Project Assumptions'!$L$37-'Single Project Assumptions'!$L$42)</f>
        <v>0</v>
      </c>
      <c r="BC12" s="21">
        <f>-BC8*('Single Project Assumptions'!$L$37-'Single Project Assumptions'!$L$42)</f>
        <v>0</v>
      </c>
      <c r="BD12" s="21">
        <f>-BD8*('Single Project Assumptions'!$L$37-'Single Project Assumptions'!$L$42)</f>
        <v>74375000.000000015</v>
      </c>
      <c r="BE12" s="21">
        <f>-BE8*('Single Project Assumptions'!$L$37-'Single Project Assumptions'!$L$42)</f>
        <v>10625000</v>
      </c>
      <c r="BF12" s="21">
        <f>-BF8*('Single Project Assumptions'!$L$37-'Single Project Assumptions'!$L$42)</f>
        <v>10625000</v>
      </c>
      <c r="BG12" s="21">
        <f>-BG8*('Single Project Assumptions'!$L$37-'Single Project Assumptions'!$L$42)</f>
        <v>10625000</v>
      </c>
      <c r="BH12" s="21">
        <f>-BH8*('Single Project Assumptions'!$L$37-'Single Project Assumptions'!$L$42)</f>
        <v>10625000</v>
      </c>
      <c r="BI12" s="21">
        <f>-BI8*('Single Project Assumptions'!$L$37-'Single Project Assumptions'!$L$42)</f>
        <v>10625000</v>
      </c>
      <c r="BJ12" s="21">
        <f>-BJ8*('Single Project Assumptions'!$L$37-'Single Project Assumptions'!$L$42)</f>
        <v>10625000</v>
      </c>
      <c r="BK12" s="21">
        <f>-BK8*('Single Project Assumptions'!$L$37-'Single Project Assumptions'!$L$42)</f>
        <v>10625000</v>
      </c>
      <c r="BL12" s="21">
        <f>-BL8*('Single Project Assumptions'!$L$37-'Single Project Assumptions'!$L$42)</f>
        <v>10625000</v>
      </c>
      <c r="BM12" s="21">
        <f>-BM8*('Single Project Assumptions'!$L$37-'Single Project Assumptions'!$L$42)</f>
        <v>10625000</v>
      </c>
      <c r="BN12" s="21">
        <f>-BN8*('Single Project Assumptions'!$L$37-'Single Project Assumptions'!$L$42)</f>
        <v>10625000</v>
      </c>
      <c r="BO12" s="21">
        <f>-BO8*('Single Project Assumptions'!$L$37-'Single Project Assumptions'!$L$42)</f>
        <v>10625000</v>
      </c>
      <c r="BP12" s="21">
        <f>-BP8*('Single Project Assumptions'!$L$37-'Single Project Assumptions'!$L$42)</f>
        <v>0</v>
      </c>
      <c r="BQ12" s="21">
        <f>-BQ8*('Single Project Assumptions'!$L$37-'Single Project Assumptions'!$L$42)</f>
        <v>0</v>
      </c>
      <c r="BR12" s="21">
        <f>-BR8*('Single Project Assumptions'!$L$37-'Single Project Assumptions'!$L$42)</f>
        <v>0</v>
      </c>
      <c r="BS12" s="21">
        <f>-BS8*('Single Project Assumptions'!$L$37-'Single Project Assumptions'!$L$42)</f>
        <v>0</v>
      </c>
      <c r="BT12" s="21">
        <f>-BT8*('Single Project Assumptions'!$L$37-'Single Project Assumptions'!$L$42)</f>
        <v>0</v>
      </c>
      <c r="BU12" s="21">
        <f>-BU8*('Single Project Assumptions'!$L$37-'Single Project Assumptions'!$L$42)</f>
        <v>0</v>
      </c>
      <c r="BV12" s="21">
        <f>-BV8*('Single Project Assumptions'!$L$37-'Single Project Assumptions'!$L$42)</f>
        <v>0</v>
      </c>
      <c r="BW12" s="21">
        <f>-BW8*('Single Project Assumptions'!$L$37-'Single Project Assumptions'!$L$42)</f>
        <v>0</v>
      </c>
      <c r="BX12" s="21">
        <f>-BX8*('Single Project Assumptions'!$L$37-'Single Project Assumptions'!$L$42)</f>
        <v>0</v>
      </c>
      <c r="BY12" s="21">
        <f>-BY8*('Single Project Assumptions'!$L$37-'Single Project Assumptions'!$L$42)</f>
        <v>0</v>
      </c>
      <c r="BZ12" s="21">
        <f>-BZ8*('Single Project Assumptions'!$L$37-'Single Project Assumptions'!$L$42)</f>
        <v>0</v>
      </c>
      <c r="CA12" s="21">
        <f>-CA8*('Single Project Assumptions'!$L$37-'Single Project Assumptions'!$L$42)</f>
        <v>0</v>
      </c>
      <c r="CB12" s="21">
        <f>-CB8*('Single Project Assumptions'!$L$37-'Single Project Assumptions'!$L$42)</f>
        <v>0</v>
      </c>
      <c r="CC12" s="21">
        <f>-CC8*('Single Project Assumptions'!$L$37-'Single Project Assumptions'!$L$42)</f>
        <v>0</v>
      </c>
      <c r="CD12" s="21">
        <f>-CD8*('Single Project Assumptions'!$L$37-'Single Project Assumptions'!$L$42)</f>
        <v>0</v>
      </c>
      <c r="CE12" s="21">
        <f>-CE8*('Single Project Assumptions'!$L$37-'Single Project Assumptions'!$L$42)</f>
        <v>0</v>
      </c>
      <c r="CF12" s="21">
        <f>-CF8*('Single Project Assumptions'!$L$37-'Single Project Assumptions'!$L$42)</f>
        <v>0</v>
      </c>
      <c r="CG12" s="21">
        <f>-CG8*('Single Project Assumptions'!$L$37-'Single Project Assumptions'!$L$42)</f>
        <v>0</v>
      </c>
      <c r="CH12" s="21">
        <f>-CH8*('Single Project Assumptions'!$L$37-'Single Project Assumptions'!$L$42)</f>
        <v>0</v>
      </c>
      <c r="CI12" s="21">
        <f>-CI8*('Single Project Assumptions'!$L$37-'Single Project Assumptions'!$L$42)</f>
        <v>0</v>
      </c>
      <c r="CJ12" s="21">
        <f>-CJ8*('Single Project Assumptions'!$L$37-'Single Project Assumptions'!$L$42)</f>
        <v>0</v>
      </c>
      <c r="CK12" s="21">
        <f>-CK8*('Single Project Assumptions'!$L$37-'Single Project Assumptions'!$L$42)</f>
        <v>0</v>
      </c>
      <c r="CL12" s="21">
        <f>-CL8*('Single Project Assumptions'!$L$37-'Single Project Assumptions'!$L$42)</f>
        <v>0</v>
      </c>
      <c r="CM12" s="21">
        <f>-CM8*('Single Project Assumptions'!$L$37-'Single Project Assumptions'!$L$42)</f>
        <v>0</v>
      </c>
      <c r="CN12" s="21">
        <f>-CN8*('Single Project Assumptions'!$L$37-'Single Project Assumptions'!$L$42)</f>
        <v>0</v>
      </c>
      <c r="CO12" s="21">
        <f>-CO8*('Single Project Assumptions'!$L$37-'Single Project Assumptions'!$L$42)</f>
        <v>0</v>
      </c>
      <c r="CP12" s="21">
        <f>-CP8*('Single Project Assumptions'!$L$37-'Single Project Assumptions'!$L$42)</f>
        <v>0</v>
      </c>
      <c r="CQ12" s="21">
        <f>-CQ8*('Single Project Assumptions'!$L$37-'Single Project Assumptions'!$L$42)</f>
        <v>0</v>
      </c>
      <c r="CR12" s="21">
        <f>-CR8*('Single Project Assumptions'!$L$37-'Single Project Assumptions'!$L$42)</f>
        <v>0</v>
      </c>
      <c r="CS12" s="21">
        <f>-CS8*('Single Project Assumptions'!$L$37-'Single Project Assumptions'!$L$42)</f>
        <v>0</v>
      </c>
      <c r="CT12" s="21">
        <f>-CT8*('Single Project Assumptions'!$L$37-'Single Project Assumptions'!$L$42)</f>
        <v>0</v>
      </c>
      <c r="CU12" s="21">
        <f>-CU8*('Single Project Assumptions'!$L$37-'Single Project Assumptions'!$L$42)</f>
        <v>0</v>
      </c>
      <c r="CV12" s="21">
        <f>-CV8*('Single Project Assumptions'!$L$37-'Single Project Assumptions'!$L$42)</f>
        <v>0</v>
      </c>
      <c r="CW12" s="21">
        <f>-CW8*('Single Project Assumptions'!$L$37-'Single Project Assumptions'!$L$42)</f>
        <v>0</v>
      </c>
      <c r="CX12" s="21">
        <f>-CX8*('Single Project Assumptions'!$L$37-'Single Project Assumptions'!$L$42)</f>
        <v>0</v>
      </c>
      <c r="CY12" s="21">
        <f>-CY8*('Single Project Assumptions'!$L$37-'Single Project Assumptions'!$L$42)</f>
        <v>0</v>
      </c>
      <c r="CZ12" s="21">
        <f>-CZ8*('Single Project Assumptions'!$L$37-'Single Project Assumptions'!$L$42)</f>
        <v>0</v>
      </c>
      <c r="DA12" s="21">
        <f>-DA8*('Single Project Assumptions'!$L$37-'Single Project Assumptions'!$L$42)</f>
        <v>0</v>
      </c>
      <c r="DB12" s="21">
        <f>-DB8*('Single Project Assumptions'!$L$37-'Single Project Assumptions'!$L$42)</f>
        <v>0</v>
      </c>
      <c r="DC12" s="21">
        <f>-DC8*('Single Project Assumptions'!$L$37-'Single Project Assumptions'!$L$42)</f>
        <v>0</v>
      </c>
      <c r="DD12" s="21">
        <f>-DD8*('Single Project Assumptions'!$L$37-'Single Project Assumptions'!$L$42)</f>
        <v>0</v>
      </c>
      <c r="DE12" s="21">
        <f>-DE8*('Single Project Assumptions'!$L$37-'Single Project Assumptions'!$L$42)</f>
        <v>0</v>
      </c>
      <c r="DF12" s="21">
        <f>-DF8*('Single Project Assumptions'!$L$37-'Single Project Assumptions'!$L$42)</f>
        <v>0</v>
      </c>
      <c r="DG12" s="21">
        <f>-DG8*('Single Project Assumptions'!$L$37-'Single Project Assumptions'!$L$42)</f>
        <v>0</v>
      </c>
      <c r="DH12" s="21">
        <f>-DH8*('Single Project Assumptions'!$L$37-'Single Project Assumptions'!$L$42)</f>
        <v>0</v>
      </c>
      <c r="DI12" s="21">
        <f>-DI8*('Single Project Assumptions'!$L$37-'Single Project Assumptions'!$L$42)</f>
        <v>0</v>
      </c>
      <c r="DJ12" s="21">
        <f>-DJ8*('Single Project Assumptions'!$L$37-'Single Project Assumptions'!$L$42)</f>
        <v>0</v>
      </c>
      <c r="DK12" s="21">
        <f>-DK8*('Single Project Assumptions'!$L$37-'Single Project Assumptions'!$L$42)</f>
        <v>0</v>
      </c>
      <c r="DL12" s="21">
        <f>-DL8*('Single Project Assumptions'!$L$37-'Single Project Assumptions'!$L$42)</f>
        <v>0</v>
      </c>
      <c r="DM12" s="21">
        <f>-DM8*('Single Project Assumptions'!$L$37-'Single Project Assumptions'!$L$42)</f>
        <v>0</v>
      </c>
      <c r="DN12" s="21">
        <f>-DN8*('Single Project Assumptions'!$L$37-'Single Project Assumptions'!$L$42)</f>
        <v>0</v>
      </c>
      <c r="DO12" s="21">
        <f>-DO8*('Single Project Assumptions'!$L$37-'Single Project Assumptions'!$L$42)</f>
        <v>0</v>
      </c>
      <c r="DP12" s="21">
        <f>-DP8*('Single Project Assumptions'!$L$37-'Single Project Assumptions'!$L$42)</f>
        <v>0</v>
      </c>
      <c r="DQ12" s="21">
        <f>-DQ8*('Single Project Assumptions'!$L$37-'Single Project Assumptions'!$L$42)</f>
        <v>0</v>
      </c>
      <c r="DR12" s="21">
        <f>-DR8*('Single Project Assumptions'!$L$37-'Single Project Assumptions'!$L$42)</f>
        <v>0</v>
      </c>
      <c r="DS12" s="21">
        <f>-DS8*('Single Project Assumptions'!$L$37-'Single Project Assumptions'!$L$42)</f>
        <v>0</v>
      </c>
      <c r="DT12" s="21">
        <f>-DT8*('Single Project Assumptions'!$L$37-'Single Project Assumptions'!$L$42)</f>
        <v>0</v>
      </c>
      <c r="DU12" s="21">
        <f>-DU8*('Single Project Assumptions'!$L$37-'Single Project Assumptions'!$L$42)</f>
        <v>0</v>
      </c>
    </row>
    <row r="13" spans="3:125" s="3" customFormat="1" ht="22.95" customHeight="1">
      <c r="C13" s="26" t="s">
        <v>276</v>
      </c>
      <c r="D13" s="27">
        <f>SUM(E13:DU13)</f>
        <v>225000000</v>
      </c>
      <c r="E13" s="46">
        <f t="shared" ref="E13:AJ13" si="16">SUM(E11:E12)</f>
        <v>0</v>
      </c>
      <c r="F13" s="46">
        <f t="shared" si="16"/>
        <v>0</v>
      </c>
      <c r="G13" s="46">
        <f t="shared" si="16"/>
        <v>0</v>
      </c>
      <c r="H13" s="46">
        <f t="shared" si="16"/>
        <v>0</v>
      </c>
      <c r="I13" s="46">
        <f t="shared" si="16"/>
        <v>0</v>
      </c>
      <c r="J13" s="46">
        <f t="shared" si="16"/>
        <v>0</v>
      </c>
      <c r="K13" s="46">
        <f t="shared" si="16"/>
        <v>0</v>
      </c>
      <c r="L13" s="46">
        <f t="shared" si="16"/>
        <v>0</v>
      </c>
      <c r="M13" s="46">
        <f t="shared" si="16"/>
        <v>0</v>
      </c>
      <c r="N13" s="46">
        <f t="shared" si="16"/>
        <v>0</v>
      </c>
      <c r="O13" s="46">
        <f t="shared" si="16"/>
        <v>0</v>
      </c>
      <c r="P13" s="46">
        <f t="shared" si="16"/>
        <v>0</v>
      </c>
      <c r="Q13" s="46">
        <f t="shared" si="16"/>
        <v>0</v>
      </c>
      <c r="R13" s="46">
        <f t="shared" si="16"/>
        <v>0</v>
      </c>
      <c r="S13" s="46">
        <f t="shared" si="16"/>
        <v>0</v>
      </c>
      <c r="T13" s="46">
        <f t="shared" si="16"/>
        <v>0</v>
      </c>
      <c r="U13" s="46">
        <f t="shared" si="16"/>
        <v>0</v>
      </c>
      <c r="V13" s="46">
        <f t="shared" si="16"/>
        <v>0</v>
      </c>
      <c r="W13" s="46">
        <f t="shared" si="16"/>
        <v>0</v>
      </c>
      <c r="X13" s="46">
        <f t="shared" si="16"/>
        <v>0</v>
      </c>
      <c r="Y13" s="46">
        <f t="shared" si="16"/>
        <v>0</v>
      </c>
      <c r="Z13" s="46">
        <f t="shared" si="16"/>
        <v>0</v>
      </c>
      <c r="AA13" s="46">
        <f t="shared" si="16"/>
        <v>0</v>
      </c>
      <c r="AB13" s="46">
        <f t="shared" si="16"/>
        <v>0</v>
      </c>
      <c r="AC13" s="46">
        <f t="shared" si="16"/>
        <v>0</v>
      </c>
      <c r="AD13" s="46">
        <f t="shared" si="16"/>
        <v>0</v>
      </c>
      <c r="AE13" s="46">
        <f t="shared" si="16"/>
        <v>0</v>
      </c>
      <c r="AF13" s="46">
        <f t="shared" si="16"/>
        <v>0</v>
      </c>
      <c r="AG13" s="46">
        <f t="shared" si="16"/>
        <v>0</v>
      </c>
      <c r="AH13" s="46">
        <f t="shared" si="16"/>
        <v>0</v>
      </c>
      <c r="AI13" s="46">
        <f t="shared" si="16"/>
        <v>0</v>
      </c>
      <c r="AJ13" s="46">
        <f t="shared" si="16"/>
        <v>0</v>
      </c>
      <c r="AK13" s="46">
        <f t="shared" ref="AK13:BP13" si="17">SUM(AK11:AK12)</f>
        <v>0</v>
      </c>
      <c r="AL13" s="46">
        <f t="shared" si="17"/>
        <v>0</v>
      </c>
      <c r="AM13" s="46">
        <f t="shared" si="17"/>
        <v>0</v>
      </c>
      <c r="AN13" s="46">
        <f t="shared" si="17"/>
        <v>0</v>
      </c>
      <c r="AO13" s="46">
        <f t="shared" si="17"/>
        <v>0</v>
      </c>
      <c r="AP13" s="46">
        <f t="shared" si="17"/>
        <v>0</v>
      </c>
      <c r="AQ13" s="46">
        <f t="shared" si="17"/>
        <v>0</v>
      </c>
      <c r="AR13" s="46">
        <f t="shared" si="17"/>
        <v>0</v>
      </c>
      <c r="AS13" s="46">
        <f t="shared" si="17"/>
        <v>0</v>
      </c>
      <c r="AT13" s="46">
        <f t="shared" si="17"/>
        <v>0</v>
      </c>
      <c r="AU13" s="46">
        <f t="shared" si="17"/>
        <v>0</v>
      </c>
      <c r="AV13" s="46">
        <f t="shared" si="17"/>
        <v>0</v>
      </c>
      <c r="AW13" s="46">
        <f t="shared" si="17"/>
        <v>0</v>
      </c>
      <c r="AX13" s="46">
        <f t="shared" si="17"/>
        <v>1875000.0000000002</v>
      </c>
      <c r="AY13" s="46">
        <f t="shared" si="17"/>
        <v>1875000.0000000002</v>
      </c>
      <c r="AZ13" s="46">
        <f t="shared" si="17"/>
        <v>1875000.0000000002</v>
      </c>
      <c r="BA13" s="46">
        <f t="shared" si="17"/>
        <v>1875000.0000000002</v>
      </c>
      <c r="BB13" s="46">
        <f t="shared" si="17"/>
        <v>1875000.0000000002</v>
      </c>
      <c r="BC13" s="46">
        <f t="shared" si="17"/>
        <v>1875000.0000000002</v>
      </c>
      <c r="BD13" s="46">
        <f t="shared" si="17"/>
        <v>76250000.000000015</v>
      </c>
      <c r="BE13" s="46">
        <f t="shared" si="17"/>
        <v>12500000</v>
      </c>
      <c r="BF13" s="46">
        <f t="shared" si="17"/>
        <v>12500000</v>
      </c>
      <c r="BG13" s="46">
        <f t="shared" si="17"/>
        <v>12500000</v>
      </c>
      <c r="BH13" s="46">
        <f t="shared" si="17"/>
        <v>12500000</v>
      </c>
      <c r="BI13" s="46">
        <f t="shared" si="17"/>
        <v>12500000</v>
      </c>
      <c r="BJ13" s="46">
        <f t="shared" si="17"/>
        <v>12500000</v>
      </c>
      <c r="BK13" s="46">
        <f t="shared" si="17"/>
        <v>12500000</v>
      </c>
      <c r="BL13" s="46">
        <f t="shared" si="17"/>
        <v>12500000</v>
      </c>
      <c r="BM13" s="46">
        <f t="shared" si="17"/>
        <v>12500000</v>
      </c>
      <c r="BN13" s="46">
        <f t="shared" si="17"/>
        <v>12500000</v>
      </c>
      <c r="BO13" s="46">
        <f t="shared" si="17"/>
        <v>12500000</v>
      </c>
      <c r="BP13" s="46">
        <f t="shared" si="17"/>
        <v>0</v>
      </c>
      <c r="BQ13" s="46">
        <f t="shared" ref="BQ13:CV13" si="18">SUM(BQ11:BQ12)</f>
        <v>0</v>
      </c>
      <c r="BR13" s="46">
        <f t="shared" si="18"/>
        <v>0</v>
      </c>
      <c r="BS13" s="46">
        <f t="shared" si="18"/>
        <v>0</v>
      </c>
      <c r="BT13" s="46">
        <f t="shared" si="18"/>
        <v>0</v>
      </c>
      <c r="BU13" s="46">
        <f t="shared" si="18"/>
        <v>0</v>
      </c>
      <c r="BV13" s="46">
        <f t="shared" si="18"/>
        <v>0</v>
      </c>
      <c r="BW13" s="46">
        <f t="shared" si="18"/>
        <v>0</v>
      </c>
      <c r="BX13" s="46">
        <f t="shared" si="18"/>
        <v>0</v>
      </c>
      <c r="BY13" s="46">
        <f t="shared" si="18"/>
        <v>0</v>
      </c>
      <c r="BZ13" s="46">
        <f t="shared" si="18"/>
        <v>0</v>
      </c>
      <c r="CA13" s="46">
        <f t="shared" si="18"/>
        <v>0</v>
      </c>
      <c r="CB13" s="46">
        <f t="shared" si="18"/>
        <v>0</v>
      </c>
      <c r="CC13" s="46">
        <f t="shared" si="18"/>
        <v>0</v>
      </c>
      <c r="CD13" s="46">
        <f t="shared" si="18"/>
        <v>0</v>
      </c>
      <c r="CE13" s="46">
        <f t="shared" si="18"/>
        <v>0</v>
      </c>
      <c r="CF13" s="46">
        <f t="shared" si="18"/>
        <v>0</v>
      </c>
      <c r="CG13" s="46">
        <f t="shared" si="18"/>
        <v>0</v>
      </c>
      <c r="CH13" s="46">
        <f t="shared" si="18"/>
        <v>0</v>
      </c>
      <c r="CI13" s="46">
        <f t="shared" si="18"/>
        <v>0</v>
      </c>
      <c r="CJ13" s="46">
        <f t="shared" si="18"/>
        <v>0</v>
      </c>
      <c r="CK13" s="46">
        <f t="shared" si="18"/>
        <v>0</v>
      </c>
      <c r="CL13" s="46">
        <f t="shared" si="18"/>
        <v>0</v>
      </c>
      <c r="CM13" s="46">
        <f t="shared" si="18"/>
        <v>0</v>
      </c>
      <c r="CN13" s="46">
        <f t="shared" si="18"/>
        <v>0</v>
      </c>
      <c r="CO13" s="46">
        <f t="shared" si="18"/>
        <v>0</v>
      </c>
      <c r="CP13" s="46">
        <f t="shared" si="18"/>
        <v>0</v>
      </c>
      <c r="CQ13" s="46">
        <f t="shared" si="18"/>
        <v>0</v>
      </c>
      <c r="CR13" s="46">
        <f t="shared" si="18"/>
        <v>0</v>
      </c>
      <c r="CS13" s="46">
        <f t="shared" si="18"/>
        <v>0</v>
      </c>
      <c r="CT13" s="46">
        <f t="shared" si="18"/>
        <v>0</v>
      </c>
      <c r="CU13" s="46">
        <f t="shared" si="18"/>
        <v>0</v>
      </c>
      <c r="CV13" s="46">
        <f t="shared" si="18"/>
        <v>0</v>
      </c>
      <c r="CW13" s="46">
        <f t="shared" ref="CW13:DU13" si="19">SUM(CW11:CW12)</f>
        <v>0</v>
      </c>
      <c r="CX13" s="46">
        <f t="shared" si="19"/>
        <v>0</v>
      </c>
      <c r="CY13" s="46">
        <f t="shared" si="19"/>
        <v>0</v>
      </c>
      <c r="CZ13" s="46">
        <f t="shared" si="19"/>
        <v>0</v>
      </c>
      <c r="DA13" s="46">
        <f t="shared" si="19"/>
        <v>0</v>
      </c>
      <c r="DB13" s="46">
        <f t="shared" si="19"/>
        <v>0</v>
      </c>
      <c r="DC13" s="46">
        <f t="shared" si="19"/>
        <v>0</v>
      </c>
      <c r="DD13" s="46">
        <f t="shared" si="19"/>
        <v>0</v>
      </c>
      <c r="DE13" s="46">
        <f t="shared" si="19"/>
        <v>0</v>
      </c>
      <c r="DF13" s="46">
        <f t="shared" si="19"/>
        <v>0</v>
      </c>
      <c r="DG13" s="46">
        <f t="shared" si="19"/>
        <v>0</v>
      </c>
      <c r="DH13" s="46">
        <f t="shared" si="19"/>
        <v>0</v>
      </c>
      <c r="DI13" s="46">
        <f t="shared" si="19"/>
        <v>0</v>
      </c>
      <c r="DJ13" s="46">
        <f t="shared" si="19"/>
        <v>0</v>
      </c>
      <c r="DK13" s="46">
        <f t="shared" si="19"/>
        <v>0</v>
      </c>
      <c r="DL13" s="46">
        <f t="shared" si="19"/>
        <v>0</v>
      </c>
      <c r="DM13" s="46">
        <f t="shared" si="19"/>
        <v>0</v>
      </c>
      <c r="DN13" s="46">
        <f t="shared" si="19"/>
        <v>0</v>
      </c>
      <c r="DO13" s="46">
        <f t="shared" si="19"/>
        <v>0</v>
      </c>
      <c r="DP13" s="46">
        <f t="shared" si="19"/>
        <v>0</v>
      </c>
      <c r="DQ13" s="46">
        <f t="shared" si="19"/>
        <v>0</v>
      </c>
      <c r="DR13" s="46">
        <f t="shared" si="19"/>
        <v>0</v>
      </c>
      <c r="DS13" s="46">
        <f t="shared" si="19"/>
        <v>0</v>
      </c>
      <c r="DT13" s="46">
        <f t="shared" si="19"/>
        <v>0</v>
      </c>
      <c r="DU13" s="46">
        <f t="shared" si="19"/>
        <v>0</v>
      </c>
    </row>
    <row r="14" spans="3:125" s="3" customFormat="1" ht="22.95" customHeight="1">
      <c r="D14" s="25"/>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row>
    <row r="15" spans="3:125" s="3" customFormat="1" ht="22.95" customHeight="1">
      <c r="C15" s="3" t="s">
        <v>277</v>
      </c>
      <c r="D15" s="25">
        <f t="shared" ref="D15:D20" si="20">SUM(E15:DU15)</f>
        <v>-5625000</v>
      </c>
      <c r="E15" s="21">
        <f>-IF(E$4='Single Project Assumptions'!$L$11,'Single Project Assumptions'!$H$41,0)</f>
        <v>0</v>
      </c>
      <c r="F15" s="21">
        <f>-IF(F$4='Single Project Assumptions'!$L$11,'Single Project Assumptions'!$H$41,0)</f>
        <v>0</v>
      </c>
      <c r="G15" s="21">
        <f>-IF(G$4='Single Project Assumptions'!$L$11,'Single Project Assumptions'!$H$41,0)</f>
        <v>0</v>
      </c>
      <c r="H15" s="21">
        <f>-IF(H$4='Single Project Assumptions'!$L$11,'Single Project Assumptions'!$H$41,0)</f>
        <v>0</v>
      </c>
      <c r="I15" s="21">
        <f>-IF(I$4='Single Project Assumptions'!$L$11,'Single Project Assumptions'!$H$41,0)</f>
        <v>0</v>
      </c>
      <c r="J15" s="21">
        <f>-IF(J$4='Single Project Assumptions'!$L$11,'Single Project Assumptions'!$H$41,0)</f>
        <v>0</v>
      </c>
      <c r="K15" s="21">
        <f>-IF(K$4='Single Project Assumptions'!$L$11,'Single Project Assumptions'!$H$41,0)</f>
        <v>0</v>
      </c>
      <c r="L15" s="21">
        <f>-IF(L$4='Single Project Assumptions'!$L$11,'Single Project Assumptions'!$H$41,0)</f>
        <v>0</v>
      </c>
      <c r="M15" s="21">
        <f>-IF(M$4='Single Project Assumptions'!$L$11,'Single Project Assumptions'!$H$41,0)</f>
        <v>0</v>
      </c>
      <c r="N15" s="21">
        <f>-IF(N$4='Single Project Assumptions'!$L$11,'Single Project Assumptions'!$H$41,0)</f>
        <v>0</v>
      </c>
      <c r="O15" s="21">
        <f>-IF(O$4='Single Project Assumptions'!$L$11,'Single Project Assumptions'!$H$41,0)</f>
        <v>0</v>
      </c>
      <c r="P15" s="21">
        <f>-IF(P$4='Single Project Assumptions'!$L$11,'Single Project Assumptions'!$H$41,0)</f>
        <v>0</v>
      </c>
      <c r="Q15" s="21">
        <f>-IF(Q$4='Single Project Assumptions'!$L$11,'Single Project Assumptions'!$H$41,0)</f>
        <v>0</v>
      </c>
      <c r="R15" s="21">
        <f>-IF(R$4='Single Project Assumptions'!$L$11,'Single Project Assumptions'!$H$41,0)</f>
        <v>0</v>
      </c>
      <c r="S15" s="21">
        <f>-IF(S$4='Single Project Assumptions'!$L$11,'Single Project Assumptions'!$H$41,0)</f>
        <v>0</v>
      </c>
      <c r="T15" s="21">
        <f>-IF(T$4='Single Project Assumptions'!$L$11,'Single Project Assumptions'!$H$41,0)</f>
        <v>0</v>
      </c>
      <c r="U15" s="21">
        <f>-IF(U$4='Single Project Assumptions'!$L$11,'Single Project Assumptions'!$H$41,0)</f>
        <v>0</v>
      </c>
      <c r="V15" s="21">
        <f>-IF(V$4='Single Project Assumptions'!$L$11,'Single Project Assumptions'!$H$41,0)</f>
        <v>0</v>
      </c>
      <c r="W15" s="21">
        <f>-IF(W$4='Single Project Assumptions'!$L$11,'Single Project Assumptions'!$H$41,0)</f>
        <v>0</v>
      </c>
      <c r="X15" s="21">
        <f>-IF(X$4='Single Project Assumptions'!$L$11,'Single Project Assumptions'!$H$41,0)</f>
        <v>0</v>
      </c>
      <c r="Y15" s="21">
        <f>-IF(Y$4='Single Project Assumptions'!$L$11,'Single Project Assumptions'!$H$41,0)</f>
        <v>0</v>
      </c>
      <c r="Z15" s="21">
        <f>-IF(Z$4='Single Project Assumptions'!$L$11,'Single Project Assumptions'!$H$41,0)</f>
        <v>0</v>
      </c>
      <c r="AA15" s="21">
        <f>-IF(AA$4='Single Project Assumptions'!$L$11,'Single Project Assumptions'!$H$41,0)</f>
        <v>0</v>
      </c>
      <c r="AB15" s="21">
        <f>-IF(AB$4='Single Project Assumptions'!$L$11,'Single Project Assumptions'!$H$41,0)</f>
        <v>0</v>
      </c>
      <c r="AC15" s="21">
        <f>-IF(AC$4='Single Project Assumptions'!$L$11,'Single Project Assumptions'!$H$41,0)</f>
        <v>-5625000</v>
      </c>
      <c r="AD15" s="21">
        <f>-IF(AD$4='Single Project Assumptions'!$L$11,'Single Project Assumptions'!$H$41,0)</f>
        <v>0</v>
      </c>
      <c r="AE15" s="21">
        <f>-IF(AE$4='Single Project Assumptions'!$L$11,'Single Project Assumptions'!$H$41,0)</f>
        <v>0</v>
      </c>
      <c r="AF15" s="21">
        <f>-IF(AF$4='Single Project Assumptions'!$L$11,'Single Project Assumptions'!$H$41,0)</f>
        <v>0</v>
      </c>
      <c r="AG15" s="21">
        <f>-IF(AG$4='Single Project Assumptions'!$L$11,'Single Project Assumptions'!$H$41,0)</f>
        <v>0</v>
      </c>
      <c r="AH15" s="21">
        <f>-IF(AH$4='Single Project Assumptions'!$L$11,'Single Project Assumptions'!$H$41,0)</f>
        <v>0</v>
      </c>
      <c r="AI15" s="21">
        <f>-IF(AI$4='Single Project Assumptions'!$L$11,'Single Project Assumptions'!$H$41,0)</f>
        <v>0</v>
      </c>
      <c r="AJ15" s="21">
        <f>-IF(AJ$4='Single Project Assumptions'!$L$11,'Single Project Assumptions'!$H$41,0)</f>
        <v>0</v>
      </c>
      <c r="AK15" s="21">
        <f>-IF(AK$4='Single Project Assumptions'!$L$11,'Single Project Assumptions'!$H$41,0)</f>
        <v>0</v>
      </c>
      <c r="AL15" s="21">
        <f>-IF(AL$4='Single Project Assumptions'!$L$11,'Single Project Assumptions'!$H$41,0)</f>
        <v>0</v>
      </c>
      <c r="AM15" s="21">
        <f>-IF(AM$4='Single Project Assumptions'!$L$11,'Single Project Assumptions'!$H$41,0)</f>
        <v>0</v>
      </c>
      <c r="AN15" s="21">
        <f>-IF(AN$4='Single Project Assumptions'!$L$11,'Single Project Assumptions'!$H$41,0)</f>
        <v>0</v>
      </c>
      <c r="AO15" s="21">
        <f>-IF(AO$4='Single Project Assumptions'!$L$11,'Single Project Assumptions'!$H$41,0)</f>
        <v>0</v>
      </c>
      <c r="AP15" s="21">
        <f>-IF(AP$4='Single Project Assumptions'!$L$11,'Single Project Assumptions'!$H$41,0)</f>
        <v>0</v>
      </c>
      <c r="AQ15" s="21">
        <f>-IF(AQ$4='Single Project Assumptions'!$L$11,'Single Project Assumptions'!$H$41,0)</f>
        <v>0</v>
      </c>
      <c r="AR15" s="21">
        <f>-IF(AR$4='Single Project Assumptions'!$L$11,'Single Project Assumptions'!$H$41,0)</f>
        <v>0</v>
      </c>
      <c r="AS15" s="21">
        <f>-IF(AS$4='Single Project Assumptions'!$L$11,'Single Project Assumptions'!$H$41,0)</f>
        <v>0</v>
      </c>
      <c r="AT15" s="21">
        <f>-IF(AT$4='Single Project Assumptions'!$L$11,'Single Project Assumptions'!$H$41,0)</f>
        <v>0</v>
      </c>
      <c r="AU15" s="21">
        <f>-IF(AU$4='Single Project Assumptions'!$L$11,'Single Project Assumptions'!$H$41,0)</f>
        <v>0</v>
      </c>
      <c r="AV15" s="21">
        <f>-IF(AV$4='Single Project Assumptions'!$L$11,'Single Project Assumptions'!$H$41,0)</f>
        <v>0</v>
      </c>
      <c r="AW15" s="21">
        <f>-IF(AW$4='Single Project Assumptions'!$L$11,'Single Project Assumptions'!$H$41,0)</f>
        <v>0</v>
      </c>
      <c r="AX15" s="21">
        <f>-IF(AX$4='Single Project Assumptions'!$L$11,'Single Project Assumptions'!$H$41,0)</f>
        <v>0</v>
      </c>
      <c r="AY15" s="21">
        <f>-IF(AY$4='Single Project Assumptions'!$L$11,'Single Project Assumptions'!$H$41,0)</f>
        <v>0</v>
      </c>
      <c r="AZ15" s="21">
        <f>-IF(AZ$4='Single Project Assumptions'!$L$11,'Single Project Assumptions'!$H$41,0)</f>
        <v>0</v>
      </c>
      <c r="BA15" s="21">
        <f>-IF(BA$4='Single Project Assumptions'!$L$11,'Single Project Assumptions'!$H$41,0)</f>
        <v>0</v>
      </c>
      <c r="BB15" s="21">
        <f>-IF(BB$4='Single Project Assumptions'!$L$11,'Single Project Assumptions'!$H$41,0)</f>
        <v>0</v>
      </c>
      <c r="BC15" s="21">
        <f>-IF(BC$4='Single Project Assumptions'!$L$11,'Single Project Assumptions'!$H$41,0)</f>
        <v>0</v>
      </c>
      <c r="BD15" s="21">
        <f>-IF(BD$4='Single Project Assumptions'!$L$11,'Single Project Assumptions'!$H$41,0)</f>
        <v>0</v>
      </c>
      <c r="BE15" s="21">
        <f>-IF(BE$4='Single Project Assumptions'!$L$11,'Single Project Assumptions'!$H$41,0)</f>
        <v>0</v>
      </c>
      <c r="BF15" s="21">
        <f>-IF(BF$4='Single Project Assumptions'!$L$11,'Single Project Assumptions'!$H$41,0)</f>
        <v>0</v>
      </c>
      <c r="BG15" s="21">
        <f>-IF(BG$4='Single Project Assumptions'!$L$11,'Single Project Assumptions'!$H$41,0)</f>
        <v>0</v>
      </c>
      <c r="BH15" s="21">
        <f>-IF(BH$4='Single Project Assumptions'!$L$11,'Single Project Assumptions'!$H$41,0)</f>
        <v>0</v>
      </c>
      <c r="BI15" s="21">
        <f>-IF(BI$4='Single Project Assumptions'!$L$11,'Single Project Assumptions'!$H$41,0)</f>
        <v>0</v>
      </c>
      <c r="BJ15" s="21">
        <f>-IF(BJ$4='Single Project Assumptions'!$L$11,'Single Project Assumptions'!$H$41,0)</f>
        <v>0</v>
      </c>
      <c r="BK15" s="21">
        <f>-IF(BK$4='Single Project Assumptions'!$L$11,'Single Project Assumptions'!$H$41,0)</f>
        <v>0</v>
      </c>
      <c r="BL15" s="21">
        <f>-IF(BL$4='Single Project Assumptions'!$L$11,'Single Project Assumptions'!$H$41,0)</f>
        <v>0</v>
      </c>
      <c r="BM15" s="21">
        <f>-IF(BM$4='Single Project Assumptions'!$L$11,'Single Project Assumptions'!$H$41,0)</f>
        <v>0</v>
      </c>
      <c r="BN15" s="21">
        <f>-IF(BN$4='Single Project Assumptions'!$L$11,'Single Project Assumptions'!$H$41,0)</f>
        <v>0</v>
      </c>
      <c r="BO15" s="21">
        <f>-IF(BO$4='Single Project Assumptions'!$L$11,'Single Project Assumptions'!$H$41,0)</f>
        <v>0</v>
      </c>
      <c r="BP15" s="21">
        <f>-IF(BP$4='Single Project Assumptions'!$L$11,'Single Project Assumptions'!$H$41,0)</f>
        <v>0</v>
      </c>
      <c r="BQ15" s="21">
        <f>-IF(BQ$4='Single Project Assumptions'!$L$11,'Single Project Assumptions'!$H$41,0)</f>
        <v>0</v>
      </c>
      <c r="BR15" s="21">
        <f>-IF(BR$4='Single Project Assumptions'!$L$11,'Single Project Assumptions'!$H$41,0)</f>
        <v>0</v>
      </c>
      <c r="BS15" s="21">
        <f>-IF(BS$4='Single Project Assumptions'!$L$11,'Single Project Assumptions'!$H$41,0)</f>
        <v>0</v>
      </c>
      <c r="BT15" s="21">
        <f>-IF(BT$4='Single Project Assumptions'!$L$11,'Single Project Assumptions'!$H$41,0)</f>
        <v>0</v>
      </c>
      <c r="BU15" s="21">
        <f>-IF(BU$4='Single Project Assumptions'!$L$11,'Single Project Assumptions'!$H$41,0)</f>
        <v>0</v>
      </c>
      <c r="BV15" s="21">
        <f>-IF(BV$4='Single Project Assumptions'!$L$11,'Single Project Assumptions'!$H$41,0)</f>
        <v>0</v>
      </c>
      <c r="BW15" s="21">
        <f>-IF(BW$4='Single Project Assumptions'!$L$11,'Single Project Assumptions'!$H$41,0)</f>
        <v>0</v>
      </c>
      <c r="BX15" s="21">
        <f>-IF(BX$4='Single Project Assumptions'!$L$11,'Single Project Assumptions'!$H$41,0)</f>
        <v>0</v>
      </c>
      <c r="BY15" s="21">
        <f>-IF(BY$4='Single Project Assumptions'!$L$11,'Single Project Assumptions'!$H$41,0)</f>
        <v>0</v>
      </c>
      <c r="BZ15" s="21">
        <f>-IF(BZ$4='Single Project Assumptions'!$L$11,'Single Project Assumptions'!$H$41,0)</f>
        <v>0</v>
      </c>
      <c r="CA15" s="21">
        <f>-IF(CA$4='Single Project Assumptions'!$L$11,'Single Project Assumptions'!$H$41,0)</f>
        <v>0</v>
      </c>
      <c r="CB15" s="21">
        <f>-IF(CB$4='Single Project Assumptions'!$L$11,'Single Project Assumptions'!$H$41,0)</f>
        <v>0</v>
      </c>
      <c r="CC15" s="21">
        <f>-IF(CC$4='Single Project Assumptions'!$L$11,'Single Project Assumptions'!$H$41,0)</f>
        <v>0</v>
      </c>
      <c r="CD15" s="21">
        <f>-IF(CD$4='Single Project Assumptions'!$L$11,'Single Project Assumptions'!$H$41,0)</f>
        <v>0</v>
      </c>
      <c r="CE15" s="21">
        <f>-IF(CE$4='Single Project Assumptions'!$L$11,'Single Project Assumptions'!$H$41,0)</f>
        <v>0</v>
      </c>
      <c r="CF15" s="21">
        <f>-IF(CF$4='Single Project Assumptions'!$L$11,'Single Project Assumptions'!$H$41,0)</f>
        <v>0</v>
      </c>
      <c r="CG15" s="21">
        <f>-IF(CG$4='Single Project Assumptions'!$L$11,'Single Project Assumptions'!$H$41,0)</f>
        <v>0</v>
      </c>
      <c r="CH15" s="21">
        <f>-IF(CH$4='Single Project Assumptions'!$L$11,'Single Project Assumptions'!$H$41,0)</f>
        <v>0</v>
      </c>
      <c r="CI15" s="21">
        <f>-IF(CI$4='Single Project Assumptions'!$L$11,'Single Project Assumptions'!$H$41,0)</f>
        <v>0</v>
      </c>
      <c r="CJ15" s="21">
        <f>-IF(CJ$4='Single Project Assumptions'!$L$11,'Single Project Assumptions'!$H$41,0)</f>
        <v>0</v>
      </c>
      <c r="CK15" s="21">
        <f>-IF(CK$4='Single Project Assumptions'!$L$11,'Single Project Assumptions'!$H$41,0)</f>
        <v>0</v>
      </c>
      <c r="CL15" s="21">
        <f>-IF(CL$4='Single Project Assumptions'!$L$11,'Single Project Assumptions'!$H$41,0)</f>
        <v>0</v>
      </c>
      <c r="CM15" s="21">
        <f>-IF(CM$4='Single Project Assumptions'!$L$11,'Single Project Assumptions'!$H$41,0)</f>
        <v>0</v>
      </c>
      <c r="CN15" s="21">
        <f>-IF(CN$4='Single Project Assumptions'!$L$11,'Single Project Assumptions'!$H$41,0)</f>
        <v>0</v>
      </c>
      <c r="CO15" s="21">
        <f>-IF(CO$4='Single Project Assumptions'!$L$11,'Single Project Assumptions'!$H$41,0)</f>
        <v>0</v>
      </c>
      <c r="CP15" s="21">
        <f>-IF(CP$4='Single Project Assumptions'!$L$11,'Single Project Assumptions'!$H$41,0)</f>
        <v>0</v>
      </c>
      <c r="CQ15" s="21">
        <f>-IF(CQ$4='Single Project Assumptions'!$L$11,'Single Project Assumptions'!$H$41,0)</f>
        <v>0</v>
      </c>
      <c r="CR15" s="21">
        <f>-IF(CR$4='Single Project Assumptions'!$L$11,'Single Project Assumptions'!$H$41,0)</f>
        <v>0</v>
      </c>
      <c r="CS15" s="21">
        <f>-IF(CS$4='Single Project Assumptions'!$L$11,'Single Project Assumptions'!$H$41,0)</f>
        <v>0</v>
      </c>
      <c r="CT15" s="21">
        <f>-IF(CT$4='Single Project Assumptions'!$L$11,'Single Project Assumptions'!$H$41,0)</f>
        <v>0</v>
      </c>
      <c r="CU15" s="21">
        <f>-IF(CU$4='Single Project Assumptions'!$L$11,'Single Project Assumptions'!$H$41,0)</f>
        <v>0</v>
      </c>
      <c r="CV15" s="21">
        <f>-IF(CV$4='Single Project Assumptions'!$L$11,'Single Project Assumptions'!$H$41,0)</f>
        <v>0</v>
      </c>
      <c r="CW15" s="21">
        <f>-IF(CW$4='Single Project Assumptions'!$L$11,'Single Project Assumptions'!$H$41,0)</f>
        <v>0</v>
      </c>
      <c r="CX15" s="21">
        <f>-IF(CX$4='Single Project Assumptions'!$L$11,'Single Project Assumptions'!$H$41,0)</f>
        <v>0</v>
      </c>
      <c r="CY15" s="21">
        <f>-IF(CY$4='Single Project Assumptions'!$L$11,'Single Project Assumptions'!$H$41,0)</f>
        <v>0</v>
      </c>
      <c r="CZ15" s="21">
        <f>-IF(CZ$4='Single Project Assumptions'!$L$11,'Single Project Assumptions'!$H$41,0)</f>
        <v>0</v>
      </c>
      <c r="DA15" s="21">
        <f>-IF(DA$4='Single Project Assumptions'!$L$11,'Single Project Assumptions'!$H$41,0)</f>
        <v>0</v>
      </c>
      <c r="DB15" s="21">
        <f>-IF(DB$4='Single Project Assumptions'!$L$11,'Single Project Assumptions'!$H$41,0)</f>
        <v>0</v>
      </c>
      <c r="DC15" s="21">
        <f>-IF(DC$4='Single Project Assumptions'!$L$11,'Single Project Assumptions'!$H$41,0)</f>
        <v>0</v>
      </c>
      <c r="DD15" s="21">
        <f>-IF(DD$4='Single Project Assumptions'!$L$11,'Single Project Assumptions'!$H$41,0)</f>
        <v>0</v>
      </c>
      <c r="DE15" s="21">
        <f>-IF(DE$4='Single Project Assumptions'!$L$11,'Single Project Assumptions'!$H$41,0)</f>
        <v>0</v>
      </c>
      <c r="DF15" s="21">
        <f>-IF(DF$4='Single Project Assumptions'!$L$11,'Single Project Assumptions'!$H$41,0)</f>
        <v>0</v>
      </c>
      <c r="DG15" s="21">
        <f>-IF(DG$4='Single Project Assumptions'!$L$11,'Single Project Assumptions'!$H$41,0)</f>
        <v>0</v>
      </c>
      <c r="DH15" s="21">
        <f>-IF(DH$4='Single Project Assumptions'!$L$11,'Single Project Assumptions'!$H$41,0)</f>
        <v>0</v>
      </c>
      <c r="DI15" s="21">
        <f>-IF(DI$4='Single Project Assumptions'!$L$11,'Single Project Assumptions'!$H$41,0)</f>
        <v>0</v>
      </c>
      <c r="DJ15" s="21">
        <f>-IF(DJ$4='Single Project Assumptions'!$L$11,'Single Project Assumptions'!$H$41,0)</f>
        <v>0</v>
      </c>
      <c r="DK15" s="21">
        <f>-IF(DK$4='Single Project Assumptions'!$L$11,'Single Project Assumptions'!$H$41,0)</f>
        <v>0</v>
      </c>
      <c r="DL15" s="21">
        <f>-IF(DL$4='Single Project Assumptions'!$L$11,'Single Project Assumptions'!$H$41,0)</f>
        <v>0</v>
      </c>
      <c r="DM15" s="21">
        <f>-IF(DM$4='Single Project Assumptions'!$L$11,'Single Project Assumptions'!$H$41,0)</f>
        <v>0</v>
      </c>
      <c r="DN15" s="21">
        <f>-IF(DN$4='Single Project Assumptions'!$L$11,'Single Project Assumptions'!$H$41,0)</f>
        <v>0</v>
      </c>
      <c r="DO15" s="21">
        <f>-IF(DO$4='Single Project Assumptions'!$L$11,'Single Project Assumptions'!$H$41,0)</f>
        <v>0</v>
      </c>
      <c r="DP15" s="21">
        <f>-IF(DP$4='Single Project Assumptions'!$L$11,'Single Project Assumptions'!$H$41,0)</f>
        <v>0</v>
      </c>
      <c r="DQ15" s="21">
        <f>-IF(DQ$4='Single Project Assumptions'!$L$11,'Single Project Assumptions'!$H$41,0)</f>
        <v>0</v>
      </c>
      <c r="DR15" s="21">
        <f>-IF(DR$4='Single Project Assumptions'!$L$11,'Single Project Assumptions'!$H$41,0)</f>
        <v>0</v>
      </c>
      <c r="DS15" s="21">
        <f>-IF(DS$4='Single Project Assumptions'!$L$11,'Single Project Assumptions'!$H$41,0)</f>
        <v>0</v>
      </c>
      <c r="DT15" s="21">
        <f>-IF(DT$4='Single Project Assumptions'!$L$11,'Single Project Assumptions'!$H$41,0)</f>
        <v>0</v>
      </c>
      <c r="DU15" s="21">
        <f>-IF(DU$4='Single Project Assumptions'!$L$11,'Single Project Assumptions'!$H$41,0)</f>
        <v>0</v>
      </c>
    </row>
    <row r="16" spans="3:125" s="3" customFormat="1" ht="22.95" customHeight="1">
      <c r="C16" s="3" t="s">
        <v>141</v>
      </c>
      <c r="D16" s="25">
        <f t="shared" si="20"/>
        <v>-84375</v>
      </c>
      <c r="E16" s="21">
        <f>E15*'Single Project Assumptions'!$L$21</f>
        <v>0</v>
      </c>
      <c r="F16" s="21">
        <f>F15*'Single Project Assumptions'!$L$21</f>
        <v>0</v>
      </c>
      <c r="G16" s="21">
        <f>G15*'Single Project Assumptions'!$L$21</f>
        <v>0</v>
      </c>
      <c r="H16" s="21">
        <f>H15*'Single Project Assumptions'!$L$21</f>
        <v>0</v>
      </c>
      <c r="I16" s="21">
        <f>I15*'Single Project Assumptions'!$L$21</f>
        <v>0</v>
      </c>
      <c r="J16" s="21">
        <f>J15*'Single Project Assumptions'!$L$21</f>
        <v>0</v>
      </c>
      <c r="K16" s="21">
        <f>K15*'Single Project Assumptions'!$L$21</f>
        <v>0</v>
      </c>
      <c r="L16" s="21">
        <f>L15*'Single Project Assumptions'!$L$21</f>
        <v>0</v>
      </c>
      <c r="M16" s="21">
        <f>M15*'Single Project Assumptions'!$L$21</f>
        <v>0</v>
      </c>
      <c r="N16" s="21">
        <f>N15*'Single Project Assumptions'!$L$21</f>
        <v>0</v>
      </c>
      <c r="O16" s="21">
        <f>O15*'Single Project Assumptions'!$L$21</f>
        <v>0</v>
      </c>
      <c r="P16" s="21">
        <f>P15*'Single Project Assumptions'!$L$21</f>
        <v>0</v>
      </c>
      <c r="Q16" s="21">
        <f>Q15*'Single Project Assumptions'!$L$21</f>
        <v>0</v>
      </c>
      <c r="R16" s="21">
        <f>R15*'Single Project Assumptions'!$L$21</f>
        <v>0</v>
      </c>
      <c r="S16" s="21">
        <f>S15*'Single Project Assumptions'!$L$21</f>
        <v>0</v>
      </c>
      <c r="T16" s="21">
        <f>T15*'Single Project Assumptions'!$L$21</f>
        <v>0</v>
      </c>
      <c r="U16" s="21">
        <f>U15*'Single Project Assumptions'!$L$21</f>
        <v>0</v>
      </c>
      <c r="V16" s="21">
        <f>V15*'Single Project Assumptions'!$L$21</f>
        <v>0</v>
      </c>
      <c r="W16" s="21">
        <f>W15*'Single Project Assumptions'!$L$21</f>
        <v>0</v>
      </c>
      <c r="X16" s="21">
        <f>X15*'Single Project Assumptions'!$L$21</f>
        <v>0</v>
      </c>
      <c r="Y16" s="21">
        <f>Y15*'Single Project Assumptions'!$L$21</f>
        <v>0</v>
      </c>
      <c r="Z16" s="21">
        <f>Z15*'Single Project Assumptions'!$L$21</f>
        <v>0</v>
      </c>
      <c r="AA16" s="21">
        <f>AA15*'Single Project Assumptions'!$L$21</f>
        <v>0</v>
      </c>
      <c r="AB16" s="21">
        <f>AB15*'Single Project Assumptions'!$L$21</f>
        <v>0</v>
      </c>
      <c r="AC16" s="21">
        <f>AC15*'Single Project Assumptions'!$L$21</f>
        <v>-84375</v>
      </c>
      <c r="AD16" s="21">
        <f>AD15*'Single Project Assumptions'!$L$21</f>
        <v>0</v>
      </c>
      <c r="AE16" s="21">
        <f>AE15*'Single Project Assumptions'!$L$21</f>
        <v>0</v>
      </c>
      <c r="AF16" s="21">
        <f>AF15*'Single Project Assumptions'!$L$21</f>
        <v>0</v>
      </c>
      <c r="AG16" s="21">
        <f>AG15*'Single Project Assumptions'!$L$21</f>
        <v>0</v>
      </c>
      <c r="AH16" s="21">
        <f>AH15*'Single Project Assumptions'!$L$21</f>
        <v>0</v>
      </c>
      <c r="AI16" s="21">
        <f>AI15*'Single Project Assumptions'!$L$21</f>
        <v>0</v>
      </c>
      <c r="AJ16" s="21">
        <f>AJ15*'Single Project Assumptions'!$L$21</f>
        <v>0</v>
      </c>
      <c r="AK16" s="21">
        <f>AK15*'Single Project Assumptions'!$L$21</f>
        <v>0</v>
      </c>
      <c r="AL16" s="21">
        <f>AL15*'Single Project Assumptions'!$L$21</f>
        <v>0</v>
      </c>
      <c r="AM16" s="21">
        <f>AM15*'Single Project Assumptions'!$L$21</f>
        <v>0</v>
      </c>
      <c r="AN16" s="21">
        <f>AN15*'Single Project Assumptions'!$L$21</f>
        <v>0</v>
      </c>
      <c r="AO16" s="21">
        <f>AO15*'Single Project Assumptions'!$L$21</f>
        <v>0</v>
      </c>
      <c r="AP16" s="21">
        <f>AP15*'Single Project Assumptions'!$L$21</f>
        <v>0</v>
      </c>
      <c r="AQ16" s="21">
        <f>AQ15*'Single Project Assumptions'!$L$21</f>
        <v>0</v>
      </c>
      <c r="AR16" s="21">
        <f>AR15*'Single Project Assumptions'!$L$21</f>
        <v>0</v>
      </c>
      <c r="AS16" s="21">
        <f>AS15*'Single Project Assumptions'!$L$21</f>
        <v>0</v>
      </c>
      <c r="AT16" s="21">
        <f>AT15*'Single Project Assumptions'!$L$21</f>
        <v>0</v>
      </c>
      <c r="AU16" s="21">
        <f>AU15*'Single Project Assumptions'!$L$21</f>
        <v>0</v>
      </c>
      <c r="AV16" s="21">
        <f>AV15*'Single Project Assumptions'!$L$21</f>
        <v>0</v>
      </c>
      <c r="AW16" s="21">
        <f>AW15*'Single Project Assumptions'!$L$21</f>
        <v>0</v>
      </c>
      <c r="AX16" s="21">
        <f>AX15*'Single Project Assumptions'!$L$21</f>
        <v>0</v>
      </c>
      <c r="AY16" s="21">
        <f>AY15*'Single Project Assumptions'!$L$21</f>
        <v>0</v>
      </c>
      <c r="AZ16" s="21">
        <f>AZ15*'Single Project Assumptions'!$L$21</f>
        <v>0</v>
      </c>
      <c r="BA16" s="21">
        <f>BA15*'Single Project Assumptions'!$L$21</f>
        <v>0</v>
      </c>
      <c r="BB16" s="21">
        <f>BB15*'Single Project Assumptions'!$L$21</f>
        <v>0</v>
      </c>
      <c r="BC16" s="21">
        <f>BC15*'Single Project Assumptions'!$L$21</f>
        <v>0</v>
      </c>
      <c r="BD16" s="21">
        <f>BD15*'Single Project Assumptions'!$L$21</f>
        <v>0</v>
      </c>
      <c r="BE16" s="21">
        <f>BE15*'Single Project Assumptions'!$L$21</f>
        <v>0</v>
      </c>
      <c r="BF16" s="21">
        <f>BF15*'Single Project Assumptions'!$L$21</f>
        <v>0</v>
      </c>
      <c r="BG16" s="21">
        <f>BG15*'Single Project Assumptions'!$L$21</f>
        <v>0</v>
      </c>
      <c r="BH16" s="21">
        <f>BH15*'Single Project Assumptions'!$L$21</f>
        <v>0</v>
      </c>
      <c r="BI16" s="21">
        <f>BI15*'Single Project Assumptions'!$L$21</f>
        <v>0</v>
      </c>
      <c r="BJ16" s="21">
        <f>BJ15*'Single Project Assumptions'!$L$21</f>
        <v>0</v>
      </c>
      <c r="BK16" s="21">
        <f>BK15*'Single Project Assumptions'!$L$21</f>
        <v>0</v>
      </c>
      <c r="BL16" s="21">
        <f>BL15*'Single Project Assumptions'!$L$21</f>
        <v>0</v>
      </c>
      <c r="BM16" s="21">
        <f>BM15*'Single Project Assumptions'!$L$21</f>
        <v>0</v>
      </c>
      <c r="BN16" s="21">
        <f>BN15*'Single Project Assumptions'!$L$21</f>
        <v>0</v>
      </c>
      <c r="BO16" s="21">
        <f>BO15*'Single Project Assumptions'!$L$21</f>
        <v>0</v>
      </c>
      <c r="BP16" s="21">
        <f>BP15*'Single Project Assumptions'!$L$21</f>
        <v>0</v>
      </c>
      <c r="BQ16" s="21">
        <f>BQ15*'Single Project Assumptions'!$L$21</f>
        <v>0</v>
      </c>
      <c r="BR16" s="21">
        <f>BR15*'Single Project Assumptions'!$L$21</f>
        <v>0</v>
      </c>
      <c r="BS16" s="21">
        <f>BS15*'Single Project Assumptions'!$L$21</f>
        <v>0</v>
      </c>
      <c r="BT16" s="21">
        <f>BT15*'Single Project Assumptions'!$L$21</f>
        <v>0</v>
      </c>
      <c r="BU16" s="21">
        <f>BU15*'Single Project Assumptions'!$L$21</f>
        <v>0</v>
      </c>
      <c r="BV16" s="21">
        <f>BV15*'Single Project Assumptions'!$L$21</f>
        <v>0</v>
      </c>
      <c r="BW16" s="21">
        <f>BW15*'Single Project Assumptions'!$L$21</f>
        <v>0</v>
      </c>
      <c r="BX16" s="21">
        <f>BX15*'Single Project Assumptions'!$L$21</f>
        <v>0</v>
      </c>
      <c r="BY16" s="21">
        <f>BY15*'Single Project Assumptions'!$L$21</f>
        <v>0</v>
      </c>
      <c r="BZ16" s="21">
        <f>BZ15*'Single Project Assumptions'!$L$21</f>
        <v>0</v>
      </c>
      <c r="CA16" s="21">
        <f>CA15*'Single Project Assumptions'!$L$21</f>
        <v>0</v>
      </c>
      <c r="CB16" s="21">
        <f>CB15*'Single Project Assumptions'!$L$21</f>
        <v>0</v>
      </c>
      <c r="CC16" s="21">
        <f>CC15*'Single Project Assumptions'!$L$21</f>
        <v>0</v>
      </c>
      <c r="CD16" s="21">
        <f>CD15*'Single Project Assumptions'!$L$21</f>
        <v>0</v>
      </c>
      <c r="CE16" s="21">
        <f>CE15*'Single Project Assumptions'!$L$21</f>
        <v>0</v>
      </c>
      <c r="CF16" s="21">
        <f>CF15*'Single Project Assumptions'!$L$21</f>
        <v>0</v>
      </c>
      <c r="CG16" s="21">
        <f>CG15*'Single Project Assumptions'!$L$21</f>
        <v>0</v>
      </c>
      <c r="CH16" s="21">
        <f>CH15*'Single Project Assumptions'!$L$21</f>
        <v>0</v>
      </c>
      <c r="CI16" s="21">
        <f>CI15*'Single Project Assumptions'!$L$21</f>
        <v>0</v>
      </c>
      <c r="CJ16" s="21">
        <f>CJ15*'Single Project Assumptions'!$L$21</f>
        <v>0</v>
      </c>
      <c r="CK16" s="21">
        <f>CK15*'Single Project Assumptions'!$L$21</f>
        <v>0</v>
      </c>
      <c r="CL16" s="21">
        <f>CL15*'Single Project Assumptions'!$L$21</f>
        <v>0</v>
      </c>
      <c r="CM16" s="21">
        <f>CM15*'Single Project Assumptions'!$L$21</f>
        <v>0</v>
      </c>
      <c r="CN16" s="21">
        <f>CN15*'Single Project Assumptions'!$L$21</f>
        <v>0</v>
      </c>
      <c r="CO16" s="21">
        <f>CO15*'Single Project Assumptions'!$L$21</f>
        <v>0</v>
      </c>
      <c r="CP16" s="21">
        <f>CP15*'Single Project Assumptions'!$L$21</f>
        <v>0</v>
      </c>
      <c r="CQ16" s="21">
        <f>CQ15*'Single Project Assumptions'!$L$21</f>
        <v>0</v>
      </c>
      <c r="CR16" s="21">
        <f>CR15*'Single Project Assumptions'!$L$21</f>
        <v>0</v>
      </c>
      <c r="CS16" s="21">
        <f>CS15*'Single Project Assumptions'!$L$21</f>
        <v>0</v>
      </c>
      <c r="CT16" s="21">
        <f>CT15*'Single Project Assumptions'!$L$21</f>
        <v>0</v>
      </c>
      <c r="CU16" s="21">
        <f>CU15*'Single Project Assumptions'!$L$21</f>
        <v>0</v>
      </c>
      <c r="CV16" s="21">
        <f>CV15*'Single Project Assumptions'!$L$21</f>
        <v>0</v>
      </c>
      <c r="CW16" s="21">
        <f>CW15*'Single Project Assumptions'!$L$21</f>
        <v>0</v>
      </c>
      <c r="CX16" s="21">
        <f>CX15*'Single Project Assumptions'!$L$21</f>
        <v>0</v>
      </c>
      <c r="CY16" s="21">
        <f>CY15*'Single Project Assumptions'!$L$21</f>
        <v>0</v>
      </c>
      <c r="CZ16" s="21">
        <f>CZ15*'Single Project Assumptions'!$L$21</f>
        <v>0</v>
      </c>
      <c r="DA16" s="21">
        <f>DA15*'Single Project Assumptions'!$L$21</f>
        <v>0</v>
      </c>
      <c r="DB16" s="21">
        <f>DB15*'Single Project Assumptions'!$L$21</f>
        <v>0</v>
      </c>
      <c r="DC16" s="21">
        <f>DC15*'Single Project Assumptions'!$L$21</f>
        <v>0</v>
      </c>
      <c r="DD16" s="21">
        <f>DD15*'Single Project Assumptions'!$L$21</f>
        <v>0</v>
      </c>
      <c r="DE16" s="21">
        <f>DE15*'Single Project Assumptions'!$L$21</f>
        <v>0</v>
      </c>
      <c r="DF16" s="21">
        <f>DF15*'Single Project Assumptions'!$L$21</f>
        <v>0</v>
      </c>
      <c r="DG16" s="21">
        <f>DG15*'Single Project Assumptions'!$L$21</f>
        <v>0</v>
      </c>
      <c r="DH16" s="21">
        <f>DH15*'Single Project Assumptions'!$L$21</f>
        <v>0</v>
      </c>
      <c r="DI16" s="21">
        <f>DI15*'Single Project Assumptions'!$L$21</f>
        <v>0</v>
      </c>
      <c r="DJ16" s="21">
        <f>DJ15*'Single Project Assumptions'!$L$21</f>
        <v>0</v>
      </c>
      <c r="DK16" s="21">
        <f>DK15*'Single Project Assumptions'!$L$21</f>
        <v>0</v>
      </c>
      <c r="DL16" s="21">
        <f>DL15*'Single Project Assumptions'!$L$21</f>
        <v>0</v>
      </c>
      <c r="DM16" s="21">
        <f>DM15*'Single Project Assumptions'!$L$21</f>
        <v>0</v>
      </c>
      <c r="DN16" s="21">
        <f>DN15*'Single Project Assumptions'!$L$21</f>
        <v>0</v>
      </c>
      <c r="DO16" s="21">
        <f>DO15*'Single Project Assumptions'!$L$21</f>
        <v>0</v>
      </c>
      <c r="DP16" s="21">
        <f>DP15*'Single Project Assumptions'!$L$21</f>
        <v>0</v>
      </c>
      <c r="DQ16" s="21">
        <f>DQ15*'Single Project Assumptions'!$L$21</f>
        <v>0</v>
      </c>
      <c r="DR16" s="21">
        <f>DR15*'Single Project Assumptions'!$L$21</f>
        <v>0</v>
      </c>
      <c r="DS16" s="21">
        <f>DS15*'Single Project Assumptions'!$L$21</f>
        <v>0</v>
      </c>
      <c r="DT16" s="21">
        <f>DT15*'Single Project Assumptions'!$L$21</f>
        <v>0</v>
      </c>
      <c r="DU16" s="21">
        <f>DU15*'Single Project Assumptions'!$L$21</f>
        <v>0</v>
      </c>
    </row>
    <row r="17" spans="3:125" s="3" customFormat="1" ht="22.95" customHeight="1">
      <c r="C17" s="3" t="s">
        <v>278</v>
      </c>
      <c r="D17" s="25">
        <f t="shared" si="20"/>
        <v>-157621875</v>
      </c>
      <c r="E17" s="21">
        <f>IF(AND(E$4&gt;='Single Project Assumptions'!$L$13,'Development Phase'!E$4&lt;'Single Project Assumptions'!$L$15),-'Single Project Assumptions'!$L$30/'Single Project Assumptions'!$L$14,0)</f>
        <v>0</v>
      </c>
      <c r="F17" s="21">
        <f>IF(AND(F$4&gt;='Single Project Assumptions'!$L$13,'Development Phase'!F$4&lt;'Single Project Assumptions'!$L$15),-'Single Project Assumptions'!$L$30/'Single Project Assumptions'!$L$14,0)</f>
        <v>0</v>
      </c>
      <c r="G17" s="21">
        <f>IF(AND(G$4&gt;='Single Project Assumptions'!$L$13,'Development Phase'!G$4&lt;'Single Project Assumptions'!$L$15),-'Single Project Assumptions'!$L$30/'Single Project Assumptions'!$L$14,0)</f>
        <v>0</v>
      </c>
      <c r="H17" s="21">
        <f>IF(AND(H$4&gt;='Single Project Assumptions'!$L$13,'Development Phase'!H$4&lt;'Single Project Assumptions'!$L$15),-'Single Project Assumptions'!$L$30/'Single Project Assumptions'!$L$14,0)</f>
        <v>0</v>
      </c>
      <c r="I17" s="21">
        <f>IF(AND(I$4&gt;='Single Project Assumptions'!$L$13,'Development Phase'!I$4&lt;'Single Project Assumptions'!$L$15),-'Single Project Assumptions'!$L$30/'Single Project Assumptions'!$L$14,0)</f>
        <v>0</v>
      </c>
      <c r="J17" s="21">
        <f>IF(AND(J$4&gt;='Single Project Assumptions'!$L$13,'Development Phase'!J$4&lt;'Single Project Assumptions'!$L$15),-'Single Project Assumptions'!$L$30/'Single Project Assumptions'!$L$14,0)</f>
        <v>0</v>
      </c>
      <c r="K17" s="21">
        <f>IF(AND(K$4&gt;='Single Project Assumptions'!$L$13,'Development Phase'!K$4&lt;'Single Project Assumptions'!$L$15),-'Single Project Assumptions'!$L$30/'Single Project Assumptions'!$L$14,0)</f>
        <v>0</v>
      </c>
      <c r="L17" s="21">
        <f>IF(AND(L$4&gt;='Single Project Assumptions'!$L$13,'Development Phase'!L$4&lt;'Single Project Assumptions'!$L$15),-'Single Project Assumptions'!$L$30/'Single Project Assumptions'!$L$14,0)</f>
        <v>0</v>
      </c>
      <c r="M17" s="21">
        <f>IF(AND(M$4&gt;='Single Project Assumptions'!$L$13,'Development Phase'!M$4&lt;'Single Project Assumptions'!$L$15),-'Single Project Assumptions'!$L$30/'Single Project Assumptions'!$L$14,0)</f>
        <v>0</v>
      </c>
      <c r="N17" s="21">
        <f>IF(AND(N$4&gt;='Single Project Assumptions'!$L$13,'Development Phase'!N$4&lt;'Single Project Assumptions'!$L$15),-'Single Project Assumptions'!$L$30/'Single Project Assumptions'!$L$14,0)</f>
        <v>0</v>
      </c>
      <c r="O17" s="21">
        <f>IF(AND(O$4&gt;='Single Project Assumptions'!$L$13,'Development Phase'!O$4&lt;'Single Project Assumptions'!$L$15),-'Single Project Assumptions'!$L$30/'Single Project Assumptions'!$L$14,0)</f>
        <v>0</v>
      </c>
      <c r="P17" s="21">
        <f>IF(AND(P$4&gt;='Single Project Assumptions'!$L$13,'Development Phase'!P$4&lt;'Single Project Assumptions'!$L$15),-'Single Project Assumptions'!$L$30/'Single Project Assumptions'!$L$14,0)</f>
        <v>0</v>
      </c>
      <c r="Q17" s="21">
        <f>IF(AND(Q$4&gt;='Single Project Assumptions'!$L$13,'Development Phase'!Q$4&lt;'Single Project Assumptions'!$L$15),-'Single Project Assumptions'!$L$30/'Single Project Assumptions'!$L$14,0)</f>
        <v>0</v>
      </c>
      <c r="R17" s="21">
        <f>IF(AND(R$4&gt;='Single Project Assumptions'!$L$13,'Development Phase'!R$4&lt;'Single Project Assumptions'!$L$15),-'Single Project Assumptions'!$L$30/'Single Project Assumptions'!$L$14,0)</f>
        <v>0</v>
      </c>
      <c r="S17" s="21">
        <f>IF(AND(S$4&gt;='Single Project Assumptions'!$L$13,'Development Phase'!S$4&lt;'Single Project Assumptions'!$L$15),-'Single Project Assumptions'!$L$30/'Single Project Assumptions'!$L$14,0)</f>
        <v>0</v>
      </c>
      <c r="T17" s="21">
        <f>IF(AND(T$4&gt;='Single Project Assumptions'!$L$13,'Development Phase'!T$4&lt;'Single Project Assumptions'!$L$15),-'Single Project Assumptions'!$L$30/'Single Project Assumptions'!$L$14,0)</f>
        <v>0</v>
      </c>
      <c r="U17" s="21">
        <f>IF(AND(U$4&gt;='Single Project Assumptions'!$L$13,'Development Phase'!U$4&lt;'Single Project Assumptions'!$L$15),-'Single Project Assumptions'!$L$30/'Single Project Assumptions'!$L$14,0)</f>
        <v>0</v>
      </c>
      <c r="V17" s="21">
        <f>IF(AND(V$4&gt;='Single Project Assumptions'!$L$13,'Development Phase'!V$4&lt;'Single Project Assumptions'!$L$15),-'Single Project Assumptions'!$L$30/'Single Project Assumptions'!$L$14,0)</f>
        <v>0</v>
      </c>
      <c r="W17" s="21">
        <f>IF(AND(W$4&gt;='Single Project Assumptions'!$L$13,'Development Phase'!W$4&lt;'Single Project Assumptions'!$L$15),-'Single Project Assumptions'!$L$30/'Single Project Assumptions'!$L$14,0)</f>
        <v>0</v>
      </c>
      <c r="X17" s="21">
        <f>IF(AND(X$4&gt;='Single Project Assumptions'!$L$13,'Development Phase'!X$4&lt;'Single Project Assumptions'!$L$15),-'Single Project Assumptions'!$L$30/'Single Project Assumptions'!$L$14,0)</f>
        <v>0</v>
      </c>
      <c r="Y17" s="21">
        <f>IF(AND(Y$4&gt;='Single Project Assumptions'!$L$13,'Development Phase'!Y$4&lt;'Single Project Assumptions'!$L$15),-'Single Project Assumptions'!$L$30/'Single Project Assumptions'!$L$14,0)</f>
        <v>0</v>
      </c>
      <c r="Z17" s="21">
        <f>IF(AND(Z$4&gt;='Single Project Assumptions'!$L$13,'Development Phase'!Z$4&lt;'Single Project Assumptions'!$L$15),-'Single Project Assumptions'!$L$30/'Single Project Assumptions'!$L$14,0)</f>
        <v>0</v>
      </c>
      <c r="AA17" s="21">
        <f>IF(AND(AA$4&gt;='Single Project Assumptions'!$L$13,'Development Phase'!AA$4&lt;'Single Project Assumptions'!$L$15),-'Single Project Assumptions'!$L$30/'Single Project Assumptions'!$L$14,0)</f>
        <v>0</v>
      </c>
      <c r="AB17" s="21">
        <f>IF(AND(AB$4&gt;='Single Project Assumptions'!$L$13,'Development Phase'!AB$4&lt;'Single Project Assumptions'!$L$15),-'Single Project Assumptions'!$L$30/'Single Project Assumptions'!$L$14,0)</f>
        <v>0</v>
      </c>
      <c r="AC17" s="21">
        <f>IF(AND(AC$4&gt;='Single Project Assumptions'!$L$13,'Development Phase'!AC$4&lt;'Single Project Assumptions'!$L$15),-'Single Project Assumptions'!$L$30/'Single Project Assumptions'!$L$14,0)</f>
        <v>0</v>
      </c>
      <c r="AD17" s="21">
        <f>IF(AND(AD$4&gt;='Single Project Assumptions'!$L$13,'Development Phase'!AD$4&lt;'Single Project Assumptions'!$L$15),-'Single Project Assumptions'!$L$30/'Single Project Assumptions'!$L$14,0)</f>
        <v>0</v>
      </c>
      <c r="AE17" s="21">
        <f>IF(AND(AE$4&gt;='Single Project Assumptions'!$L$13,'Development Phase'!AE$4&lt;'Single Project Assumptions'!$L$15),-'Single Project Assumptions'!$L$30/'Single Project Assumptions'!$L$14,0)</f>
        <v>0</v>
      </c>
      <c r="AF17" s="21">
        <f>IF(AND(AF$4&gt;='Single Project Assumptions'!$L$13,'Development Phase'!AF$4&lt;'Single Project Assumptions'!$L$15),-'Single Project Assumptions'!$L$30/'Single Project Assumptions'!$L$14,0)</f>
        <v>-6567578.125</v>
      </c>
      <c r="AG17" s="21">
        <f>IF(AND(AG$4&gt;='Single Project Assumptions'!$L$13,'Development Phase'!AG$4&lt;'Single Project Assumptions'!$L$15),-'Single Project Assumptions'!$L$30/'Single Project Assumptions'!$L$14,0)</f>
        <v>-6567578.125</v>
      </c>
      <c r="AH17" s="21">
        <f>IF(AND(AH$4&gt;='Single Project Assumptions'!$L$13,'Development Phase'!AH$4&lt;'Single Project Assumptions'!$L$15),-'Single Project Assumptions'!$L$30/'Single Project Assumptions'!$L$14,0)</f>
        <v>-6567578.125</v>
      </c>
      <c r="AI17" s="21">
        <f>IF(AND(AI$4&gt;='Single Project Assumptions'!$L$13,'Development Phase'!AI$4&lt;'Single Project Assumptions'!$L$15),-'Single Project Assumptions'!$L$30/'Single Project Assumptions'!$L$14,0)</f>
        <v>-6567578.125</v>
      </c>
      <c r="AJ17" s="21">
        <f>IF(AND(AJ$4&gt;='Single Project Assumptions'!$L$13,'Development Phase'!AJ$4&lt;'Single Project Assumptions'!$L$15),-'Single Project Assumptions'!$L$30/'Single Project Assumptions'!$L$14,0)</f>
        <v>-6567578.125</v>
      </c>
      <c r="AK17" s="21">
        <f>IF(AND(AK$4&gt;='Single Project Assumptions'!$L$13,'Development Phase'!AK$4&lt;'Single Project Assumptions'!$L$15),-'Single Project Assumptions'!$L$30/'Single Project Assumptions'!$L$14,0)</f>
        <v>-6567578.125</v>
      </c>
      <c r="AL17" s="21">
        <f>IF(AND(AL$4&gt;='Single Project Assumptions'!$L$13,'Development Phase'!AL$4&lt;'Single Project Assumptions'!$L$15),-'Single Project Assumptions'!$L$30/'Single Project Assumptions'!$L$14,0)</f>
        <v>-6567578.125</v>
      </c>
      <c r="AM17" s="21">
        <f>IF(AND(AM$4&gt;='Single Project Assumptions'!$L$13,'Development Phase'!AM$4&lt;'Single Project Assumptions'!$L$15),-'Single Project Assumptions'!$L$30/'Single Project Assumptions'!$L$14,0)</f>
        <v>-6567578.125</v>
      </c>
      <c r="AN17" s="21">
        <f>IF(AND(AN$4&gt;='Single Project Assumptions'!$L$13,'Development Phase'!AN$4&lt;'Single Project Assumptions'!$L$15),-'Single Project Assumptions'!$L$30/'Single Project Assumptions'!$L$14,0)</f>
        <v>-6567578.125</v>
      </c>
      <c r="AO17" s="21">
        <f>IF(AND(AO$4&gt;='Single Project Assumptions'!$L$13,'Development Phase'!AO$4&lt;'Single Project Assumptions'!$L$15),-'Single Project Assumptions'!$L$30/'Single Project Assumptions'!$L$14,0)</f>
        <v>-6567578.125</v>
      </c>
      <c r="AP17" s="21">
        <f>IF(AND(AP$4&gt;='Single Project Assumptions'!$L$13,'Development Phase'!AP$4&lt;'Single Project Assumptions'!$L$15),-'Single Project Assumptions'!$L$30/'Single Project Assumptions'!$L$14,0)</f>
        <v>-6567578.125</v>
      </c>
      <c r="AQ17" s="21">
        <f>IF(AND(AQ$4&gt;='Single Project Assumptions'!$L$13,'Development Phase'!AQ$4&lt;'Single Project Assumptions'!$L$15),-'Single Project Assumptions'!$L$30/'Single Project Assumptions'!$L$14,0)</f>
        <v>-6567578.125</v>
      </c>
      <c r="AR17" s="21">
        <f>IF(AND(AR$4&gt;='Single Project Assumptions'!$L$13,'Development Phase'!AR$4&lt;'Single Project Assumptions'!$L$15),-'Single Project Assumptions'!$L$30/'Single Project Assumptions'!$L$14,0)</f>
        <v>-6567578.125</v>
      </c>
      <c r="AS17" s="21">
        <f>IF(AND(AS$4&gt;='Single Project Assumptions'!$L$13,'Development Phase'!AS$4&lt;'Single Project Assumptions'!$L$15),-'Single Project Assumptions'!$L$30/'Single Project Assumptions'!$L$14,0)</f>
        <v>-6567578.125</v>
      </c>
      <c r="AT17" s="21">
        <f>IF(AND(AT$4&gt;='Single Project Assumptions'!$L$13,'Development Phase'!AT$4&lt;'Single Project Assumptions'!$L$15),-'Single Project Assumptions'!$L$30/'Single Project Assumptions'!$L$14,0)</f>
        <v>-6567578.125</v>
      </c>
      <c r="AU17" s="21">
        <f>IF(AND(AU$4&gt;='Single Project Assumptions'!$L$13,'Development Phase'!AU$4&lt;'Single Project Assumptions'!$L$15),-'Single Project Assumptions'!$L$30/'Single Project Assumptions'!$L$14,0)</f>
        <v>-6567578.125</v>
      </c>
      <c r="AV17" s="21">
        <f>IF(AND(AV$4&gt;='Single Project Assumptions'!$L$13,'Development Phase'!AV$4&lt;'Single Project Assumptions'!$L$15),-'Single Project Assumptions'!$L$30/'Single Project Assumptions'!$L$14,0)</f>
        <v>-6567578.125</v>
      </c>
      <c r="AW17" s="21">
        <f>IF(AND(AW$4&gt;='Single Project Assumptions'!$L$13,'Development Phase'!AW$4&lt;'Single Project Assumptions'!$L$15),-'Single Project Assumptions'!$L$30/'Single Project Assumptions'!$L$14,0)</f>
        <v>-6567578.125</v>
      </c>
      <c r="AX17" s="21">
        <f>IF(AND(AX$4&gt;='Single Project Assumptions'!$L$13,'Development Phase'!AX$4&lt;'Single Project Assumptions'!$L$15),-'Single Project Assumptions'!$L$30/'Single Project Assumptions'!$L$14,0)</f>
        <v>-6567578.125</v>
      </c>
      <c r="AY17" s="21">
        <f>IF(AND(AY$4&gt;='Single Project Assumptions'!$L$13,'Development Phase'!AY$4&lt;'Single Project Assumptions'!$L$15),-'Single Project Assumptions'!$L$30/'Single Project Assumptions'!$L$14,0)</f>
        <v>-6567578.125</v>
      </c>
      <c r="AZ17" s="21">
        <f>IF(AND(AZ$4&gt;='Single Project Assumptions'!$L$13,'Development Phase'!AZ$4&lt;'Single Project Assumptions'!$L$15),-'Single Project Assumptions'!$L$30/'Single Project Assumptions'!$L$14,0)</f>
        <v>-6567578.125</v>
      </c>
      <c r="BA17" s="21">
        <f>IF(AND(BA$4&gt;='Single Project Assumptions'!$L$13,'Development Phase'!BA$4&lt;'Single Project Assumptions'!$L$15),-'Single Project Assumptions'!$L$30/'Single Project Assumptions'!$L$14,0)</f>
        <v>-6567578.125</v>
      </c>
      <c r="BB17" s="21">
        <f>IF(AND(BB$4&gt;='Single Project Assumptions'!$L$13,'Development Phase'!BB$4&lt;'Single Project Assumptions'!$L$15),-'Single Project Assumptions'!$L$30/'Single Project Assumptions'!$L$14,0)</f>
        <v>-6567578.125</v>
      </c>
      <c r="BC17" s="21">
        <f>IF(AND(BC$4&gt;='Single Project Assumptions'!$L$13,'Development Phase'!BC$4&lt;'Single Project Assumptions'!$L$15),-'Single Project Assumptions'!$L$30/'Single Project Assumptions'!$L$14,0)</f>
        <v>-6567578.125</v>
      </c>
      <c r="BD17" s="21">
        <f>IF(AND(BD$4&gt;='Single Project Assumptions'!$L$13,'Development Phase'!BD$4&lt;'Single Project Assumptions'!$L$15),-'Single Project Assumptions'!$L$30/'Single Project Assumptions'!$L$14,0)</f>
        <v>0</v>
      </c>
      <c r="BE17" s="21">
        <f>IF(AND(BE$4&gt;='Single Project Assumptions'!$L$13,'Development Phase'!BE$4&lt;'Single Project Assumptions'!$L$15),-'Single Project Assumptions'!$L$30/'Single Project Assumptions'!$L$14,0)</f>
        <v>0</v>
      </c>
      <c r="BF17" s="21">
        <f>IF(AND(BF$4&gt;='Single Project Assumptions'!$L$13,'Development Phase'!BF$4&lt;'Single Project Assumptions'!$L$15),-'Single Project Assumptions'!$L$30/'Single Project Assumptions'!$L$14,0)</f>
        <v>0</v>
      </c>
      <c r="BG17" s="21">
        <f>IF(AND(BG$4&gt;='Single Project Assumptions'!$L$13,'Development Phase'!BG$4&lt;'Single Project Assumptions'!$L$15),-'Single Project Assumptions'!$L$30/'Single Project Assumptions'!$L$14,0)</f>
        <v>0</v>
      </c>
      <c r="BH17" s="21">
        <f>IF(AND(BH$4&gt;='Single Project Assumptions'!$L$13,'Development Phase'!BH$4&lt;'Single Project Assumptions'!$L$15),-'Single Project Assumptions'!$L$30/'Single Project Assumptions'!$L$14,0)</f>
        <v>0</v>
      </c>
      <c r="BI17" s="21">
        <f>IF(AND(BI$4&gt;='Single Project Assumptions'!$L$13,'Development Phase'!BI$4&lt;'Single Project Assumptions'!$L$15),-'Single Project Assumptions'!$L$30/'Single Project Assumptions'!$L$14,0)</f>
        <v>0</v>
      </c>
      <c r="BJ17" s="21">
        <f>IF(AND(BJ$4&gt;='Single Project Assumptions'!$L$13,'Development Phase'!BJ$4&lt;'Single Project Assumptions'!$L$15),-'Single Project Assumptions'!$L$30/'Single Project Assumptions'!$L$14,0)</f>
        <v>0</v>
      </c>
      <c r="BK17" s="21">
        <f>IF(AND(BK$4&gt;='Single Project Assumptions'!$L$13,'Development Phase'!BK$4&lt;'Single Project Assumptions'!$L$15),-'Single Project Assumptions'!$L$30/'Single Project Assumptions'!$L$14,0)</f>
        <v>0</v>
      </c>
      <c r="BL17" s="21">
        <f>IF(AND(BL$4&gt;='Single Project Assumptions'!$L$13,'Development Phase'!BL$4&lt;'Single Project Assumptions'!$L$15),-'Single Project Assumptions'!$L$30/'Single Project Assumptions'!$L$14,0)</f>
        <v>0</v>
      </c>
      <c r="BM17" s="21">
        <f>IF(AND(BM$4&gt;='Single Project Assumptions'!$L$13,'Development Phase'!BM$4&lt;'Single Project Assumptions'!$L$15),-'Single Project Assumptions'!$L$30/'Single Project Assumptions'!$L$14,0)</f>
        <v>0</v>
      </c>
      <c r="BN17" s="21">
        <f>IF(AND(BN$4&gt;='Single Project Assumptions'!$L$13,'Development Phase'!BN$4&lt;'Single Project Assumptions'!$L$15),-'Single Project Assumptions'!$L$30/'Single Project Assumptions'!$L$14,0)</f>
        <v>0</v>
      </c>
      <c r="BO17" s="21">
        <f>IF(AND(BO$4&gt;='Single Project Assumptions'!$L$13,'Development Phase'!BO$4&lt;'Single Project Assumptions'!$L$15),-'Single Project Assumptions'!$L$30/'Single Project Assumptions'!$L$14,0)</f>
        <v>0</v>
      </c>
      <c r="BP17" s="21">
        <f>IF(AND(BP$4&gt;='Single Project Assumptions'!$L$13,'Development Phase'!BP$4&lt;'Single Project Assumptions'!$L$15),-'Single Project Assumptions'!$L$30/'Single Project Assumptions'!$L$14,0)</f>
        <v>0</v>
      </c>
      <c r="BQ17" s="21">
        <f>IF(AND(BQ$4&gt;='Single Project Assumptions'!$L$13,'Development Phase'!BQ$4&lt;'Single Project Assumptions'!$L$15),-'Single Project Assumptions'!$L$30/'Single Project Assumptions'!$L$14,0)</f>
        <v>0</v>
      </c>
      <c r="BR17" s="21">
        <f>IF(AND(BR$4&gt;='Single Project Assumptions'!$L$13,'Development Phase'!BR$4&lt;'Single Project Assumptions'!$L$15),-'Single Project Assumptions'!$L$30/'Single Project Assumptions'!$L$14,0)</f>
        <v>0</v>
      </c>
      <c r="BS17" s="21">
        <f>IF(AND(BS$4&gt;='Single Project Assumptions'!$L$13,'Development Phase'!BS$4&lt;'Single Project Assumptions'!$L$15),-'Single Project Assumptions'!$L$30/'Single Project Assumptions'!$L$14,0)</f>
        <v>0</v>
      </c>
      <c r="BT17" s="21">
        <f>IF(AND(BT$4&gt;='Single Project Assumptions'!$L$13,'Development Phase'!BT$4&lt;'Single Project Assumptions'!$L$15),-'Single Project Assumptions'!$L$30/'Single Project Assumptions'!$L$14,0)</f>
        <v>0</v>
      </c>
      <c r="BU17" s="21">
        <f>IF(AND(BU$4&gt;='Single Project Assumptions'!$L$13,'Development Phase'!BU$4&lt;'Single Project Assumptions'!$L$15),-'Single Project Assumptions'!$L$30/'Single Project Assumptions'!$L$14,0)</f>
        <v>0</v>
      </c>
      <c r="BV17" s="21">
        <f>IF(AND(BV$4&gt;='Single Project Assumptions'!$L$13,'Development Phase'!BV$4&lt;'Single Project Assumptions'!$L$15),-'Single Project Assumptions'!$L$30/'Single Project Assumptions'!$L$14,0)</f>
        <v>0</v>
      </c>
      <c r="BW17" s="21">
        <f>IF(AND(BW$4&gt;='Single Project Assumptions'!$L$13,'Development Phase'!BW$4&lt;'Single Project Assumptions'!$L$15),-'Single Project Assumptions'!$L$30/'Single Project Assumptions'!$L$14,0)</f>
        <v>0</v>
      </c>
      <c r="BX17" s="21">
        <f>IF(AND(BX$4&gt;='Single Project Assumptions'!$L$13,'Development Phase'!BX$4&lt;'Single Project Assumptions'!$L$15),-'Single Project Assumptions'!$L$30/'Single Project Assumptions'!$L$14,0)</f>
        <v>0</v>
      </c>
      <c r="BY17" s="21">
        <f>IF(AND(BY$4&gt;='Single Project Assumptions'!$L$13,'Development Phase'!BY$4&lt;'Single Project Assumptions'!$L$15),-'Single Project Assumptions'!$L$30/'Single Project Assumptions'!$L$14,0)</f>
        <v>0</v>
      </c>
      <c r="BZ17" s="21">
        <f>IF(AND(BZ$4&gt;='Single Project Assumptions'!$L$13,'Development Phase'!BZ$4&lt;'Single Project Assumptions'!$L$15),-'Single Project Assumptions'!$L$30/'Single Project Assumptions'!$L$14,0)</f>
        <v>0</v>
      </c>
      <c r="CA17" s="21">
        <f>IF(AND(CA$4&gt;='Single Project Assumptions'!$L$13,'Development Phase'!CA$4&lt;'Single Project Assumptions'!$L$15),-'Single Project Assumptions'!$L$30/'Single Project Assumptions'!$L$14,0)</f>
        <v>0</v>
      </c>
      <c r="CB17" s="21">
        <f>IF(AND(CB$4&gt;='Single Project Assumptions'!$L$13,'Development Phase'!CB$4&lt;'Single Project Assumptions'!$L$15),-'Single Project Assumptions'!$L$30/'Single Project Assumptions'!$L$14,0)</f>
        <v>0</v>
      </c>
      <c r="CC17" s="21">
        <f>IF(AND(CC$4&gt;='Single Project Assumptions'!$L$13,'Development Phase'!CC$4&lt;'Single Project Assumptions'!$L$15),-'Single Project Assumptions'!$L$30/'Single Project Assumptions'!$L$14,0)</f>
        <v>0</v>
      </c>
      <c r="CD17" s="21">
        <f>IF(AND(CD$4&gt;='Single Project Assumptions'!$L$13,'Development Phase'!CD$4&lt;'Single Project Assumptions'!$L$15),-'Single Project Assumptions'!$L$30/'Single Project Assumptions'!$L$14,0)</f>
        <v>0</v>
      </c>
      <c r="CE17" s="21">
        <f>IF(AND(CE$4&gt;='Single Project Assumptions'!$L$13,'Development Phase'!CE$4&lt;'Single Project Assumptions'!$L$15),-'Single Project Assumptions'!$L$30/'Single Project Assumptions'!$L$14,0)</f>
        <v>0</v>
      </c>
      <c r="CF17" s="21">
        <f>IF(AND(CF$4&gt;='Single Project Assumptions'!$L$13,'Development Phase'!CF$4&lt;'Single Project Assumptions'!$L$15),-'Single Project Assumptions'!$L$30/'Single Project Assumptions'!$L$14,0)</f>
        <v>0</v>
      </c>
      <c r="CG17" s="21">
        <f>IF(AND(CG$4&gt;='Single Project Assumptions'!$L$13,'Development Phase'!CG$4&lt;'Single Project Assumptions'!$L$15),-'Single Project Assumptions'!$L$30/'Single Project Assumptions'!$L$14,0)</f>
        <v>0</v>
      </c>
      <c r="CH17" s="21">
        <f>IF(AND(CH$4&gt;='Single Project Assumptions'!$L$13,'Development Phase'!CH$4&lt;'Single Project Assumptions'!$L$15),-'Single Project Assumptions'!$L$30/'Single Project Assumptions'!$L$14,0)</f>
        <v>0</v>
      </c>
      <c r="CI17" s="21">
        <f>IF(AND(CI$4&gt;='Single Project Assumptions'!$L$13,'Development Phase'!CI$4&lt;'Single Project Assumptions'!$L$15),-'Single Project Assumptions'!$L$30/'Single Project Assumptions'!$L$14,0)</f>
        <v>0</v>
      </c>
      <c r="CJ17" s="21">
        <f>IF(AND(CJ$4&gt;='Single Project Assumptions'!$L$13,'Development Phase'!CJ$4&lt;'Single Project Assumptions'!$L$15),-'Single Project Assumptions'!$L$30/'Single Project Assumptions'!$L$14,0)</f>
        <v>0</v>
      </c>
      <c r="CK17" s="21">
        <f>IF(AND(CK$4&gt;='Single Project Assumptions'!$L$13,'Development Phase'!CK$4&lt;'Single Project Assumptions'!$L$15),-'Single Project Assumptions'!$L$30/'Single Project Assumptions'!$L$14,0)</f>
        <v>0</v>
      </c>
      <c r="CL17" s="21">
        <f>IF(AND(CL$4&gt;='Single Project Assumptions'!$L$13,'Development Phase'!CL$4&lt;'Single Project Assumptions'!$L$15),-'Single Project Assumptions'!$L$30/'Single Project Assumptions'!$L$14,0)</f>
        <v>0</v>
      </c>
      <c r="CM17" s="21">
        <f>IF(AND(CM$4&gt;='Single Project Assumptions'!$L$13,'Development Phase'!CM$4&lt;'Single Project Assumptions'!$L$15),-'Single Project Assumptions'!$L$30/'Single Project Assumptions'!$L$14,0)</f>
        <v>0</v>
      </c>
      <c r="CN17" s="21">
        <f>IF(AND(CN$4&gt;='Single Project Assumptions'!$L$13,'Development Phase'!CN$4&lt;'Single Project Assumptions'!$L$15),-'Single Project Assumptions'!$L$30/'Single Project Assumptions'!$L$14,0)</f>
        <v>0</v>
      </c>
      <c r="CO17" s="21">
        <f>IF(AND(CO$4&gt;='Single Project Assumptions'!$L$13,'Development Phase'!CO$4&lt;'Single Project Assumptions'!$L$15),-'Single Project Assumptions'!$L$30/'Single Project Assumptions'!$L$14,0)</f>
        <v>0</v>
      </c>
      <c r="CP17" s="21">
        <f>IF(AND(CP$4&gt;='Single Project Assumptions'!$L$13,'Development Phase'!CP$4&lt;'Single Project Assumptions'!$L$15),-'Single Project Assumptions'!$L$30/'Single Project Assumptions'!$L$14,0)</f>
        <v>0</v>
      </c>
      <c r="CQ17" s="21">
        <f>IF(AND(CQ$4&gt;='Single Project Assumptions'!$L$13,'Development Phase'!CQ$4&lt;'Single Project Assumptions'!$L$15),-'Single Project Assumptions'!$L$30/'Single Project Assumptions'!$L$14,0)</f>
        <v>0</v>
      </c>
      <c r="CR17" s="21">
        <f>IF(AND(CR$4&gt;='Single Project Assumptions'!$L$13,'Development Phase'!CR$4&lt;'Single Project Assumptions'!$L$15),-'Single Project Assumptions'!$L$30/'Single Project Assumptions'!$L$14,0)</f>
        <v>0</v>
      </c>
      <c r="CS17" s="21">
        <f>IF(AND(CS$4&gt;='Single Project Assumptions'!$L$13,'Development Phase'!CS$4&lt;'Single Project Assumptions'!$L$15),-'Single Project Assumptions'!$L$30/'Single Project Assumptions'!$L$14,0)</f>
        <v>0</v>
      </c>
      <c r="CT17" s="21">
        <f>IF(AND(CT$4&gt;='Single Project Assumptions'!$L$13,'Development Phase'!CT$4&lt;'Single Project Assumptions'!$L$15),-'Single Project Assumptions'!$L$30/'Single Project Assumptions'!$L$14,0)</f>
        <v>0</v>
      </c>
      <c r="CU17" s="21">
        <f>IF(AND(CU$4&gt;='Single Project Assumptions'!$L$13,'Development Phase'!CU$4&lt;'Single Project Assumptions'!$L$15),-'Single Project Assumptions'!$L$30/'Single Project Assumptions'!$L$14,0)</f>
        <v>0</v>
      </c>
      <c r="CV17" s="21">
        <f>IF(AND(CV$4&gt;='Single Project Assumptions'!$L$13,'Development Phase'!CV$4&lt;'Single Project Assumptions'!$L$15),-'Single Project Assumptions'!$L$30/'Single Project Assumptions'!$L$14,0)</f>
        <v>0</v>
      </c>
      <c r="CW17" s="21">
        <f>IF(AND(CW$4&gt;='Single Project Assumptions'!$L$13,'Development Phase'!CW$4&lt;'Single Project Assumptions'!$L$15),-'Single Project Assumptions'!$L$30/'Single Project Assumptions'!$L$14,0)</f>
        <v>0</v>
      </c>
      <c r="CX17" s="21">
        <f>IF(AND(CX$4&gt;='Single Project Assumptions'!$L$13,'Development Phase'!CX$4&lt;'Single Project Assumptions'!$L$15),-'Single Project Assumptions'!$L$30/'Single Project Assumptions'!$L$14,0)</f>
        <v>0</v>
      </c>
      <c r="CY17" s="21">
        <f>IF(AND(CY$4&gt;='Single Project Assumptions'!$L$13,'Development Phase'!CY$4&lt;'Single Project Assumptions'!$L$15),-'Single Project Assumptions'!$L$30/'Single Project Assumptions'!$L$14,0)</f>
        <v>0</v>
      </c>
      <c r="CZ17" s="21">
        <f>IF(AND(CZ$4&gt;='Single Project Assumptions'!$L$13,'Development Phase'!CZ$4&lt;'Single Project Assumptions'!$L$15),-'Single Project Assumptions'!$L$30/'Single Project Assumptions'!$L$14,0)</f>
        <v>0</v>
      </c>
      <c r="DA17" s="21">
        <f>IF(AND(DA$4&gt;='Single Project Assumptions'!$L$13,'Development Phase'!DA$4&lt;'Single Project Assumptions'!$L$15),-'Single Project Assumptions'!$L$30/'Single Project Assumptions'!$L$14,0)</f>
        <v>0</v>
      </c>
      <c r="DB17" s="21">
        <f>IF(AND(DB$4&gt;='Single Project Assumptions'!$L$13,'Development Phase'!DB$4&lt;'Single Project Assumptions'!$L$15),-'Single Project Assumptions'!$L$30/'Single Project Assumptions'!$L$14,0)</f>
        <v>0</v>
      </c>
      <c r="DC17" s="21">
        <f>IF(AND(DC$4&gt;='Single Project Assumptions'!$L$13,'Development Phase'!DC$4&lt;'Single Project Assumptions'!$L$15),-'Single Project Assumptions'!$L$30/'Single Project Assumptions'!$L$14,0)</f>
        <v>0</v>
      </c>
      <c r="DD17" s="21">
        <f>IF(AND(DD$4&gt;='Single Project Assumptions'!$L$13,'Development Phase'!DD$4&lt;'Single Project Assumptions'!$L$15),-'Single Project Assumptions'!$L$30/'Single Project Assumptions'!$L$14,0)</f>
        <v>0</v>
      </c>
      <c r="DE17" s="21">
        <f>IF(AND(DE$4&gt;='Single Project Assumptions'!$L$13,'Development Phase'!DE$4&lt;'Single Project Assumptions'!$L$15),-'Single Project Assumptions'!$L$30/'Single Project Assumptions'!$L$14,0)</f>
        <v>0</v>
      </c>
      <c r="DF17" s="21">
        <f>IF(AND(DF$4&gt;='Single Project Assumptions'!$L$13,'Development Phase'!DF$4&lt;'Single Project Assumptions'!$L$15),-'Single Project Assumptions'!$L$30/'Single Project Assumptions'!$L$14,0)</f>
        <v>0</v>
      </c>
      <c r="DG17" s="21">
        <f>IF(AND(DG$4&gt;='Single Project Assumptions'!$L$13,'Development Phase'!DG$4&lt;'Single Project Assumptions'!$L$15),-'Single Project Assumptions'!$L$30/'Single Project Assumptions'!$L$14,0)</f>
        <v>0</v>
      </c>
      <c r="DH17" s="21">
        <f>IF(AND(DH$4&gt;='Single Project Assumptions'!$L$13,'Development Phase'!DH$4&lt;'Single Project Assumptions'!$L$15),-'Single Project Assumptions'!$L$30/'Single Project Assumptions'!$L$14,0)</f>
        <v>0</v>
      </c>
      <c r="DI17" s="21">
        <f>IF(AND(DI$4&gt;='Single Project Assumptions'!$L$13,'Development Phase'!DI$4&lt;'Single Project Assumptions'!$L$15),-'Single Project Assumptions'!$L$30/'Single Project Assumptions'!$L$14,0)</f>
        <v>0</v>
      </c>
      <c r="DJ17" s="21">
        <f>IF(AND(DJ$4&gt;='Single Project Assumptions'!$L$13,'Development Phase'!DJ$4&lt;'Single Project Assumptions'!$L$15),-'Single Project Assumptions'!$L$30/'Single Project Assumptions'!$L$14,0)</f>
        <v>0</v>
      </c>
      <c r="DK17" s="21">
        <f>IF(AND(DK$4&gt;='Single Project Assumptions'!$L$13,'Development Phase'!DK$4&lt;'Single Project Assumptions'!$L$15),-'Single Project Assumptions'!$L$30/'Single Project Assumptions'!$L$14,0)</f>
        <v>0</v>
      </c>
      <c r="DL17" s="21">
        <f>IF(AND(DL$4&gt;='Single Project Assumptions'!$L$13,'Development Phase'!DL$4&lt;'Single Project Assumptions'!$L$15),-'Single Project Assumptions'!$L$30/'Single Project Assumptions'!$L$14,0)</f>
        <v>0</v>
      </c>
      <c r="DM17" s="21">
        <f>IF(AND(DM$4&gt;='Single Project Assumptions'!$L$13,'Development Phase'!DM$4&lt;'Single Project Assumptions'!$L$15),-'Single Project Assumptions'!$L$30/'Single Project Assumptions'!$L$14,0)</f>
        <v>0</v>
      </c>
      <c r="DN17" s="21">
        <f>IF(AND(DN$4&gt;='Single Project Assumptions'!$L$13,'Development Phase'!DN$4&lt;'Single Project Assumptions'!$L$15),-'Single Project Assumptions'!$L$30/'Single Project Assumptions'!$L$14,0)</f>
        <v>0</v>
      </c>
      <c r="DO17" s="21">
        <f>IF(AND(DO$4&gt;='Single Project Assumptions'!$L$13,'Development Phase'!DO$4&lt;'Single Project Assumptions'!$L$15),-'Single Project Assumptions'!$L$30/'Single Project Assumptions'!$L$14,0)</f>
        <v>0</v>
      </c>
      <c r="DP17" s="21">
        <f>IF(AND(DP$4&gt;='Single Project Assumptions'!$L$13,'Development Phase'!DP$4&lt;'Single Project Assumptions'!$L$15),-'Single Project Assumptions'!$L$30/'Single Project Assumptions'!$L$14,0)</f>
        <v>0</v>
      </c>
      <c r="DQ17" s="21">
        <f>IF(AND(DQ$4&gt;='Single Project Assumptions'!$L$13,'Development Phase'!DQ$4&lt;'Single Project Assumptions'!$L$15),-'Single Project Assumptions'!$L$30/'Single Project Assumptions'!$L$14,0)</f>
        <v>0</v>
      </c>
      <c r="DR17" s="21">
        <f>IF(AND(DR$4&gt;='Single Project Assumptions'!$L$13,'Development Phase'!DR$4&lt;'Single Project Assumptions'!$L$15),-'Single Project Assumptions'!$L$30/'Single Project Assumptions'!$L$14,0)</f>
        <v>0</v>
      </c>
      <c r="DS17" s="21">
        <f>IF(AND(DS$4&gt;='Single Project Assumptions'!$L$13,'Development Phase'!DS$4&lt;'Single Project Assumptions'!$L$15),-'Single Project Assumptions'!$L$30/'Single Project Assumptions'!$L$14,0)</f>
        <v>0</v>
      </c>
      <c r="DT17" s="21">
        <f>IF(AND(DT$4&gt;='Single Project Assumptions'!$L$13,'Development Phase'!DT$4&lt;'Single Project Assumptions'!$L$15),-'Single Project Assumptions'!$L$30/'Single Project Assumptions'!$L$14,0)</f>
        <v>0</v>
      </c>
      <c r="DU17" s="21">
        <f>IF(AND(DU$4&gt;='Single Project Assumptions'!$L$13,'Development Phase'!DU$4&lt;'Single Project Assumptions'!$L$15),-'Single Project Assumptions'!$L$30/'Single Project Assumptions'!$L$14,0)</f>
        <v>0</v>
      </c>
    </row>
    <row r="18" spans="3:125" s="3" customFormat="1" ht="22.95" customHeight="1">
      <c r="C18" s="3" t="s">
        <v>279</v>
      </c>
      <c r="D18" s="25">
        <f t="shared" si="20"/>
        <v>-2250000</v>
      </c>
      <c r="E18" s="21">
        <f>IF(E$4='Single Project Assumptions'!$L$51,-'Single Project Assumptions'!$L$50,0)</f>
        <v>0</v>
      </c>
      <c r="F18" s="21">
        <f>IF(F$4='Single Project Assumptions'!$L$51,-'Single Project Assumptions'!$L$50,0)</f>
        <v>0</v>
      </c>
      <c r="G18" s="21">
        <f>IF(G$4='Single Project Assumptions'!$L$51,-'Single Project Assumptions'!$L$50,0)</f>
        <v>0</v>
      </c>
      <c r="H18" s="21">
        <f>IF(H$4='Single Project Assumptions'!$L$51,-'Single Project Assumptions'!$L$50,0)</f>
        <v>0</v>
      </c>
      <c r="I18" s="21">
        <f>IF(I$4='Single Project Assumptions'!$L$51,-'Single Project Assumptions'!$L$50,0)</f>
        <v>0</v>
      </c>
      <c r="J18" s="21">
        <f>IF(J$4='Single Project Assumptions'!$L$51,-'Single Project Assumptions'!$L$50,0)</f>
        <v>0</v>
      </c>
      <c r="K18" s="21">
        <f>IF(K$4='Single Project Assumptions'!$L$51,-'Single Project Assumptions'!$L$50,0)</f>
        <v>0</v>
      </c>
      <c r="L18" s="21">
        <f>IF(L$4='Single Project Assumptions'!$L$51,-'Single Project Assumptions'!$L$50,0)</f>
        <v>0</v>
      </c>
      <c r="M18" s="21">
        <f>IF(M$4='Single Project Assumptions'!$L$51,-'Single Project Assumptions'!$L$50,0)</f>
        <v>0</v>
      </c>
      <c r="N18" s="21">
        <f>IF(N$4='Single Project Assumptions'!$L$51,-'Single Project Assumptions'!$L$50,0)</f>
        <v>0</v>
      </c>
      <c r="O18" s="21">
        <f>IF(O$4='Single Project Assumptions'!$L$51,-'Single Project Assumptions'!$L$50,0)</f>
        <v>0</v>
      </c>
      <c r="P18" s="21">
        <f>IF(P$4='Single Project Assumptions'!$L$51,-'Single Project Assumptions'!$L$50,0)</f>
        <v>0</v>
      </c>
      <c r="Q18" s="21">
        <f>IF(Q$4='Single Project Assumptions'!$L$51,-'Single Project Assumptions'!$L$50,0)</f>
        <v>0</v>
      </c>
      <c r="R18" s="21">
        <f>IF(R$4='Single Project Assumptions'!$L$51,-'Single Project Assumptions'!$L$50,0)</f>
        <v>0</v>
      </c>
      <c r="S18" s="21">
        <f>IF(S$4='Single Project Assumptions'!$L$51,-'Single Project Assumptions'!$L$50,0)</f>
        <v>0</v>
      </c>
      <c r="T18" s="21">
        <f>IF(T$4='Single Project Assumptions'!$L$51,-'Single Project Assumptions'!$L$50,0)</f>
        <v>0</v>
      </c>
      <c r="U18" s="21">
        <f>IF(U$4='Single Project Assumptions'!$L$51,-'Single Project Assumptions'!$L$50,0)</f>
        <v>0</v>
      </c>
      <c r="V18" s="21">
        <f>IF(V$4='Single Project Assumptions'!$L$51,-'Single Project Assumptions'!$L$50,0)</f>
        <v>0</v>
      </c>
      <c r="W18" s="21">
        <f>IF(W$4='Single Project Assumptions'!$L$51,-'Single Project Assumptions'!$L$50,0)</f>
        <v>0</v>
      </c>
      <c r="X18" s="21">
        <f>IF(X$4='Single Project Assumptions'!$L$51,-'Single Project Assumptions'!$L$50,0)</f>
        <v>0</v>
      </c>
      <c r="Y18" s="21">
        <f>IF(Y$4='Single Project Assumptions'!$L$51,-'Single Project Assumptions'!$L$50,0)</f>
        <v>0</v>
      </c>
      <c r="Z18" s="21">
        <f>IF(Z$4='Single Project Assumptions'!$L$51,-'Single Project Assumptions'!$L$50,0)</f>
        <v>0</v>
      </c>
      <c r="AA18" s="21">
        <f>IF(AA$4='Single Project Assumptions'!$L$51,-'Single Project Assumptions'!$L$50,0)</f>
        <v>0</v>
      </c>
      <c r="AB18" s="21">
        <f>IF(AB$4='Single Project Assumptions'!$L$51,-'Single Project Assumptions'!$L$50,0)</f>
        <v>0</v>
      </c>
      <c r="AC18" s="21">
        <f>IF(AC$4='Single Project Assumptions'!$L$51,-'Single Project Assumptions'!$L$50,0)</f>
        <v>-2250000</v>
      </c>
      <c r="AD18" s="21">
        <f>IF(AD$4='Single Project Assumptions'!$L$51,-'Single Project Assumptions'!$L$50,0)</f>
        <v>0</v>
      </c>
      <c r="AE18" s="21">
        <f>IF(AE$4='Single Project Assumptions'!$L$51,-'Single Project Assumptions'!$L$50,0)</f>
        <v>0</v>
      </c>
      <c r="AF18" s="21">
        <f>IF(AF$4='Single Project Assumptions'!$L$51,-'Single Project Assumptions'!$L$50,0)</f>
        <v>0</v>
      </c>
      <c r="AG18" s="21">
        <f>IF(AG$4='Single Project Assumptions'!$L$51,-'Single Project Assumptions'!$L$50,0)</f>
        <v>0</v>
      </c>
      <c r="AH18" s="21">
        <f>IF(AH$4='Single Project Assumptions'!$L$51,-'Single Project Assumptions'!$L$50,0)</f>
        <v>0</v>
      </c>
      <c r="AI18" s="21">
        <f>IF(AI$4='Single Project Assumptions'!$L$51,-'Single Project Assumptions'!$L$50,0)</f>
        <v>0</v>
      </c>
      <c r="AJ18" s="21">
        <f>IF(AJ$4='Single Project Assumptions'!$L$51,-'Single Project Assumptions'!$L$50,0)</f>
        <v>0</v>
      </c>
      <c r="AK18" s="21">
        <f>IF(AK$4='Single Project Assumptions'!$L$51,-'Single Project Assumptions'!$L$50,0)</f>
        <v>0</v>
      </c>
      <c r="AL18" s="21">
        <f>IF(AL$4='Single Project Assumptions'!$L$51,-'Single Project Assumptions'!$L$50,0)</f>
        <v>0</v>
      </c>
      <c r="AM18" s="21">
        <f>IF(AM$4='Single Project Assumptions'!$L$51,-'Single Project Assumptions'!$L$50,0)</f>
        <v>0</v>
      </c>
      <c r="AN18" s="21">
        <f>IF(AN$4='Single Project Assumptions'!$L$51,-'Single Project Assumptions'!$L$50,0)</f>
        <v>0</v>
      </c>
      <c r="AO18" s="21">
        <f>IF(AO$4='Single Project Assumptions'!$L$51,-'Single Project Assumptions'!$L$50,0)</f>
        <v>0</v>
      </c>
      <c r="AP18" s="21">
        <f>IF(AP$4='Single Project Assumptions'!$L$51,-'Single Project Assumptions'!$L$50,0)</f>
        <v>0</v>
      </c>
      <c r="AQ18" s="21">
        <f>IF(AQ$4='Single Project Assumptions'!$L$51,-'Single Project Assumptions'!$L$50,0)</f>
        <v>0</v>
      </c>
      <c r="AR18" s="21">
        <f>IF(AR$4='Single Project Assumptions'!$L$51,-'Single Project Assumptions'!$L$50,0)</f>
        <v>0</v>
      </c>
      <c r="AS18" s="21">
        <f>IF(AS$4='Single Project Assumptions'!$L$51,-'Single Project Assumptions'!$L$50,0)</f>
        <v>0</v>
      </c>
      <c r="AT18" s="21">
        <f>IF(AT$4='Single Project Assumptions'!$L$51,-'Single Project Assumptions'!$L$50,0)</f>
        <v>0</v>
      </c>
      <c r="AU18" s="21">
        <f>IF(AU$4='Single Project Assumptions'!$L$51,-'Single Project Assumptions'!$L$50,0)</f>
        <v>0</v>
      </c>
      <c r="AV18" s="21">
        <f>IF(AV$4='Single Project Assumptions'!$L$51,-'Single Project Assumptions'!$L$50,0)</f>
        <v>0</v>
      </c>
      <c r="AW18" s="21">
        <f>IF(AW$4='Single Project Assumptions'!$L$51,-'Single Project Assumptions'!$L$50,0)</f>
        <v>0</v>
      </c>
      <c r="AX18" s="21">
        <f>IF(AX$4='Single Project Assumptions'!$L$51,-'Single Project Assumptions'!$L$50,0)</f>
        <v>0</v>
      </c>
      <c r="AY18" s="21">
        <f>IF(AY$4='Single Project Assumptions'!$L$51,-'Single Project Assumptions'!$L$50,0)</f>
        <v>0</v>
      </c>
      <c r="AZ18" s="21">
        <f>IF(AZ$4='Single Project Assumptions'!$L$51,-'Single Project Assumptions'!$L$50,0)</f>
        <v>0</v>
      </c>
      <c r="BA18" s="21">
        <f>IF(BA$4='Single Project Assumptions'!$L$51,-'Single Project Assumptions'!$L$50,0)</f>
        <v>0</v>
      </c>
      <c r="BB18" s="21">
        <f>IF(BB$4='Single Project Assumptions'!$L$51,-'Single Project Assumptions'!$L$50,0)</f>
        <v>0</v>
      </c>
      <c r="BC18" s="21">
        <f>IF(BC$4='Single Project Assumptions'!$L$51,-'Single Project Assumptions'!$L$50,0)</f>
        <v>0</v>
      </c>
      <c r="BD18" s="21">
        <f>IF(BD$4='Single Project Assumptions'!$L$51,-'Single Project Assumptions'!$L$50,0)</f>
        <v>0</v>
      </c>
      <c r="BE18" s="21">
        <f>IF(BE$4='Single Project Assumptions'!$L$51,-'Single Project Assumptions'!$L$50,0)</f>
        <v>0</v>
      </c>
      <c r="BF18" s="21">
        <f>IF(BF$4='Single Project Assumptions'!$L$51,-'Single Project Assumptions'!$L$50,0)</f>
        <v>0</v>
      </c>
      <c r="BG18" s="21">
        <f>IF(BG$4='Single Project Assumptions'!$L$51,-'Single Project Assumptions'!$L$50,0)</f>
        <v>0</v>
      </c>
      <c r="BH18" s="21">
        <f>IF(BH$4='Single Project Assumptions'!$L$51,-'Single Project Assumptions'!$L$50,0)</f>
        <v>0</v>
      </c>
      <c r="BI18" s="21">
        <f>IF(BI$4='Single Project Assumptions'!$L$51,-'Single Project Assumptions'!$L$50,0)</f>
        <v>0</v>
      </c>
      <c r="BJ18" s="21">
        <f>IF(BJ$4='Single Project Assumptions'!$L$51,-'Single Project Assumptions'!$L$50,0)</f>
        <v>0</v>
      </c>
      <c r="BK18" s="21">
        <f>IF(BK$4='Single Project Assumptions'!$L$51,-'Single Project Assumptions'!$L$50,0)</f>
        <v>0</v>
      </c>
      <c r="BL18" s="21">
        <f>IF(BL$4='Single Project Assumptions'!$L$51,-'Single Project Assumptions'!$L$50,0)</f>
        <v>0</v>
      </c>
      <c r="BM18" s="21">
        <f>IF(BM$4='Single Project Assumptions'!$L$51,-'Single Project Assumptions'!$L$50,0)</f>
        <v>0</v>
      </c>
      <c r="BN18" s="21">
        <f>IF(BN$4='Single Project Assumptions'!$L$51,-'Single Project Assumptions'!$L$50,0)</f>
        <v>0</v>
      </c>
      <c r="BO18" s="21">
        <f>IF(BO$4='Single Project Assumptions'!$L$51,-'Single Project Assumptions'!$L$50,0)</f>
        <v>0</v>
      </c>
      <c r="BP18" s="21">
        <f>IF(BP$4='Single Project Assumptions'!$L$51,-'Single Project Assumptions'!$L$50,0)</f>
        <v>0</v>
      </c>
      <c r="BQ18" s="21">
        <f>IF(BQ$4='Single Project Assumptions'!$L$51,-'Single Project Assumptions'!$L$50,0)</f>
        <v>0</v>
      </c>
      <c r="BR18" s="21">
        <f>IF(BR$4='Single Project Assumptions'!$L$51,-'Single Project Assumptions'!$L$50,0)</f>
        <v>0</v>
      </c>
      <c r="BS18" s="21">
        <f>IF(BS$4='Single Project Assumptions'!$L$51,-'Single Project Assumptions'!$L$50,0)</f>
        <v>0</v>
      </c>
      <c r="BT18" s="21">
        <f>IF(BT$4='Single Project Assumptions'!$L$51,-'Single Project Assumptions'!$L$50,0)</f>
        <v>0</v>
      </c>
      <c r="BU18" s="21">
        <f>IF(BU$4='Single Project Assumptions'!$L$51,-'Single Project Assumptions'!$L$50,0)</f>
        <v>0</v>
      </c>
      <c r="BV18" s="21">
        <f>IF(BV$4='Single Project Assumptions'!$L$51,-'Single Project Assumptions'!$L$50,0)</f>
        <v>0</v>
      </c>
      <c r="BW18" s="21">
        <f>IF(BW$4='Single Project Assumptions'!$L$51,-'Single Project Assumptions'!$L$50,0)</f>
        <v>0</v>
      </c>
      <c r="BX18" s="21">
        <f>IF(BX$4='Single Project Assumptions'!$L$51,-'Single Project Assumptions'!$L$50,0)</f>
        <v>0</v>
      </c>
      <c r="BY18" s="21">
        <f>IF(BY$4='Single Project Assumptions'!$L$51,-'Single Project Assumptions'!$L$50,0)</f>
        <v>0</v>
      </c>
      <c r="BZ18" s="21">
        <f>IF(BZ$4='Single Project Assumptions'!$L$51,-'Single Project Assumptions'!$L$50,0)</f>
        <v>0</v>
      </c>
      <c r="CA18" s="21">
        <f>IF(CA$4='Single Project Assumptions'!$L$51,-'Single Project Assumptions'!$L$50,0)</f>
        <v>0</v>
      </c>
      <c r="CB18" s="21">
        <f>IF(CB$4='Single Project Assumptions'!$L$51,-'Single Project Assumptions'!$L$50,0)</f>
        <v>0</v>
      </c>
      <c r="CC18" s="21">
        <f>IF(CC$4='Single Project Assumptions'!$L$51,-'Single Project Assumptions'!$L$50,0)</f>
        <v>0</v>
      </c>
      <c r="CD18" s="21">
        <f>IF(CD$4='Single Project Assumptions'!$L$51,-'Single Project Assumptions'!$L$50,0)</f>
        <v>0</v>
      </c>
      <c r="CE18" s="21">
        <f>IF(CE$4='Single Project Assumptions'!$L$51,-'Single Project Assumptions'!$L$50,0)</f>
        <v>0</v>
      </c>
      <c r="CF18" s="21">
        <f>IF(CF$4='Single Project Assumptions'!$L$51,-'Single Project Assumptions'!$L$50,0)</f>
        <v>0</v>
      </c>
      <c r="CG18" s="21">
        <f>IF(CG$4='Single Project Assumptions'!$L$51,-'Single Project Assumptions'!$L$50,0)</f>
        <v>0</v>
      </c>
      <c r="CH18" s="21">
        <f>IF(CH$4='Single Project Assumptions'!$L$51,-'Single Project Assumptions'!$L$50,0)</f>
        <v>0</v>
      </c>
      <c r="CI18" s="21">
        <f>IF(CI$4='Single Project Assumptions'!$L$51,-'Single Project Assumptions'!$L$50,0)</f>
        <v>0</v>
      </c>
      <c r="CJ18" s="21">
        <f>IF(CJ$4='Single Project Assumptions'!$L$51,-'Single Project Assumptions'!$L$50,0)</f>
        <v>0</v>
      </c>
      <c r="CK18" s="21">
        <f>IF(CK$4='Single Project Assumptions'!$L$51,-'Single Project Assumptions'!$L$50,0)</f>
        <v>0</v>
      </c>
      <c r="CL18" s="21">
        <f>IF(CL$4='Single Project Assumptions'!$L$51,-'Single Project Assumptions'!$L$50,0)</f>
        <v>0</v>
      </c>
      <c r="CM18" s="21">
        <f>IF(CM$4='Single Project Assumptions'!$L$51,-'Single Project Assumptions'!$L$50,0)</f>
        <v>0</v>
      </c>
      <c r="CN18" s="21">
        <f>IF(CN$4='Single Project Assumptions'!$L$51,-'Single Project Assumptions'!$L$50,0)</f>
        <v>0</v>
      </c>
      <c r="CO18" s="21">
        <f>IF(CO$4='Single Project Assumptions'!$L$51,-'Single Project Assumptions'!$L$50,0)</f>
        <v>0</v>
      </c>
      <c r="CP18" s="21">
        <f>IF(CP$4='Single Project Assumptions'!$L$51,-'Single Project Assumptions'!$L$50,0)</f>
        <v>0</v>
      </c>
      <c r="CQ18" s="21">
        <f>IF(CQ$4='Single Project Assumptions'!$L$51,-'Single Project Assumptions'!$L$50,0)</f>
        <v>0</v>
      </c>
      <c r="CR18" s="21">
        <f>IF(CR$4='Single Project Assumptions'!$L$51,-'Single Project Assumptions'!$L$50,0)</f>
        <v>0</v>
      </c>
      <c r="CS18" s="21">
        <f>IF(CS$4='Single Project Assumptions'!$L$51,-'Single Project Assumptions'!$L$50,0)</f>
        <v>0</v>
      </c>
      <c r="CT18" s="21">
        <f>IF(CT$4='Single Project Assumptions'!$L$51,-'Single Project Assumptions'!$L$50,0)</f>
        <v>0</v>
      </c>
      <c r="CU18" s="21">
        <f>IF(CU$4='Single Project Assumptions'!$L$51,-'Single Project Assumptions'!$L$50,0)</f>
        <v>0</v>
      </c>
      <c r="CV18" s="21">
        <f>IF(CV$4='Single Project Assumptions'!$L$51,-'Single Project Assumptions'!$L$50,0)</f>
        <v>0</v>
      </c>
      <c r="CW18" s="21">
        <f>IF(CW$4='Single Project Assumptions'!$L$51,-'Single Project Assumptions'!$L$50,0)</f>
        <v>0</v>
      </c>
      <c r="CX18" s="21">
        <f>IF(CX$4='Single Project Assumptions'!$L$51,-'Single Project Assumptions'!$L$50,0)</f>
        <v>0</v>
      </c>
      <c r="CY18" s="21">
        <f>IF(CY$4='Single Project Assumptions'!$L$51,-'Single Project Assumptions'!$L$50,0)</f>
        <v>0</v>
      </c>
      <c r="CZ18" s="21">
        <f>IF(CZ$4='Single Project Assumptions'!$L$51,-'Single Project Assumptions'!$L$50,0)</f>
        <v>0</v>
      </c>
      <c r="DA18" s="21">
        <f>IF(DA$4='Single Project Assumptions'!$L$51,-'Single Project Assumptions'!$L$50,0)</f>
        <v>0</v>
      </c>
      <c r="DB18" s="21">
        <f>IF(DB$4='Single Project Assumptions'!$L$51,-'Single Project Assumptions'!$L$50,0)</f>
        <v>0</v>
      </c>
      <c r="DC18" s="21">
        <f>IF(DC$4='Single Project Assumptions'!$L$51,-'Single Project Assumptions'!$L$50,0)</f>
        <v>0</v>
      </c>
      <c r="DD18" s="21">
        <f>IF(DD$4='Single Project Assumptions'!$L$51,-'Single Project Assumptions'!$L$50,0)</f>
        <v>0</v>
      </c>
      <c r="DE18" s="21">
        <f>IF(DE$4='Single Project Assumptions'!$L$51,-'Single Project Assumptions'!$L$50,0)</f>
        <v>0</v>
      </c>
      <c r="DF18" s="21">
        <f>IF(DF$4='Single Project Assumptions'!$L$51,-'Single Project Assumptions'!$L$50,0)</f>
        <v>0</v>
      </c>
      <c r="DG18" s="21">
        <f>IF(DG$4='Single Project Assumptions'!$L$51,-'Single Project Assumptions'!$L$50,0)</f>
        <v>0</v>
      </c>
      <c r="DH18" s="21">
        <f>IF(DH$4='Single Project Assumptions'!$L$51,-'Single Project Assumptions'!$L$50,0)</f>
        <v>0</v>
      </c>
      <c r="DI18" s="21">
        <f>IF(DI$4='Single Project Assumptions'!$L$51,-'Single Project Assumptions'!$L$50,0)</f>
        <v>0</v>
      </c>
      <c r="DJ18" s="21">
        <f>IF(DJ$4='Single Project Assumptions'!$L$51,-'Single Project Assumptions'!$L$50,0)</f>
        <v>0</v>
      </c>
      <c r="DK18" s="21">
        <f>IF(DK$4='Single Project Assumptions'!$L$51,-'Single Project Assumptions'!$L$50,0)</f>
        <v>0</v>
      </c>
      <c r="DL18" s="21">
        <f>IF(DL$4='Single Project Assumptions'!$L$51,-'Single Project Assumptions'!$L$50,0)</f>
        <v>0</v>
      </c>
      <c r="DM18" s="21">
        <f>IF(DM$4='Single Project Assumptions'!$L$51,-'Single Project Assumptions'!$L$50,0)</f>
        <v>0</v>
      </c>
      <c r="DN18" s="21">
        <f>IF(DN$4='Single Project Assumptions'!$L$51,-'Single Project Assumptions'!$L$50,0)</f>
        <v>0</v>
      </c>
      <c r="DO18" s="21">
        <f>IF(DO$4='Single Project Assumptions'!$L$51,-'Single Project Assumptions'!$L$50,0)</f>
        <v>0</v>
      </c>
      <c r="DP18" s="21">
        <f>IF(DP$4='Single Project Assumptions'!$L$51,-'Single Project Assumptions'!$L$50,0)</f>
        <v>0</v>
      </c>
      <c r="DQ18" s="21">
        <f>IF(DQ$4='Single Project Assumptions'!$L$51,-'Single Project Assumptions'!$L$50,0)</f>
        <v>0</v>
      </c>
      <c r="DR18" s="21">
        <f>IF(DR$4='Single Project Assumptions'!$L$51,-'Single Project Assumptions'!$L$50,0)</f>
        <v>0</v>
      </c>
      <c r="DS18" s="21">
        <f>IF(DS$4='Single Project Assumptions'!$L$51,-'Single Project Assumptions'!$L$50,0)</f>
        <v>0</v>
      </c>
      <c r="DT18" s="21">
        <f>IF(DT$4='Single Project Assumptions'!$L$51,-'Single Project Assumptions'!$L$50,0)</f>
        <v>0</v>
      </c>
      <c r="DU18" s="21">
        <f>IF(DU$4='Single Project Assumptions'!$L$51,-'Single Project Assumptions'!$L$50,0)</f>
        <v>0</v>
      </c>
    </row>
    <row r="19" spans="3:125" s="3" customFormat="1" ht="22.95" customHeight="1">
      <c r="C19" s="3" t="s">
        <v>280</v>
      </c>
      <c r="D19" s="25">
        <f t="shared" si="20"/>
        <v>-394054.6875</v>
      </c>
      <c r="E19" s="21">
        <f>IF(AND(E$4&gt;='Single Project Assumptions'!$L$57,'Development Phase'!E$4&lt;'Single Project Assumptions'!$L$58),(-'Single Project Assumptions'!$L$56/'Single Project Assumptions'!$L$14),0)</f>
        <v>0</v>
      </c>
      <c r="F19" s="21">
        <f>IF(AND(F$4&gt;='Single Project Assumptions'!$L$57,'Development Phase'!F$4&lt;'Single Project Assumptions'!$L$58),(-'Single Project Assumptions'!$L$56/'Single Project Assumptions'!$L$14),0)</f>
        <v>0</v>
      </c>
      <c r="G19" s="21">
        <f>IF(AND(G$4&gt;='Single Project Assumptions'!$L$57,'Development Phase'!G$4&lt;'Single Project Assumptions'!$L$58),(-'Single Project Assumptions'!$L$56/'Single Project Assumptions'!$L$14),0)</f>
        <v>0</v>
      </c>
      <c r="H19" s="21">
        <f>IF(AND(H$4&gt;='Single Project Assumptions'!$L$57,'Development Phase'!H$4&lt;'Single Project Assumptions'!$L$58),(-'Single Project Assumptions'!$L$56/'Single Project Assumptions'!$L$14),0)</f>
        <v>0</v>
      </c>
      <c r="I19" s="21">
        <f>IF(AND(I$4&gt;='Single Project Assumptions'!$L$57,'Development Phase'!I$4&lt;'Single Project Assumptions'!$L$58),(-'Single Project Assumptions'!$L$56/'Single Project Assumptions'!$L$14),0)</f>
        <v>0</v>
      </c>
      <c r="J19" s="21">
        <f>IF(AND(J$4&gt;='Single Project Assumptions'!$L$57,'Development Phase'!J$4&lt;'Single Project Assumptions'!$L$58),(-'Single Project Assumptions'!$L$56/'Single Project Assumptions'!$L$14),0)</f>
        <v>0</v>
      </c>
      <c r="K19" s="21">
        <f>IF(AND(K$4&gt;='Single Project Assumptions'!$L$57,'Development Phase'!K$4&lt;'Single Project Assumptions'!$L$58),(-'Single Project Assumptions'!$L$56/'Single Project Assumptions'!$L$14),0)</f>
        <v>0</v>
      </c>
      <c r="L19" s="21">
        <f>IF(AND(L$4&gt;='Single Project Assumptions'!$L$57,'Development Phase'!L$4&lt;'Single Project Assumptions'!$L$58),(-'Single Project Assumptions'!$L$56/'Single Project Assumptions'!$L$14),0)</f>
        <v>0</v>
      </c>
      <c r="M19" s="21">
        <f>IF(AND(M$4&gt;='Single Project Assumptions'!$L$57,'Development Phase'!M$4&lt;'Single Project Assumptions'!$L$58),(-'Single Project Assumptions'!$L$56/'Single Project Assumptions'!$L$14),0)</f>
        <v>0</v>
      </c>
      <c r="N19" s="21">
        <f>IF(AND(N$4&gt;='Single Project Assumptions'!$L$57,'Development Phase'!N$4&lt;'Single Project Assumptions'!$L$58),(-'Single Project Assumptions'!$L$56/'Single Project Assumptions'!$L$14),0)</f>
        <v>0</v>
      </c>
      <c r="O19" s="21">
        <f>IF(AND(O$4&gt;='Single Project Assumptions'!$L$57,'Development Phase'!O$4&lt;'Single Project Assumptions'!$L$58),(-'Single Project Assumptions'!$L$56/'Single Project Assumptions'!$L$14),0)</f>
        <v>0</v>
      </c>
      <c r="P19" s="21">
        <f>IF(AND(P$4&gt;='Single Project Assumptions'!$L$57,'Development Phase'!P$4&lt;'Single Project Assumptions'!$L$58),(-'Single Project Assumptions'!$L$56/'Single Project Assumptions'!$L$14),0)</f>
        <v>0</v>
      </c>
      <c r="Q19" s="21">
        <f>IF(AND(Q$4&gt;='Single Project Assumptions'!$L$57,'Development Phase'!Q$4&lt;'Single Project Assumptions'!$L$58),(-'Single Project Assumptions'!$L$56/'Single Project Assumptions'!$L$14),0)</f>
        <v>0</v>
      </c>
      <c r="R19" s="21">
        <f>IF(AND(R$4&gt;='Single Project Assumptions'!$L$57,'Development Phase'!R$4&lt;'Single Project Assumptions'!$L$58),(-'Single Project Assumptions'!$L$56/'Single Project Assumptions'!$L$14),0)</f>
        <v>0</v>
      </c>
      <c r="S19" s="21">
        <f>IF(AND(S$4&gt;='Single Project Assumptions'!$L$57,'Development Phase'!S$4&lt;'Single Project Assumptions'!$L$58),(-'Single Project Assumptions'!$L$56/'Single Project Assumptions'!$L$14),0)</f>
        <v>0</v>
      </c>
      <c r="T19" s="21">
        <f>IF(AND(T$4&gt;='Single Project Assumptions'!$L$57,'Development Phase'!T$4&lt;'Single Project Assumptions'!$L$58),(-'Single Project Assumptions'!$L$56/'Single Project Assumptions'!$L$14),0)</f>
        <v>0</v>
      </c>
      <c r="U19" s="21">
        <f>IF(AND(U$4&gt;='Single Project Assumptions'!$L$57,'Development Phase'!U$4&lt;'Single Project Assumptions'!$L$58),(-'Single Project Assumptions'!$L$56/'Single Project Assumptions'!$L$14),0)</f>
        <v>0</v>
      </c>
      <c r="V19" s="21">
        <f>IF(AND(V$4&gt;='Single Project Assumptions'!$L$57,'Development Phase'!V$4&lt;'Single Project Assumptions'!$L$58),(-'Single Project Assumptions'!$L$56/'Single Project Assumptions'!$L$14),0)</f>
        <v>0</v>
      </c>
      <c r="W19" s="21">
        <f>IF(AND(W$4&gt;='Single Project Assumptions'!$L$57,'Development Phase'!W$4&lt;'Single Project Assumptions'!$L$58),(-'Single Project Assumptions'!$L$56/'Single Project Assumptions'!$L$14),0)</f>
        <v>0</v>
      </c>
      <c r="X19" s="21">
        <f>IF(AND(X$4&gt;='Single Project Assumptions'!$L$57,'Development Phase'!X$4&lt;'Single Project Assumptions'!$L$58),(-'Single Project Assumptions'!$L$56/'Single Project Assumptions'!$L$14),0)</f>
        <v>0</v>
      </c>
      <c r="Y19" s="21">
        <f>IF(AND(Y$4&gt;='Single Project Assumptions'!$L$57,'Development Phase'!Y$4&lt;'Single Project Assumptions'!$L$58),(-'Single Project Assumptions'!$L$56/'Single Project Assumptions'!$L$14),0)</f>
        <v>0</v>
      </c>
      <c r="Z19" s="21">
        <f>IF(AND(Z$4&gt;='Single Project Assumptions'!$L$57,'Development Phase'!Z$4&lt;'Single Project Assumptions'!$L$58),(-'Single Project Assumptions'!$L$56/'Single Project Assumptions'!$L$14),0)</f>
        <v>0</v>
      </c>
      <c r="AA19" s="21">
        <f>IF(AND(AA$4&gt;='Single Project Assumptions'!$L$57,'Development Phase'!AA$4&lt;'Single Project Assumptions'!$L$58),(-'Single Project Assumptions'!$L$56/'Single Project Assumptions'!$L$14),0)</f>
        <v>0</v>
      </c>
      <c r="AB19" s="21">
        <f>IF(AND(AB$4&gt;='Single Project Assumptions'!$L$57,'Development Phase'!AB$4&lt;'Single Project Assumptions'!$L$58),(-'Single Project Assumptions'!$L$56/'Single Project Assumptions'!$L$14),0)</f>
        <v>0</v>
      </c>
      <c r="AC19" s="21">
        <f>IF(AND(AC$4&gt;='Single Project Assumptions'!$L$57,'Development Phase'!AC$4&lt;'Single Project Assumptions'!$L$58),(-'Single Project Assumptions'!$L$56/'Single Project Assumptions'!$L$14),0)</f>
        <v>0</v>
      </c>
      <c r="AD19" s="21">
        <f>IF(AND(AD$4&gt;='Single Project Assumptions'!$L$57,'Development Phase'!AD$4&lt;'Single Project Assumptions'!$L$58),(-'Single Project Assumptions'!$L$56/'Single Project Assumptions'!$L$14),0)</f>
        <v>0</v>
      </c>
      <c r="AE19" s="21">
        <f>IF(AND(AE$4&gt;='Single Project Assumptions'!$L$57,'Development Phase'!AE$4&lt;'Single Project Assumptions'!$L$58),(-'Single Project Assumptions'!$L$56/'Single Project Assumptions'!$L$14),0)</f>
        <v>0</v>
      </c>
      <c r="AF19" s="21">
        <f>IF(AND(AF$4&gt;='Single Project Assumptions'!$L$57,'Development Phase'!AF$4&lt;'Single Project Assumptions'!$L$58),(-'Single Project Assumptions'!$L$56/'Single Project Assumptions'!$L$14),0)</f>
        <v>-16418.9453125</v>
      </c>
      <c r="AG19" s="21">
        <f>IF(AND(AG$4&gt;='Single Project Assumptions'!$L$57,'Development Phase'!AG$4&lt;'Single Project Assumptions'!$L$58),(-'Single Project Assumptions'!$L$56/'Single Project Assumptions'!$L$14),0)</f>
        <v>-16418.9453125</v>
      </c>
      <c r="AH19" s="21">
        <f>IF(AND(AH$4&gt;='Single Project Assumptions'!$L$57,'Development Phase'!AH$4&lt;'Single Project Assumptions'!$L$58),(-'Single Project Assumptions'!$L$56/'Single Project Assumptions'!$L$14),0)</f>
        <v>-16418.9453125</v>
      </c>
      <c r="AI19" s="21">
        <f>IF(AND(AI$4&gt;='Single Project Assumptions'!$L$57,'Development Phase'!AI$4&lt;'Single Project Assumptions'!$L$58),(-'Single Project Assumptions'!$L$56/'Single Project Assumptions'!$L$14),0)</f>
        <v>-16418.9453125</v>
      </c>
      <c r="AJ19" s="21">
        <f>IF(AND(AJ$4&gt;='Single Project Assumptions'!$L$57,'Development Phase'!AJ$4&lt;'Single Project Assumptions'!$L$58),(-'Single Project Assumptions'!$L$56/'Single Project Assumptions'!$L$14),0)</f>
        <v>-16418.9453125</v>
      </c>
      <c r="AK19" s="21">
        <f>IF(AND(AK$4&gt;='Single Project Assumptions'!$L$57,'Development Phase'!AK$4&lt;'Single Project Assumptions'!$L$58),(-'Single Project Assumptions'!$L$56/'Single Project Assumptions'!$L$14),0)</f>
        <v>-16418.9453125</v>
      </c>
      <c r="AL19" s="21">
        <f>IF(AND(AL$4&gt;='Single Project Assumptions'!$L$57,'Development Phase'!AL$4&lt;'Single Project Assumptions'!$L$58),(-'Single Project Assumptions'!$L$56/'Single Project Assumptions'!$L$14),0)</f>
        <v>-16418.9453125</v>
      </c>
      <c r="AM19" s="21">
        <f>IF(AND(AM$4&gt;='Single Project Assumptions'!$L$57,'Development Phase'!AM$4&lt;'Single Project Assumptions'!$L$58),(-'Single Project Assumptions'!$L$56/'Single Project Assumptions'!$L$14),0)</f>
        <v>-16418.9453125</v>
      </c>
      <c r="AN19" s="21">
        <f>IF(AND(AN$4&gt;='Single Project Assumptions'!$L$57,'Development Phase'!AN$4&lt;'Single Project Assumptions'!$L$58),(-'Single Project Assumptions'!$L$56/'Single Project Assumptions'!$L$14),0)</f>
        <v>-16418.9453125</v>
      </c>
      <c r="AO19" s="21">
        <f>IF(AND(AO$4&gt;='Single Project Assumptions'!$L$57,'Development Phase'!AO$4&lt;'Single Project Assumptions'!$L$58),(-'Single Project Assumptions'!$L$56/'Single Project Assumptions'!$L$14),0)</f>
        <v>-16418.9453125</v>
      </c>
      <c r="AP19" s="21">
        <f>IF(AND(AP$4&gt;='Single Project Assumptions'!$L$57,'Development Phase'!AP$4&lt;'Single Project Assumptions'!$L$58),(-'Single Project Assumptions'!$L$56/'Single Project Assumptions'!$L$14),0)</f>
        <v>-16418.9453125</v>
      </c>
      <c r="AQ19" s="21">
        <f>IF(AND(AQ$4&gt;='Single Project Assumptions'!$L$57,'Development Phase'!AQ$4&lt;'Single Project Assumptions'!$L$58),(-'Single Project Assumptions'!$L$56/'Single Project Assumptions'!$L$14),0)</f>
        <v>-16418.9453125</v>
      </c>
      <c r="AR19" s="21">
        <f>IF(AND(AR$4&gt;='Single Project Assumptions'!$L$57,'Development Phase'!AR$4&lt;'Single Project Assumptions'!$L$58),(-'Single Project Assumptions'!$L$56/'Single Project Assumptions'!$L$14),0)</f>
        <v>-16418.9453125</v>
      </c>
      <c r="AS19" s="21">
        <f>IF(AND(AS$4&gt;='Single Project Assumptions'!$L$57,'Development Phase'!AS$4&lt;'Single Project Assumptions'!$L$58),(-'Single Project Assumptions'!$L$56/'Single Project Assumptions'!$L$14),0)</f>
        <v>-16418.9453125</v>
      </c>
      <c r="AT19" s="21">
        <f>IF(AND(AT$4&gt;='Single Project Assumptions'!$L$57,'Development Phase'!AT$4&lt;'Single Project Assumptions'!$L$58),(-'Single Project Assumptions'!$L$56/'Single Project Assumptions'!$L$14),0)</f>
        <v>-16418.9453125</v>
      </c>
      <c r="AU19" s="21">
        <f>IF(AND(AU$4&gt;='Single Project Assumptions'!$L$57,'Development Phase'!AU$4&lt;'Single Project Assumptions'!$L$58),(-'Single Project Assumptions'!$L$56/'Single Project Assumptions'!$L$14),0)</f>
        <v>-16418.9453125</v>
      </c>
      <c r="AV19" s="21">
        <f>IF(AND(AV$4&gt;='Single Project Assumptions'!$L$57,'Development Phase'!AV$4&lt;'Single Project Assumptions'!$L$58),(-'Single Project Assumptions'!$L$56/'Single Project Assumptions'!$L$14),0)</f>
        <v>-16418.9453125</v>
      </c>
      <c r="AW19" s="21">
        <f>IF(AND(AW$4&gt;='Single Project Assumptions'!$L$57,'Development Phase'!AW$4&lt;'Single Project Assumptions'!$L$58),(-'Single Project Assumptions'!$L$56/'Single Project Assumptions'!$L$14),0)</f>
        <v>-16418.9453125</v>
      </c>
      <c r="AX19" s="21">
        <f>IF(AND(AX$4&gt;='Single Project Assumptions'!$L$57,'Development Phase'!AX$4&lt;'Single Project Assumptions'!$L$58),(-'Single Project Assumptions'!$L$56/'Single Project Assumptions'!$L$14),0)</f>
        <v>-16418.9453125</v>
      </c>
      <c r="AY19" s="21">
        <f>IF(AND(AY$4&gt;='Single Project Assumptions'!$L$57,'Development Phase'!AY$4&lt;'Single Project Assumptions'!$L$58),(-'Single Project Assumptions'!$L$56/'Single Project Assumptions'!$L$14),0)</f>
        <v>-16418.9453125</v>
      </c>
      <c r="AZ19" s="21">
        <f>IF(AND(AZ$4&gt;='Single Project Assumptions'!$L$57,'Development Phase'!AZ$4&lt;'Single Project Assumptions'!$L$58),(-'Single Project Assumptions'!$L$56/'Single Project Assumptions'!$L$14),0)</f>
        <v>-16418.9453125</v>
      </c>
      <c r="BA19" s="21">
        <f>IF(AND(BA$4&gt;='Single Project Assumptions'!$L$57,'Development Phase'!BA$4&lt;'Single Project Assumptions'!$L$58),(-'Single Project Assumptions'!$L$56/'Single Project Assumptions'!$L$14),0)</f>
        <v>-16418.9453125</v>
      </c>
      <c r="BB19" s="21">
        <f>IF(AND(BB$4&gt;='Single Project Assumptions'!$L$57,'Development Phase'!BB$4&lt;'Single Project Assumptions'!$L$58),(-'Single Project Assumptions'!$L$56/'Single Project Assumptions'!$L$14),0)</f>
        <v>-16418.9453125</v>
      </c>
      <c r="BC19" s="21">
        <f>IF(AND(BC$4&gt;='Single Project Assumptions'!$L$57,'Development Phase'!BC$4&lt;'Single Project Assumptions'!$L$58),(-'Single Project Assumptions'!$L$56/'Single Project Assumptions'!$L$14),0)</f>
        <v>-16418.9453125</v>
      </c>
      <c r="BD19" s="21">
        <f>IF(AND(BD$4&gt;='Single Project Assumptions'!$L$57,'Development Phase'!BD$4&lt;'Single Project Assumptions'!$L$58),(-'Single Project Assumptions'!$L$56/'Single Project Assumptions'!$L$14),0)</f>
        <v>0</v>
      </c>
      <c r="BE19" s="21">
        <f>IF(AND(BE$4&gt;='Single Project Assumptions'!$L$57,'Development Phase'!BE$4&lt;'Single Project Assumptions'!$L$58),(-'Single Project Assumptions'!$L$56/'Single Project Assumptions'!$L$14),0)</f>
        <v>0</v>
      </c>
      <c r="BF19" s="21">
        <f>IF(AND(BF$4&gt;='Single Project Assumptions'!$L$57,'Development Phase'!BF$4&lt;'Single Project Assumptions'!$L$58),(-'Single Project Assumptions'!$L$56/'Single Project Assumptions'!$L$14),0)</f>
        <v>0</v>
      </c>
      <c r="BG19" s="21">
        <f>IF(AND(BG$4&gt;='Single Project Assumptions'!$L$57,'Development Phase'!BG$4&lt;'Single Project Assumptions'!$L$58),(-'Single Project Assumptions'!$L$56/'Single Project Assumptions'!$L$14),0)</f>
        <v>0</v>
      </c>
      <c r="BH19" s="21">
        <f>IF(AND(BH$4&gt;='Single Project Assumptions'!$L$57,'Development Phase'!BH$4&lt;'Single Project Assumptions'!$L$58),(-'Single Project Assumptions'!$L$56/'Single Project Assumptions'!$L$14),0)</f>
        <v>0</v>
      </c>
      <c r="BI19" s="21">
        <f>IF(AND(BI$4&gt;='Single Project Assumptions'!$L$57,'Development Phase'!BI$4&lt;'Single Project Assumptions'!$L$58),(-'Single Project Assumptions'!$L$56/'Single Project Assumptions'!$L$14),0)</f>
        <v>0</v>
      </c>
      <c r="BJ19" s="21">
        <f>IF(AND(BJ$4&gt;='Single Project Assumptions'!$L$57,'Development Phase'!BJ$4&lt;'Single Project Assumptions'!$L$58),(-'Single Project Assumptions'!$L$56/'Single Project Assumptions'!$L$14),0)</f>
        <v>0</v>
      </c>
      <c r="BK19" s="21">
        <f>IF(AND(BK$4&gt;='Single Project Assumptions'!$L$57,'Development Phase'!BK$4&lt;'Single Project Assumptions'!$L$58),(-'Single Project Assumptions'!$L$56/'Single Project Assumptions'!$L$14),0)</f>
        <v>0</v>
      </c>
      <c r="BL19" s="21">
        <f>IF(AND(BL$4&gt;='Single Project Assumptions'!$L$57,'Development Phase'!BL$4&lt;'Single Project Assumptions'!$L$58),(-'Single Project Assumptions'!$L$56/'Single Project Assumptions'!$L$14),0)</f>
        <v>0</v>
      </c>
      <c r="BM19" s="21">
        <f>IF(AND(BM$4&gt;='Single Project Assumptions'!$L$57,'Development Phase'!BM$4&lt;'Single Project Assumptions'!$L$58),(-'Single Project Assumptions'!$L$56/'Single Project Assumptions'!$L$14),0)</f>
        <v>0</v>
      </c>
      <c r="BN19" s="21">
        <f>IF(AND(BN$4&gt;='Single Project Assumptions'!$L$57,'Development Phase'!BN$4&lt;'Single Project Assumptions'!$L$58),(-'Single Project Assumptions'!$L$56/'Single Project Assumptions'!$L$14),0)</f>
        <v>0</v>
      </c>
      <c r="BO19" s="21">
        <f>IF(AND(BO$4&gt;='Single Project Assumptions'!$L$57,'Development Phase'!BO$4&lt;'Single Project Assumptions'!$L$58),(-'Single Project Assumptions'!$L$56/'Single Project Assumptions'!$L$14),0)</f>
        <v>0</v>
      </c>
      <c r="BP19" s="21">
        <f>IF(AND(BP$4&gt;='Single Project Assumptions'!$L$57,'Development Phase'!BP$4&lt;'Single Project Assumptions'!$L$58),(-'Single Project Assumptions'!$L$56/'Single Project Assumptions'!$L$14),0)</f>
        <v>0</v>
      </c>
      <c r="BQ19" s="21">
        <f>IF(AND(BQ$4&gt;='Single Project Assumptions'!$L$57,'Development Phase'!BQ$4&lt;'Single Project Assumptions'!$L$58),(-'Single Project Assumptions'!$L$56/'Single Project Assumptions'!$L$14),0)</f>
        <v>0</v>
      </c>
      <c r="BR19" s="21">
        <f>IF(AND(BR$4&gt;='Single Project Assumptions'!$L$57,'Development Phase'!BR$4&lt;'Single Project Assumptions'!$L$58),(-'Single Project Assumptions'!$L$56/'Single Project Assumptions'!$L$14),0)</f>
        <v>0</v>
      </c>
      <c r="BS19" s="21">
        <f>IF(AND(BS$4&gt;='Single Project Assumptions'!$L$57,'Development Phase'!BS$4&lt;'Single Project Assumptions'!$L$58),(-'Single Project Assumptions'!$L$56/'Single Project Assumptions'!$L$14),0)</f>
        <v>0</v>
      </c>
      <c r="BT19" s="21">
        <f>IF(AND(BT$4&gt;='Single Project Assumptions'!$L$57,'Development Phase'!BT$4&lt;'Single Project Assumptions'!$L$58),(-'Single Project Assumptions'!$L$56/'Single Project Assumptions'!$L$14),0)</f>
        <v>0</v>
      </c>
      <c r="BU19" s="21">
        <f>IF(AND(BU$4&gt;='Single Project Assumptions'!$L$57,'Development Phase'!BU$4&lt;'Single Project Assumptions'!$L$58),(-'Single Project Assumptions'!$L$56/'Single Project Assumptions'!$L$14),0)</f>
        <v>0</v>
      </c>
      <c r="BV19" s="21">
        <f>IF(AND(BV$4&gt;='Single Project Assumptions'!$L$57,'Development Phase'!BV$4&lt;'Single Project Assumptions'!$L$58),(-'Single Project Assumptions'!$L$56/'Single Project Assumptions'!$L$14),0)</f>
        <v>0</v>
      </c>
      <c r="BW19" s="21">
        <f>IF(AND(BW$4&gt;='Single Project Assumptions'!$L$57,'Development Phase'!BW$4&lt;'Single Project Assumptions'!$L$58),(-'Single Project Assumptions'!$L$56/'Single Project Assumptions'!$L$14),0)</f>
        <v>0</v>
      </c>
      <c r="BX19" s="21">
        <f>IF(AND(BX$4&gt;='Single Project Assumptions'!$L$57,'Development Phase'!BX$4&lt;'Single Project Assumptions'!$L$58),(-'Single Project Assumptions'!$L$56/'Single Project Assumptions'!$L$14),0)</f>
        <v>0</v>
      </c>
      <c r="BY19" s="21">
        <f>IF(AND(BY$4&gt;='Single Project Assumptions'!$L$57,'Development Phase'!BY$4&lt;'Single Project Assumptions'!$L$58),(-'Single Project Assumptions'!$L$56/'Single Project Assumptions'!$L$14),0)</f>
        <v>0</v>
      </c>
      <c r="BZ19" s="21">
        <f>IF(AND(BZ$4&gt;='Single Project Assumptions'!$L$57,'Development Phase'!BZ$4&lt;'Single Project Assumptions'!$L$58),(-'Single Project Assumptions'!$L$56/'Single Project Assumptions'!$L$14),0)</f>
        <v>0</v>
      </c>
      <c r="CA19" s="21">
        <f>IF(AND(CA$4&gt;='Single Project Assumptions'!$L$57,'Development Phase'!CA$4&lt;'Single Project Assumptions'!$L$58),(-'Single Project Assumptions'!$L$56/'Single Project Assumptions'!$L$14),0)</f>
        <v>0</v>
      </c>
      <c r="CB19" s="21">
        <f>IF(AND(CB$4&gt;='Single Project Assumptions'!$L$57,'Development Phase'!CB$4&lt;'Single Project Assumptions'!$L$58),(-'Single Project Assumptions'!$L$56/'Single Project Assumptions'!$L$14),0)</f>
        <v>0</v>
      </c>
      <c r="CC19" s="21">
        <f>IF(AND(CC$4&gt;='Single Project Assumptions'!$L$57,'Development Phase'!CC$4&lt;'Single Project Assumptions'!$L$58),(-'Single Project Assumptions'!$L$56/'Single Project Assumptions'!$L$14),0)</f>
        <v>0</v>
      </c>
      <c r="CD19" s="21">
        <f>IF(AND(CD$4&gt;='Single Project Assumptions'!$L$57,'Development Phase'!CD$4&lt;'Single Project Assumptions'!$L$58),(-'Single Project Assumptions'!$L$56/'Single Project Assumptions'!$L$14),0)</f>
        <v>0</v>
      </c>
      <c r="CE19" s="21">
        <f>IF(AND(CE$4&gt;='Single Project Assumptions'!$L$57,'Development Phase'!CE$4&lt;'Single Project Assumptions'!$L$58),(-'Single Project Assumptions'!$L$56/'Single Project Assumptions'!$L$14),0)</f>
        <v>0</v>
      </c>
      <c r="CF19" s="21">
        <f>IF(AND(CF$4&gt;='Single Project Assumptions'!$L$57,'Development Phase'!CF$4&lt;'Single Project Assumptions'!$L$58),(-'Single Project Assumptions'!$L$56/'Single Project Assumptions'!$L$14),0)</f>
        <v>0</v>
      </c>
      <c r="CG19" s="21">
        <f>IF(AND(CG$4&gt;='Single Project Assumptions'!$L$57,'Development Phase'!CG$4&lt;'Single Project Assumptions'!$L$58),(-'Single Project Assumptions'!$L$56/'Single Project Assumptions'!$L$14),0)</f>
        <v>0</v>
      </c>
      <c r="CH19" s="21">
        <f>IF(AND(CH$4&gt;='Single Project Assumptions'!$L$57,'Development Phase'!CH$4&lt;'Single Project Assumptions'!$L$58),(-'Single Project Assumptions'!$L$56/'Single Project Assumptions'!$L$14),0)</f>
        <v>0</v>
      </c>
      <c r="CI19" s="21">
        <f>IF(AND(CI$4&gt;='Single Project Assumptions'!$L$57,'Development Phase'!CI$4&lt;'Single Project Assumptions'!$L$58),(-'Single Project Assumptions'!$L$56/'Single Project Assumptions'!$L$14),0)</f>
        <v>0</v>
      </c>
      <c r="CJ19" s="21">
        <f>IF(AND(CJ$4&gt;='Single Project Assumptions'!$L$57,'Development Phase'!CJ$4&lt;'Single Project Assumptions'!$L$58),(-'Single Project Assumptions'!$L$56/'Single Project Assumptions'!$L$14),0)</f>
        <v>0</v>
      </c>
      <c r="CK19" s="21">
        <f>IF(AND(CK$4&gt;='Single Project Assumptions'!$L$57,'Development Phase'!CK$4&lt;'Single Project Assumptions'!$L$58),(-'Single Project Assumptions'!$L$56/'Single Project Assumptions'!$L$14),0)</f>
        <v>0</v>
      </c>
      <c r="CL19" s="21">
        <f>IF(AND(CL$4&gt;='Single Project Assumptions'!$L$57,'Development Phase'!CL$4&lt;'Single Project Assumptions'!$L$58),(-'Single Project Assumptions'!$L$56/'Single Project Assumptions'!$L$14),0)</f>
        <v>0</v>
      </c>
      <c r="CM19" s="21">
        <f>IF(AND(CM$4&gt;='Single Project Assumptions'!$L$57,'Development Phase'!CM$4&lt;'Single Project Assumptions'!$L$58),(-'Single Project Assumptions'!$L$56/'Single Project Assumptions'!$L$14),0)</f>
        <v>0</v>
      </c>
      <c r="CN19" s="21">
        <f>IF(AND(CN$4&gt;='Single Project Assumptions'!$L$57,'Development Phase'!CN$4&lt;'Single Project Assumptions'!$L$58),(-'Single Project Assumptions'!$L$56/'Single Project Assumptions'!$L$14),0)</f>
        <v>0</v>
      </c>
      <c r="CO19" s="21">
        <f>IF(AND(CO$4&gt;='Single Project Assumptions'!$L$57,'Development Phase'!CO$4&lt;'Single Project Assumptions'!$L$58),(-'Single Project Assumptions'!$L$56/'Single Project Assumptions'!$L$14),0)</f>
        <v>0</v>
      </c>
      <c r="CP19" s="21">
        <f>IF(AND(CP$4&gt;='Single Project Assumptions'!$L$57,'Development Phase'!CP$4&lt;'Single Project Assumptions'!$L$58),(-'Single Project Assumptions'!$L$56/'Single Project Assumptions'!$L$14),0)</f>
        <v>0</v>
      </c>
      <c r="CQ19" s="21">
        <f>IF(AND(CQ$4&gt;='Single Project Assumptions'!$L$57,'Development Phase'!CQ$4&lt;'Single Project Assumptions'!$L$58),(-'Single Project Assumptions'!$L$56/'Single Project Assumptions'!$L$14),0)</f>
        <v>0</v>
      </c>
      <c r="CR19" s="21">
        <f>IF(AND(CR$4&gt;='Single Project Assumptions'!$L$57,'Development Phase'!CR$4&lt;'Single Project Assumptions'!$L$58),(-'Single Project Assumptions'!$L$56/'Single Project Assumptions'!$L$14),0)</f>
        <v>0</v>
      </c>
      <c r="CS19" s="21">
        <f>IF(AND(CS$4&gt;='Single Project Assumptions'!$L$57,'Development Phase'!CS$4&lt;'Single Project Assumptions'!$L$58),(-'Single Project Assumptions'!$L$56/'Single Project Assumptions'!$L$14),0)</f>
        <v>0</v>
      </c>
      <c r="CT19" s="21">
        <f>IF(AND(CT$4&gt;='Single Project Assumptions'!$L$57,'Development Phase'!CT$4&lt;'Single Project Assumptions'!$L$58),(-'Single Project Assumptions'!$L$56/'Single Project Assumptions'!$L$14),0)</f>
        <v>0</v>
      </c>
      <c r="CU19" s="21">
        <f>IF(AND(CU$4&gt;='Single Project Assumptions'!$L$57,'Development Phase'!CU$4&lt;'Single Project Assumptions'!$L$58),(-'Single Project Assumptions'!$L$56/'Single Project Assumptions'!$L$14),0)</f>
        <v>0</v>
      </c>
      <c r="CV19" s="21">
        <f>IF(AND(CV$4&gt;='Single Project Assumptions'!$L$57,'Development Phase'!CV$4&lt;'Single Project Assumptions'!$L$58),(-'Single Project Assumptions'!$L$56/'Single Project Assumptions'!$L$14),0)</f>
        <v>0</v>
      </c>
      <c r="CW19" s="21">
        <f>IF(AND(CW$4&gt;='Single Project Assumptions'!$L$57,'Development Phase'!CW$4&lt;'Single Project Assumptions'!$L$58),(-'Single Project Assumptions'!$L$56/'Single Project Assumptions'!$L$14),0)</f>
        <v>0</v>
      </c>
      <c r="CX19" s="21">
        <f>IF(AND(CX$4&gt;='Single Project Assumptions'!$L$57,'Development Phase'!CX$4&lt;'Single Project Assumptions'!$L$58),(-'Single Project Assumptions'!$L$56/'Single Project Assumptions'!$L$14),0)</f>
        <v>0</v>
      </c>
      <c r="CY19" s="21">
        <f>IF(AND(CY$4&gt;='Single Project Assumptions'!$L$57,'Development Phase'!CY$4&lt;'Single Project Assumptions'!$L$58),(-'Single Project Assumptions'!$L$56/'Single Project Assumptions'!$L$14),0)</f>
        <v>0</v>
      </c>
      <c r="CZ19" s="21">
        <f>IF(AND(CZ$4&gt;='Single Project Assumptions'!$L$57,'Development Phase'!CZ$4&lt;'Single Project Assumptions'!$L$58),(-'Single Project Assumptions'!$L$56/'Single Project Assumptions'!$L$14),0)</f>
        <v>0</v>
      </c>
      <c r="DA19" s="21">
        <f>IF(AND(DA$4&gt;='Single Project Assumptions'!$L$57,'Development Phase'!DA$4&lt;'Single Project Assumptions'!$L$58),(-'Single Project Assumptions'!$L$56/'Single Project Assumptions'!$L$14),0)</f>
        <v>0</v>
      </c>
      <c r="DB19" s="21">
        <f>IF(AND(DB$4&gt;='Single Project Assumptions'!$L$57,'Development Phase'!DB$4&lt;'Single Project Assumptions'!$L$58),(-'Single Project Assumptions'!$L$56/'Single Project Assumptions'!$L$14),0)</f>
        <v>0</v>
      </c>
      <c r="DC19" s="21">
        <f>IF(AND(DC$4&gt;='Single Project Assumptions'!$L$57,'Development Phase'!DC$4&lt;'Single Project Assumptions'!$L$58),(-'Single Project Assumptions'!$L$56/'Single Project Assumptions'!$L$14),0)</f>
        <v>0</v>
      </c>
      <c r="DD19" s="21">
        <f>IF(AND(DD$4&gt;='Single Project Assumptions'!$L$57,'Development Phase'!DD$4&lt;'Single Project Assumptions'!$L$58),(-'Single Project Assumptions'!$L$56/'Single Project Assumptions'!$L$14),0)</f>
        <v>0</v>
      </c>
      <c r="DE19" s="21">
        <f>IF(AND(DE$4&gt;='Single Project Assumptions'!$L$57,'Development Phase'!DE$4&lt;'Single Project Assumptions'!$L$58),(-'Single Project Assumptions'!$L$56/'Single Project Assumptions'!$L$14),0)</f>
        <v>0</v>
      </c>
      <c r="DF19" s="21">
        <f>IF(AND(DF$4&gt;='Single Project Assumptions'!$L$57,'Development Phase'!DF$4&lt;'Single Project Assumptions'!$L$58),(-'Single Project Assumptions'!$L$56/'Single Project Assumptions'!$L$14),0)</f>
        <v>0</v>
      </c>
      <c r="DG19" s="21">
        <f>IF(AND(DG$4&gt;='Single Project Assumptions'!$L$57,'Development Phase'!DG$4&lt;'Single Project Assumptions'!$L$58),(-'Single Project Assumptions'!$L$56/'Single Project Assumptions'!$L$14),0)</f>
        <v>0</v>
      </c>
      <c r="DH19" s="21">
        <f>IF(AND(DH$4&gt;='Single Project Assumptions'!$L$57,'Development Phase'!DH$4&lt;'Single Project Assumptions'!$L$58),(-'Single Project Assumptions'!$L$56/'Single Project Assumptions'!$L$14),0)</f>
        <v>0</v>
      </c>
      <c r="DI19" s="21">
        <f>IF(AND(DI$4&gt;='Single Project Assumptions'!$L$57,'Development Phase'!DI$4&lt;'Single Project Assumptions'!$L$58),(-'Single Project Assumptions'!$L$56/'Single Project Assumptions'!$L$14),0)</f>
        <v>0</v>
      </c>
      <c r="DJ19" s="21">
        <f>IF(AND(DJ$4&gt;='Single Project Assumptions'!$L$57,'Development Phase'!DJ$4&lt;'Single Project Assumptions'!$L$58),(-'Single Project Assumptions'!$L$56/'Single Project Assumptions'!$L$14),0)</f>
        <v>0</v>
      </c>
      <c r="DK19" s="21">
        <f>IF(AND(DK$4&gt;='Single Project Assumptions'!$L$57,'Development Phase'!DK$4&lt;'Single Project Assumptions'!$L$58),(-'Single Project Assumptions'!$L$56/'Single Project Assumptions'!$L$14),0)</f>
        <v>0</v>
      </c>
      <c r="DL19" s="21">
        <f>IF(AND(DL$4&gt;='Single Project Assumptions'!$L$57,'Development Phase'!DL$4&lt;'Single Project Assumptions'!$L$58),(-'Single Project Assumptions'!$L$56/'Single Project Assumptions'!$L$14),0)</f>
        <v>0</v>
      </c>
      <c r="DM19" s="21">
        <f>IF(AND(DM$4&gt;='Single Project Assumptions'!$L$57,'Development Phase'!DM$4&lt;'Single Project Assumptions'!$L$58),(-'Single Project Assumptions'!$L$56/'Single Project Assumptions'!$L$14),0)</f>
        <v>0</v>
      </c>
      <c r="DN19" s="21">
        <f>IF(AND(DN$4&gt;='Single Project Assumptions'!$L$57,'Development Phase'!DN$4&lt;'Single Project Assumptions'!$L$58),(-'Single Project Assumptions'!$L$56/'Single Project Assumptions'!$L$14),0)</f>
        <v>0</v>
      </c>
      <c r="DO19" s="21">
        <f>IF(AND(DO$4&gt;='Single Project Assumptions'!$L$57,'Development Phase'!DO$4&lt;'Single Project Assumptions'!$L$58),(-'Single Project Assumptions'!$L$56/'Single Project Assumptions'!$L$14),0)</f>
        <v>0</v>
      </c>
      <c r="DP19" s="21">
        <f>IF(AND(DP$4&gt;='Single Project Assumptions'!$L$57,'Development Phase'!DP$4&lt;'Single Project Assumptions'!$L$58),(-'Single Project Assumptions'!$L$56/'Single Project Assumptions'!$L$14),0)</f>
        <v>0</v>
      </c>
      <c r="DQ19" s="21">
        <f>IF(AND(DQ$4&gt;='Single Project Assumptions'!$L$57,'Development Phase'!DQ$4&lt;'Single Project Assumptions'!$L$58),(-'Single Project Assumptions'!$L$56/'Single Project Assumptions'!$L$14),0)</f>
        <v>0</v>
      </c>
      <c r="DR19" s="21">
        <f>IF(AND(DR$4&gt;='Single Project Assumptions'!$L$57,'Development Phase'!DR$4&lt;'Single Project Assumptions'!$L$58),(-'Single Project Assumptions'!$L$56/'Single Project Assumptions'!$L$14),0)</f>
        <v>0</v>
      </c>
      <c r="DS19" s="21">
        <f>IF(AND(DS$4&gt;='Single Project Assumptions'!$L$57,'Development Phase'!DS$4&lt;'Single Project Assumptions'!$L$58),(-'Single Project Assumptions'!$L$56/'Single Project Assumptions'!$L$14),0)</f>
        <v>0</v>
      </c>
      <c r="DT19" s="21">
        <f>IF(AND(DT$4&gt;='Single Project Assumptions'!$L$57,'Development Phase'!DT$4&lt;'Single Project Assumptions'!$L$58),(-'Single Project Assumptions'!$L$56/'Single Project Assumptions'!$L$14),0)</f>
        <v>0</v>
      </c>
      <c r="DU19" s="21">
        <f>IF(AND(DU$4&gt;='Single Project Assumptions'!$L$57,'Development Phase'!DU$4&lt;'Single Project Assumptions'!$L$58),(-'Single Project Assumptions'!$L$56/'Single Project Assumptions'!$L$14),0)</f>
        <v>0</v>
      </c>
    </row>
    <row r="20" spans="3:125" s="3" customFormat="1" ht="22.95" customHeight="1">
      <c r="C20" s="26" t="s">
        <v>160</v>
      </c>
      <c r="D20" s="27">
        <f t="shared" si="20"/>
        <v>-165975304.6875</v>
      </c>
      <c r="E20" s="46">
        <f t="shared" ref="E20:AJ20" si="21">SUM(E15:E19)</f>
        <v>0</v>
      </c>
      <c r="F20" s="46">
        <f t="shared" si="21"/>
        <v>0</v>
      </c>
      <c r="G20" s="46">
        <f t="shared" si="21"/>
        <v>0</v>
      </c>
      <c r="H20" s="46">
        <f t="shared" si="21"/>
        <v>0</v>
      </c>
      <c r="I20" s="46">
        <f t="shared" si="21"/>
        <v>0</v>
      </c>
      <c r="J20" s="46">
        <f t="shared" si="21"/>
        <v>0</v>
      </c>
      <c r="K20" s="46">
        <f t="shared" si="21"/>
        <v>0</v>
      </c>
      <c r="L20" s="46">
        <f t="shared" si="21"/>
        <v>0</v>
      </c>
      <c r="M20" s="46">
        <f t="shared" si="21"/>
        <v>0</v>
      </c>
      <c r="N20" s="46">
        <f t="shared" si="21"/>
        <v>0</v>
      </c>
      <c r="O20" s="46">
        <f t="shared" si="21"/>
        <v>0</v>
      </c>
      <c r="P20" s="46">
        <f t="shared" si="21"/>
        <v>0</v>
      </c>
      <c r="Q20" s="46">
        <f t="shared" si="21"/>
        <v>0</v>
      </c>
      <c r="R20" s="46">
        <f t="shared" si="21"/>
        <v>0</v>
      </c>
      <c r="S20" s="46">
        <f t="shared" si="21"/>
        <v>0</v>
      </c>
      <c r="T20" s="46">
        <f t="shared" si="21"/>
        <v>0</v>
      </c>
      <c r="U20" s="46">
        <f t="shared" si="21"/>
        <v>0</v>
      </c>
      <c r="V20" s="46">
        <f t="shared" si="21"/>
        <v>0</v>
      </c>
      <c r="W20" s="46">
        <f t="shared" si="21"/>
        <v>0</v>
      </c>
      <c r="X20" s="46">
        <f t="shared" si="21"/>
        <v>0</v>
      </c>
      <c r="Y20" s="46">
        <f t="shared" si="21"/>
        <v>0</v>
      </c>
      <c r="Z20" s="46">
        <f t="shared" si="21"/>
        <v>0</v>
      </c>
      <c r="AA20" s="46">
        <f t="shared" si="21"/>
        <v>0</v>
      </c>
      <c r="AB20" s="46">
        <f t="shared" si="21"/>
        <v>0</v>
      </c>
      <c r="AC20" s="46">
        <f t="shared" si="21"/>
        <v>-7959375</v>
      </c>
      <c r="AD20" s="46">
        <f t="shared" si="21"/>
        <v>0</v>
      </c>
      <c r="AE20" s="46">
        <f t="shared" si="21"/>
        <v>0</v>
      </c>
      <c r="AF20" s="46">
        <f t="shared" si="21"/>
        <v>-6583997.0703125</v>
      </c>
      <c r="AG20" s="46">
        <f t="shared" si="21"/>
        <v>-6583997.0703125</v>
      </c>
      <c r="AH20" s="46">
        <f t="shared" si="21"/>
        <v>-6583997.0703125</v>
      </c>
      <c r="AI20" s="46">
        <f t="shared" si="21"/>
        <v>-6583997.0703125</v>
      </c>
      <c r="AJ20" s="46">
        <f t="shared" si="21"/>
        <v>-6583997.0703125</v>
      </c>
      <c r="AK20" s="46">
        <f t="shared" ref="AK20:BP20" si="22">SUM(AK15:AK19)</f>
        <v>-6583997.0703125</v>
      </c>
      <c r="AL20" s="46">
        <f t="shared" si="22"/>
        <v>-6583997.0703125</v>
      </c>
      <c r="AM20" s="46">
        <f t="shared" si="22"/>
        <v>-6583997.0703125</v>
      </c>
      <c r="AN20" s="46">
        <f t="shared" si="22"/>
        <v>-6583997.0703125</v>
      </c>
      <c r="AO20" s="46">
        <f t="shared" si="22"/>
        <v>-6583997.0703125</v>
      </c>
      <c r="AP20" s="46">
        <f t="shared" si="22"/>
        <v>-6583997.0703125</v>
      </c>
      <c r="AQ20" s="46">
        <f t="shared" si="22"/>
        <v>-6583997.0703125</v>
      </c>
      <c r="AR20" s="46">
        <f t="shared" si="22"/>
        <v>-6583997.0703125</v>
      </c>
      <c r="AS20" s="46">
        <f t="shared" si="22"/>
        <v>-6583997.0703125</v>
      </c>
      <c r="AT20" s="46">
        <f t="shared" si="22"/>
        <v>-6583997.0703125</v>
      </c>
      <c r="AU20" s="46">
        <f t="shared" si="22"/>
        <v>-6583997.0703125</v>
      </c>
      <c r="AV20" s="46">
        <f t="shared" si="22"/>
        <v>-6583997.0703125</v>
      </c>
      <c r="AW20" s="46">
        <f t="shared" si="22"/>
        <v>-6583997.0703125</v>
      </c>
      <c r="AX20" s="46">
        <f t="shared" si="22"/>
        <v>-6583997.0703125</v>
      </c>
      <c r="AY20" s="46">
        <f t="shared" si="22"/>
        <v>-6583997.0703125</v>
      </c>
      <c r="AZ20" s="46">
        <f t="shared" si="22"/>
        <v>-6583997.0703125</v>
      </c>
      <c r="BA20" s="46">
        <f t="shared" si="22"/>
        <v>-6583997.0703125</v>
      </c>
      <c r="BB20" s="46">
        <f t="shared" si="22"/>
        <v>-6583997.0703125</v>
      </c>
      <c r="BC20" s="46">
        <f t="shared" si="22"/>
        <v>-6583997.0703125</v>
      </c>
      <c r="BD20" s="46">
        <f t="shared" si="22"/>
        <v>0</v>
      </c>
      <c r="BE20" s="46">
        <f t="shared" si="22"/>
        <v>0</v>
      </c>
      <c r="BF20" s="46">
        <f t="shared" si="22"/>
        <v>0</v>
      </c>
      <c r="BG20" s="46">
        <f t="shared" si="22"/>
        <v>0</v>
      </c>
      <c r="BH20" s="46">
        <f t="shared" si="22"/>
        <v>0</v>
      </c>
      <c r="BI20" s="46">
        <f t="shared" si="22"/>
        <v>0</v>
      </c>
      <c r="BJ20" s="46">
        <f t="shared" si="22"/>
        <v>0</v>
      </c>
      <c r="BK20" s="46">
        <f t="shared" si="22"/>
        <v>0</v>
      </c>
      <c r="BL20" s="46">
        <f t="shared" si="22"/>
        <v>0</v>
      </c>
      <c r="BM20" s="46">
        <f t="shared" si="22"/>
        <v>0</v>
      </c>
      <c r="BN20" s="46">
        <f t="shared" si="22"/>
        <v>0</v>
      </c>
      <c r="BO20" s="46">
        <f t="shared" si="22"/>
        <v>0</v>
      </c>
      <c r="BP20" s="46">
        <f t="shared" si="22"/>
        <v>0</v>
      </c>
      <c r="BQ20" s="46">
        <f t="shared" ref="BQ20:CV20" si="23">SUM(BQ15:BQ19)</f>
        <v>0</v>
      </c>
      <c r="BR20" s="46">
        <f t="shared" si="23"/>
        <v>0</v>
      </c>
      <c r="BS20" s="46">
        <f t="shared" si="23"/>
        <v>0</v>
      </c>
      <c r="BT20" s="46">
        <f t="shared" si="23"/>
        <v>0</v>
      </c>
      <c r="BU20" s="46">
        <f t="shared" si="23"/>
        <v>0</v>
      </c>
      <c r="BV20" s="46">
        <f t="shared" si="23"/>
        <v>0</v>
      </c>
      <c r="BW20" s="46">
        <f t="shared" si="23"/>
        <v>0</v>
      </c>
      <c r="BX20" s="46">
        <f t="shared" si="23"/>
        <v>0</v>
      </c>
      <c r="BY20" s="46">
        <f t="shared" si="23"/>
        <v>0</v>
      </c>
      <c r="BZ20" s="46">
        <f t="shared" si="23"/>
        <v>0</v>
      </c>
      <c r="CA20" s="46">
        <f t="shared" si="23"/>
        <v>0</v>
      </c>
      <c r="CB20" s="46">
        <f t="shared" si="23"/>
        <v>0</v>
      </c>
      <c r="CC20" s="46">
        <f t="shared" si="23"/>
        <v>0</v>
      </c>
      <c r="CD20" s="46">
        <f t="shared" si="23"/>
        <v>0</v>
      </c>
      <c r="CE20" s="46">
        <f t="shared" si="23"/>
        <v>0</v>
      </c>
      <c r="CF20" s="46">
        <f t="shared" si="23"/>
        <v>0</v>
      </c>
      <c r="CG20" s="46">
        <f t="shared" si="23"/>
        <v>0</v>
      </c>
      <c r="CH20" s="46">
        <f t="shared" si="23"/>
        <v>0</v>
      </c>
      <c r="CI20" s="46">
        <f t="shared" si="23"/>
        <v>0</v>
      </c>
      <c r="CJ20" s="46">
        <f t="shared" si="23"/>
        <v>0</v>
      </c>
      <c r="CK20" s="46">
        <f t="shared" si="23"/>
        <v>0</v>
      </c>
      <c r="CL20" s="46">
        <f t="shared" si="23"/>
        <v>0</v>
      </c>
      <c r="CM20" s="46">
        <f t="shared" si="23"/>
        <v>0</v>
      </c>
      <c r="CN20" s="46">
        <f t="shared" si="23"/>
        <v>0</v>
      </c>
      <c r="CO20" s="46">
        <f t="shared" si="23"/>
        <v>0</v>
      </c>
      <c r="CP20" s="46">
        <f t="shared" si="23"/>
        <v>0</v>
      </c>
      <c r="CQ20" s="46">
        <f t="shared" si="23"/>
        <v>0</v>
      </c>
      <c r="CR20" s="46">
        <f t="shared" si="23"/>
        <v>0</v>
      </c>
      <c r="CS20" s="46">
        <f t="shared" si="23"/>
        <v>0</v>
      </c>
      <c r="CT20" s="46">
        <f t="shared" si="23"/>
        <v>0</v>
      </c>
      <c r="CU20" s="46">
        <f t="shared" si="23"/>
        <v>0</v>
      </c>
      <c r="CV20" s="46">
        <f t="shared" si="23"/>
        <v>0</v>
      </c>
      <c r="CW20" s="46">
        <f t="shared" ref="CW20:DU20" si="24">SUM(CW15:CW19)</f>
        <v>0</v>
      </c>
      <c r="CX20" s="46">
        <f t="shared" si="24"/>
        <v>0</v>
      </c>
      <c r="CY20" s="46">
        <f t="shared" si="24"/>
        <v>0</v>
      </c>
      <c r="CZ20" s="46">
        <f t="shared" si="24"/>
        <v>0</v>
      </c>
      <c r="DA20" s="46">
        <f t="shared" si="24"/>
        <v>0</v>
      </c>
      <c r="DB20" s="46">
        <f t="shared" si="24"/>
        <v>0</v>
      </c>
      <c r="DC20" s="46">
        <f t="shared" si="24"/>
        <v>0</v>
      </c>
      <c r="DD20" s="46">
        <f t="shared" si="24"/>
        <v>0</v>
      </c>
      <c r="DE20" s="46">
        <f t="shared" si="24"/>
        <v>0</v>
      </c>
      <c r="DF20" s="46">
        <f t="shared" si="24"/>
        <v>0</v>
      </c>
      <c r="DG20" s="46">
        <f t="shared" si="24"/>
        <v>0</v>
      </c>
      <c r="DH20" s="46">
        <f t="shared" si="24"/>
        <v>0</v>
      </c>
      <c r="DI20" s="46">
        <f t="shared" si="24"/>
        <v>0</v>
      </c>
      <c r="DJ20" s="46">
        <f t="shared" si="24"/>
        <v>0</v>
      </c>
      <c r="DK20" s="46">
        <f t="shared" si="24"/>
        <v>0</v>
      </c>
      <c r="DL20" s="46">
        <f t="shared" si="24"/>
        <v>0</v>
      </c>
      <c r="DM20" s="46">
        <f t="shared" si="24"/>
        <v>0</v>
      </c>
      <c r="DN20" s="46">
        <f t="shared" si="24"/>
        <v>0</v>
      </c>
      <c r="DO20" s="46">
        <f t="shared" si="24"/>
        <v>0</v>
      </c>
      <c r="DP20" s="46">
        <f t="shared" si="24"/>
        <v>0</v>
      </c>
      <c r="DQ20" s="46">
        <f t="shared" si="24"/>
        <v>0</v>
      </c>
      <c r="DR20" s="46">
        <f t="shared" si="24"/>
        <v>0</v>
      </c>
      <c r="DS20" s="46">
        <f t="shared" si="24"/>
        <v>0</v>
      </c>
      <c r="DT20" s="46">
        <f t="shared" si="24"/>
        <v>0</v>
      </c>
      <c r="DU20" s="46">
        <f t="shared" si="24"/>
        <v>0</v>
      </c>
    </row>
    <row r="21" spans="3:125" s="3" customFormat="1" ht="22.95" customHeight="1">
      <c r="D21" s="25"/>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row>
    <row r="22" spans="3:125" s="3" customFormat="1" ht="22.95" customHeight="1">
      <c r="C22" s="63" t="s">
        <v>281</v>
      </c>
      <c r="D22" s="64">
        <f>SUM(E22:DU22)</f>
        <v>59024695.312500015</v>
      </c>
      <c r="E22" s="65">
        <f t="shared" ref="E22:AJ22" si="25">E13+E20</f>
        <v>0</v>
      </c>
      <c r="F22" s="65">
        <f t="shared" si="25"/>
        <v>0</v>
      </c>
      <c r="G22" s="65">
        <f t="shared" si="25"/>
        <v>0</v>
      </c>
      <c r="H22" s="65">
        <f t="shared" si="25"/>
        <v>0</v>
      </c>
      <c r="I22" s="65">
        <f t="shared" si="25"/>
        <v>0</v>
      </c>
      <c r="J22" s="65">
        <f t="shared" si="25"/>
        <v>0</v>
      </c>
      <c r="K22" s="65">
        <f t="shared" si="25"/>
        <v>0</v>
      </c>
      <c r="L22" s="65">
        <f t="shared" si="25"/>
        <v>0</v>
      </c>
      <c r="M22" s="65">
        <f t="shared" si="25"/>
        <v>0</v>
      </c>
      <c r="N22" s="65">
        <f t="shared" si="25"/>
        <v>0</v>
      </c>
      <c r="O22" s="65">
        <f t="shared" si="25"/>
        <v>0</v>
      </c>
      <c r="P22" s="65">
        <f t="shared" si="25"/>
        <v>0</v>
      </c>
      <c r="Q22" s="65">
        <f t="shared" si="25"/>
        <v>0</v>
      </c>
      <c r="R22" s="65">
        <f t="shared" si="25"/>
        <v>0</v>
      </c>
      <c r="S22" s="65">
        <f t="shared" si="25"/>
        <v>0</v>
      </c>
      <c r="T22" s="65">
        <f t="shared" si="25"/>
        <v>0</v>
      </c>
      <c r="U22" s="65">
        <f t="shared" si="25"/>
        <v>0</v>
      </c>
      <c r="V22" s="65">
        <f t="shared" si="25"/>
        <v>0</v>
      </c>
      <c r="W22" s="65">
        <f t="shared" si="25"/>
        <v>0</v>
      </c>
      <c r="X22" s="65">
        <f t="shared" si="25"/>
        <v>0</v>
      </c>
      <c r="Y22" s="65">
        <f t="shared" si="25"/>
        <v>0</v>
      </c>
      <c r="Z22" s="65">
        <f t="shared" si="25"/>
        <v>0</v>
      </c>
      <c r="AA22" s="65">
        <f t="shared" si="25"/>
        <v>0</v>
      </c>
      <c r="AB22" s="65">
        <f t="shared" si="25"/>
        <v>0</v>
      </c>
      <c r="AC22" s="65">
        <f t="shared" si="25"/>
        <v>-7959375</v>
      </c>
      <c r="AD22" s="65">
        <f t="shared" si="25"/>
        <v>0</v>
      </c>
      <c r="AE22" s="65">
        <f t="shared" si="25"/>
        <v>0</v>
      </c>
      <c r="AF22" s="65">
        <f t="shared" si="25"/>
        <v>-6583997.0703125</v>
      </c>
      <c r="AG22" s="65">
        <f t="shared" si="25"/>
        <v>-6583997.0703125</v>
      </c>
      <c r="AH22" s="65">
        <f t="shared" si="25"/>
        <v>-6583997.0703125</v>
      </c>
      <c r="AI22" s="65">
        <f t="shared" si="25"/>
        <v>-6583997.0703125</v>
      </c>
      <c r="AJ22" s="65">
        <f t="shared" si="25"/>
        <v>-6583997.0703125</v>
      </c>
      <c r="AK22" s="65">
        <f t="shared" ref="AK22:BP22" si="26">AK13+AK20</f>
        <v>-6583997.0703125</v>
      </c>
      <c r="AL22" s="65">
        <f t="shared" si="26"/>
        <v>-6583997.0703125</v>
      </c>
      <c r="AM22" s="65">
        <f t="shared" si="26"/>
        <v>-6583997.0703125</v>
      </c>
      <c r="AN22" s="65">
        <f t="shared" si="26"/>
        <v>-6583997.0703125</v>
      </c>
      <c r="AO22" s="65">
        <f t="shared" si="26"/>
        <v>-6583997.0703125</v>
      </c>
      <c r="AP22" s="65">
        <f t="shared" si="26"/>
        <v>-6583997.0703125</v>
      </c>
      <c r="AQ22" s="65">
        <f t="shared" si="26"/>
        <v>-6583997.0703125</v>
      </c>
      <c r="AR22" s="65">
        <f t="shared" si="26"/>
        <v>-6583997.0703125</v>
      </c>
      <c r="AS22" s="65">
        <f t="shared" si="26"/>
        <v>-6583997.0703125</v>
      </c>
      <c r="AT22" s="65">
        <f t="shared" si="26"/>
        <v>-6583997.0703125</v>
      </c>
      <c r="AU22" s="65">
        <f t="shared" si="26"/>
        <v>-6583997.0703125</v>
      </c>
      <c r="AV22" s="65">
        <f t="shared" si="26"/>
        <v>-6583997.0703125</v>
      </c>
      <c r="AW22" s="65">
        <f t="shared" si="26"/>
        <v>-6583997.0703125</v>
      </c>
      <c r="AX22" s="65">
        <f t="shared" si="26"/>
        <v>-4708997.0703125</v>
      </c>
      <c r="AY22" s="65">
        <f t="shared" si="26"/>
        <v>-4708997.0703125</v>
      </c>
      <c r="AZ22" s="65">
        <f t="shared" si="26"/>
        <v>-4708997.0703125</v>
      </c>
      <c r="BA22" s="65">
        <f t="shared" si="26"/>
        <v>-4708997.0703125</v>
      </c>
      <c r="BB22" s="65">
        <f t="shared" si="26"/>
        <v>-4708997.0703125</v>
      </c>
      <c r="BC22" s="65">
        <f t="shared" si="26"/>
        <v>-4708997.0703125</v>
      </c>
      <c r="BD22" s="65">
        <f t="shared" si="26"/>
        <v>76250000.000000015</v>
      </c>
      <c r="BE22" s="65">
        <f t="shared" si="26"/>
        <v>12500000</v>
      </c>
      <c r="BF22" s="65">
        <f t="shared" si="26"/>
        <v>12500000</v>
      </c>
      <c r="BG22" s="65">
        <f t="shared" si="26"/>
        <v>12500000</v>
      </c>
      <c r="BH22" s="65">
        <f t="shared" si="26"/>
        <v>12500000</v>
      </c>
      <c r="BI22" s="65">
        <f t="shared" si="26"/>
        <v>12500000</v>
      </c>
      <c r="BJ22" s="65">
        <f t="shared" si="26"/>
        <v>12500000</v>
      </c>
      <c r="BK22" s="65">
        <f t="shared" si="26"/>
        <v>12500000</v>
      </c>
      <c r="BL22" s="65">
        <f t="shared" si="26"/>
        <v>12500000</v>
      </c>
      <c r="BM22" s="65">
        <f t="shared" si="26"/>
        <v>12500000</v>
      </c>
      <c r="BN22" s="65">
        <f t="shared" si="26"/>
        <v>12500000</v>
      </c>
      <c r="BO22" s="65">
        <f t="shared" si="26"/>
        <v>12500000</v>
      </c>
      <c r="BP22" s="65">
        <f t="shared" si="26"/>
        <v>0</v>
      </c>
      <c r="BQ22" s="65">
        <f t="shared" ref="BQ22:CV22" si="27">BQ13+BQ20</f>
        <v>0</v>
      </c>
      <c r="BR22" s="65">
        <f t="shared" si="27"/>
        <v>0</v>
      </c>
      <c r="BS22" s="65">
        <f t="shared" si="27"/>
        <v>0</v>
      </c>
      <c r="BT22" s="65">
        <f t="shared" si="27"/>
        <v>0</v>
      </c>
      <c r="BU22" s="65">
        <f t="shared" si="27"/>
        <v>0</v>
      </c>
      <c r="BV22" s="65">
        <f t="shared" si="27"/>
        <v>0</v>
      </c>
      <c r="BW22" s="65">
        <f t="shared" si="27"/>
        <v>0</v>
      </c>
      <c r="BX22" s="65">
        <f t="shared" si="27"/>
        <v>0</v>
      </c>
      <c r="BY22" s="65">
        <f t="shared" si="27"/>
        <v>0</v>
      </c>
      <c r="BZ22" s="65">
        <f t="shared" si="27"/>
        <v>0</v>
      </c>
      <c r="CA22" s="65">
        <f t="shared" si="27"/>
        <v>0</v>
      </c>
      <c r="CB22" s="65">
        <f t="shared" si="27"/>
        <v>0</v>
      </c>
      <c r="CC22" s="65">
        <f t="shared" si="27"/>
        <v>0</v>
      </c>
      <c r="CD22" s="65">
        <f t="shared" si="27"/>
        <v>0</v>
      </c>
      <c r="CE22" s="65">
        <f t="shared" si="27"/>
        <v>0</v>
      </c>
      <c r="CF22" s="65">
        <f t="shared" si="27"/>
        <v>0</v>
      </c>
      <c r="CG22" s="65">
        <f t="shared" si="27"/>
        <v>0</v>
      </c>
      <c r="CH22" s="65">
        <f t="shared" si="27"/>
        <v>0</v>
      </c>
      <c r="CI22" s="65">
        <f t="shared" si="27"/>
        <v>0</v>
      </c>
      <c r="CJ22" s="65">
        <f t="shared" si="27"/>
        <v>0</v>
      </c>
      <c r="CK22" s="65">
        <f t="shared" si="27"/>
        <v>0</v>
      </c>
      <c r="CL22" s="65">
        <f t="shared" si="27"/>
        <v>0</v>
      </c>
      <c r="CM22" s="65">
        <f t="shared" si="27"/>
        <v>0</v>
      </c>
      <c r="CN22" s="65">
        <f t="shared" si="27"/>
        <v>0</v>
      </c>
      <c r="CO22" s="65">
        <f t="shared" si="27"/>
        <v>0</v>
      </c>
      <c r="CP22" s="65">
        <f t="shared" si="27"/>
        <v>0</v>
      </c>
      <c r="CQ22" s="65">
        <f t="shared" si="27"/>
        <v>0</v>
      </c>
      <c r="CR22" s="65">
        <f t="shared" si="27"/>
        <v>0</v>
      </c>
      <c r="CS22" s="65">
        <f t="shared" si="27"/>
        <v>0</v>
      </c>
      <c r="CT22" s="65">
        <f t="shared" si="27"/>
        <v>0</v>
      </c>
      <c r="CU22" s="65">
        <f t="shared" si="27"/>
        <v>0</v>
      </c>
      <c r="CV22" s="65">
        <f t="shared" si="27"/>
        <v>0</v>
      </c>
      <c r="CW22" s="65">
        <f t="shared" ref="CW22:DU22" si="28">CW13+CW20</f>
        <v>0</v>
      </c>
      <c r="CX22" s="65">
        <f t="shared" si="28"/>
        <v>0</v>
      </c>
      <c r="CY22" s="65">
        <f t="shared" si="28"/>
        <v>0</v>
      </c>
      <c r="CZ22" s="65">
        <f t="shared" si="28"/>
        <v>0</v>
      </c>
      <c r="DA22" s="65">
        <f t="shared" si="28"/>
        <v>0</v>
      </c>
      <c r="DB22" s="65">
        <f t="shared" si="28"/>
        <v>0</v>
      </c>
      <c r="DC22" s="65">
        <f t="shared" si="28"/>
        <v>0</v>
      </c>
      <c r="DD22" s="65">
        <f t="shared" si="28"/>
        <v>0</v>
      </c>
      <c r="DE22" s="65">
        <f t="shared" si="28"/>
        <v>0</v>
      </c>
      <c r="DF22" s="65">
        <f t="shared" si="28"/>
        <v>0</v>
      </c>
      <c r="DG22" s="65">
        <f t="shared" si="28"/>
        <v>0</v>
      </c>
      <c r="DH22" s="65">
        <f t="shared" si="28"/>
        <v>0</v>
      </c>
      <c r="DI22" s="65">
        <f t="shared" si="28"/>
        <v>0</v>
      </c>
      <c r="DJ22" s="65">
        <f t="shared" si="28"/>
        <v>0</v>
      </c>
      <c r="DK22" s="65">
        <f t="shared" si="28"/>
        <v>0</v>
      </c>
      <c r="DL22" s="65">
        <f t="shared" si="28"/>
        <v>0</v>
      </c>
      <c r="DM22" s="65">
        <f t="shared" si="28"/>
        <v>0</v>
      </c>
      <c r="DN22" s="65">
        <f t="shared" si="28"/>
        <v>0</v>
      </c>
      <c r="DO22" s="65">
        <f t="shared" si="28"/>
        <v>0</v>
      </c>
      <c r="DP22" s="65">
        <f t="shared" si="28"/>
        <v>0</v>
      </c>
      <c r="DQ22" s="65">
        <f t="shared" si="28"/>
        <v>0</v>
      </c>
      <c r="DR22" s="65">
        <f t="shared" si="28"/>
        <v>0</v>
      </c>
      <c r="DS22" s="65">
        <f t="shared" si="28"/>
        <v>0</v>
      </c>
      <c r="DT22" s="65">
        <f t="shared" si="28"/>
        <v>0</v>
      </c>
      <c r="DU22" s="65">
        <f t="shared" si="28"/>
        <v>0</v>
      </c>
    </row>
    <row r="23" spans="3:125" s="3" customFormat="1" ht="22.95" customHeight="1">
      <c r="C23" s="31" t="s">
        <v>234</v>
      </c>
      <c r="D23" s="41">
        <f>-MIN(E23:DU23)</f>
        <v>154725304.6875</v>
      </c>
      <c r="E23" s="42">
        <f>E22</f>
        <v>0</v>
      </c>
      <c r="F23" s="42">
        <f t="shared" ref="F23:AK23" si="29">F22+E23</f>
        <v>0</v>
      </c>
      <c r="G23" s="42">
        <f t="shared" si="29"/>
        <v>0</v>
      </c>
      <c r="H23" s="42">
        <f t="shared" si="29"/>
        <v>0</v>
      </c>
      <c r="I23" s="42">
        <f t="shared" si="29"/>
        <v>0</v>
      </c>
      <c r="J23" s="42">
        <f t="shared" si="29"/>
        <v>0</v>
      </c>
      <c r="K23" s="42">
        <f t="shared" si="29"/>
        <v>0</v>
      </c>
      <c r="L23" s="42">
        <f t="shared" si="29"/>
        <v>0</v>
      </c>
      <c r="M23" s="42">
        <f t="shared" si="29"/>
        <v>0</v>
      </c>
      <c r="N23" s="42">
        <f t="shared" si="29"/>
        <v>0</v>
      </c>
      <c r="O23" s="42">
        <f t="shared" si="29"/>
        <v>0</v>
      </c>
      <c r="P23" s="42">
        <f t="shared" si="29"/>
        <v>0</v>
      </c>
      <c r="Q23" s="42">
        <f t="shared" si="29"/>
        <v>0</v>
      </c>
      <c r="R23" s="42">
        <f t="shared" si="29"/>
        <v>0</v>
      </c>
      <c r="S23" s="42">
        <f t="shared" si="29"/>
        <v>0</v>
      </c>
      <c r="T23" s="42">
        <f t="shared" si="29"/>
        <v>0</v>
      </c>
      <c r="U23" s="42">
        <f t="shared" si="29"/>
        <v>0</v>
      </c>
      <c r="V23" s="42">
        <f t="shared" si="29"/>
        <v>0</v>
      </c>
      <c r="W23" s="42">
        <f t="shared" si="29"/>
        <v>0</v>
      </c>
      <c r="X23" s="42">
        <f t="shared" si="29"/>
        <v>0</v>
      </c>
      <c r="Y23" s="42">
        <f t="shared" si="29"/>
        <v>0</v>
      </c>
      <c r="Z23" s="42">
        <f t="shared" si="29"/>
        <v>0</v>
      </c>
      <c r="AA23" s="42">
        <f t="shared" si="29"/>
        <v>0</v>
      </c>
      <c r="AB23" s="42">
        <f t="shared" si="29"/>
        <v>0</v>
      </c>
      <c r="AC23" s="42">
        <f t="shared" si="29"/>
        <v>-7959375</v>
      </c>
      <c r="AD23" s="42">
        <f t="shared" si="29"/>
        <v>-7959375</v>
      </c>
      <c r="AE23" s="42">
        <f t="shared" si="29"/>
        <v>-7959375</v>
      </c>
      <c r="AF23" s="42">
        <f t="shared" si="29"/>
        <v>-14543372.0703125</v>
      </c>
      <c r="AG23" s="42">
        <f t="shared" si="29"/>
        <v>-21127369.140625</v>
      </c>
      <c r="AH23" s="42">
        <f t="shared" si="29"/>
        <v>-27711366.2109375</v>
      </c>
      <c r="AI23" s="42">
        <f t="shared" si="29"/>
        <v>-34295363.28125</v>
      </c>
      <c r="AJ23" s="42">
        <f t="shared" si="29"/>
        <v>-40879360.3515625</v>
      </c>
      <c r="AK23" s="42">
        <f t="shared" si="29"/>
        <v>-47463357.421875</v>
      </c>
      <c r="AL23" s="42">
        <f t="shared" ref="AL23:BQ23" si="30">AL22+AK23</f>
        <v>-54047354.4921875</v>
      </c>
      <c r="AM23" s="42">
        <f t="shared" si="30"/>
        <v>-60631351.5625</v>
      </c>
      <c r="AN23" s="42">
        <f t="shared" si="30"/>
        <v>-67215348.6328125</v>
      </c>
      <c r="AO23" s="42">
        <f t="shared" si="30"/>
        <v>-73799345.703125</v>
      </c>
      <c r="AP23" s="42">
        <f t="shared" si="30"/>
        <v>-80383342.7734375</v>
      </c>
      <c r="AQ23" s="42">
        <f t="shared" si="30"/>
        <v>-86967339.84375</v>
      </c>
      <c r="AR23" s="42">
        <f t="shared" si="30"/>
        <v>-93551336.9140625</v>
      </c>
      <c r="AS23" s="42">
        <f t="shared" si="30"/>
        <v>-100135333.984375</v>
      </c>
      <c r="AT23" s="42">
        <f t="shared" si="30"/>
        <v>-106719331.0546875</v>
      </c>
      <c r="AU23" s="42">
        <f t="shared" si="30"/>
        <v>-113303328.125</v>
      </c>
      <c r="AV23" s="42">
        <f t="shared" si="30"/>
        <v>-119887325.1953125</v>
      </c>
      <c r="AW23" s="42">
        <f t="shared" si="30"/>
        <v>-126471322.265625</v>
      </c>
      <c r="AX23" s="42">
        <f t="shared" si="30"/>
        <v>-131180319.3359375</v>
      </c>
      <c r="AY23" s="42">
        <f t="shared" si="30"/>
        <v>-135889316.40625</v>
      </c>
      <c r="AZ23" s="42">
        <f t="shared" si="30"/>
        <v>-140598313.4765625</v>
      </c>
      <c r="BA23" s="42">
        <f t="shared" si="30"/>
        <v>-145307310.546875</v>
      </c>
      <c r="BB23" s="42">
        <f t="shared" si="30"/>
        <v>-150016307.6171875</v>
      </c>
      <c r="BC23" s="42">
        <f t="shared" si="30"/>
        <v>-154725304.6875</v>
      </c>
      <c r="BD23" s="42">
        <f t="shared" si="30"/>
        <v>-78475304.687499985</v>
      </c>
      <c r="BE23" s="42">
        <f t="shared" si="30"/>
        <v>-65975304.687499985</v>
      </c>
      <c r="BF23" s="42">
        <f t="shared" si="30"/>
        <v>-53475304.687499985</v>
      </c>
      <c r="BG23" s="42">
        <f t="shared" si="30"/>
        <v>-40975304.687499985</v>
      </c>
      <c r="BH23" s="42">
        <f t="shared" si="30"/>
        <v>-28475304.687499985</v>
      </c>
      <c r="BI23" s="42">
        <f t="shared" si="30"/>
        <v>-15975304.687499985</v>
      </c>
      <c r="BJ23" s="42">
        <f t="shared" si="30"/>
        <v>-3475304.6874999851</v>
      </c>
      <c r="BK23" s="42">
        <f t="shared" si="30"/>
        <v>9024695.3125000149</v>
      </c>
      <c r="BL23" s="42">
        <f t="shared" si="30"/>
        <v>21524695.312500015</v>
      </c>
      <c r="BM23" s="42">
        <f t="shared" si="30"/>
        <v>34024695.312500015</v>
      </c>
      <c r="BN23" s="42">
        <f t="shared" si="30"/>
        <v>46524695.312500015</v>
      </c>
      <c r="BO23" s="42">
        <f t="shared" si="30"/>
        <v>59024695.312500015</v>
      </c>
      <c r="BP23" s="42">
        <f t="shared" si="30"/>
        <v>59024695.312500015</v>
      </c>
      <c r="BQ23" s="42">
        <f t="shared" si="30"/>
        <v>59024695.312500015</v>
      </c>
      <c r="BR23" s="42">
        <f t="shared" ref="BR23:CW23" si="31">BR22+BQ23</f>
        <v>59024695.312500015</v>
      </c>
      <c r="BS23" s="42">
        <f t="shared" si="31"/>
        <v>59024695.312500015</v>
      </c>
      <c r="BT23" s="42">
        <f t="shared" si="31"/>
        <v>59024695.312500015</v>
      </c>
      <c r="BU23" s="42">
        <f t="shared" si="31"/>
        <v>59024695.312500015</v>
      </c>
      <c r="BV23" s="42">
        <f t="shared" si="31"/>
        <v>59024695.312500015</v>
      </c>
      <c r="BW23" s="42">
        <f t="shared" si="31"/>
        <v>59024695.312500015</v>
      </c>
      <c r="BX23" s="42">
        <f t="shared" si="31"/>
        <v>59024695.312500015</v>
      </c>
      <c r="BY23" s="42">
        <f t="shared" si="31"/>
        <v>59024695.312500015</v>
      </c>
      <c r="BZ23" s="42">
        <f t="shared" si="31"/>
        <v>59024695.312500015</v>
      </c>
      <c r="CA23" s="42">
        <f t="shared" si="31"/>
        <v>59024695.312500015</v>
      </c>
      <c r="CB23" s="42">
        <f t="shared" si="31"/>
        <v>59024695.312500015</v>
      </c>
      <c r="CC23" s="42">
        <f t="shared" si="31"/>
        <v>59024695.312500015</v>
      </c>
      <c r="CD23" s="42">
        <f t="shared" si="31"/>
        <v>59024695.312500015</v>
      </c>
      <c r="CE23" s="42">
        <f t="shared" si="31"/>
        <v>59024695.312500015</v>
      </c>
      <c r="CF23" s="42">
        <f t="shared" si="31"/>
        <v>59024695.312500015</v>
      </c>
      <c r="CG23" s="42">
        <f t="shared" si="31"/>
        <v>59024695.312500015</v>
      </c>
      <c r="CH23" s="42">
        <f t="shared" si="31"/>
        <v>59024695.312500015</v>
      </c>
      <c r="CI23" s="42">
        <f t="shared" si="31"/>
        <v>59024695.312500015</v>
      </c>
      <c r="CJ23" s="42">
        <f t="shared" si="31"/>
        <v>59024695.312500015</v>
      </c>
      <c r="CK23" s="42">
        <f t="shared" si="31"/>
        <v>59024695.312500015</v>
      </c>
      <c r="CL23" s="42">
        <f t="shared" si="31"/>
        <v>59024695.312500015</v>
      </c>
      <c r="CM23" s="42">
        <f t="shared" si="31"/>
        <v>59024695.312500015</v>
      </c>
      <c r="CN23" s="42">
        <f t="shared" si="31"/>
        <v>59024695.312500015</v>
      </c>
      <c r="CO23" s="42">
        <f t="shared" si="31"/>
        <v>59024695.312500015</v>
      </c>
      <c r="CP23" s="42">
        <f t="shared" si="31"/>
        <v>59024695.312500015</v>
      </c>
      <c r="CQ23" s="42">
        <f t="shared" si="31"/>
        <v>59024695.312500015</v>
      </c>
      <c r="CR23" s="42">
        <f t="shared" si="31"/>
        <v>59024695.312500015</v>
      </c>
      <c r="CS23" s="42">
        <f t="shared" si="31"/>
        <v>59024695.312500015</v>
      </c>
      <c r="CT23" s="42">
        <f t="shared" si="31"/>
        <v>59024695.312500015</v>
      </c>
      <c r="CU23" s="42">
        <f t="shared" si="31"/>
        <v>59024695.312500015</v>
      </c>
      <c r="CV23" s="42">
        <f t="shared" si="31"/>
        <v>59024695.312500015</v>
      </c>
      <c r="CW23" s="42">
        <f t="shared" si="31"/>
        <v>59024695.312500015</v>
      </c>
      <c r="CX23" s="42">
        <f t="shared" ref="CX23:DU23" si="32">CX22+CW23</f>
        <v>59024695.312500015</v>
      </c>
      <c r="CY23" s="42">
        <f t="shared" si="32"/>
        <v>59024695.312500015</v>
      </c>
      <c r="CZ23" s="42">
        <f t="shared" si="32"/>
        <v>59024695.312500015</v>
      </c>
      <c r="DA23" s="42">
        <f t="shared" si="32"/>
        <v>59024695.312500015</v>
      </c>
      <c r="DB23" s="42">
        <f t="shared" si="32"/>
        <v>59024695.312500015</v>
      </c>
      <c r="DC23" s="42">
        <f t="shared" si="32"/>
        <v>59024695.312500015</v>
      </c>
      <c r="DD23" s="42">
        <f t="shared" si="32"/>
        <v>59024695.312500015</v>
      </c>
      <c r="DE23" s="42">
        <f t="shared" si="32"/>
        <v>59024695.312500015</v>
      </c>
      <c r="DF23" s="42">
        <f t="shared" si="32"/>
        <v>59024695.312500015</v>
      </c>
      <c r="DG23" s="42">
        <f t="shared" si="32"/>
        <v>59024695.312500015</v>
      </c>
      <c r="DH23" s="42">
        <f t="shared" si="32"/>
        <v>59024695.312500015</v>
      </c>
      <c r="DI23" s="42">
        <f t="shared" si="32"/>
        <v>59024695.312500015</v>
      </c>
      <c r="DJ23" s="42">
        <f t="shared" si="32"/>
        <v>59024695.312500015</v>
      </c>
      <c r="DK23" s="42">
        <f t="shared" si="32"/>
        <v>59024695.312500015</v>
      </c>
      <c r="DL23" s="42">
        <f t="shared" si="32"/>
        <v>59024695.312500015</v>
      </c>
      <c r="DM23" s="42">
        <f t="shared" si="32"/>
        <v>59024695.312500015</v>
      </c>
      <c r="DN23" s="42">
        <f t="shared" si="32"/>
        <v>59024695.312500015</v>
      </c>
      <c r="DO23" s="42">
        <f t="shared" si="32"/>
        <v>59024695.312500015</v>
      </c>
      <c r="DP23" s="42">
        <f t="shared" si="32"/>
        <v>59024695.312500015</v>
      </c>
      <c r="DQ23" s="42">
        <f t="shared" si="32"/>
        <v>59024695.312500015</v>
      </c>
      <c r="DR23" s="42">
        <f t="shared" si="32"/>
        <v>59024695.312500015</v>
      </c>
      <c r="DS23" s="42">
        <f t="shared" si="32"/>
        <v>59024695.312500015</v>
      </c>
      <c r="DT23" s="42">
        <f t="shared" si="32"/>
        <v>59024695.312500015</v>
      </c>
      <c r="DU23" s="42">
        <f t="shared" si="32"/>
        <v>59024695.312500015</v>
      </c>
    </row>
    <row r="24" spans="3:125" s="3" customFormat="1" ht="22.95" customHeight="1">
      <c r="C24" s="66" t="s">
        <v>235</v>
      </c>
      <c r="D24" s="83">
        <f>HLOOKUP(1,E2:DU24,23,FALSE)</f>
        <v>0.23911703228950498</v>
      </c>
      <c r="E24" s="81">
        <f>XIRR(E$22:$DU22,E$4:$DU4,0.1)</f>
        <v>2.9802322387695314E-9</v>
      </c>
      <c r="F24" s="81">
        <f>XIRR(F$22:$DU22,F$4:$DU4,0.1)</f>
        <v>2.9802322387695314E-9</v>
      </c>
      <c r="G24" s="81">
        <f>XIRR(G$22:$DU22,G$4:$DU4,0.1)</f>
        <v>2.9802322387695314E-9</v>
      </c>
      <c r="H24" s="81">
        <f>XIRR(H$22:$DU22,H$4:$DU4,0.1)</f>
        <v>2.9802322387695314E-9</v>
      </c>
      <c r="I24" s="81">
        <f>XIRR(I$22:$DU22,I$4:$DU4,0.1)</f>
        <v>2.9802322387695314E-9</v>
      </c>
      <c r="J24" s="81">
        <f>XIRR(J$22:$DU22,J$4:$DU4,0.1)</f>
        <v>2.9802322387695314E-9</v>
      </c>
      <c r="K24" s="81">
        <f>XIRR(K$22:$DU22,K$4:$DU4,0.1)</f>
        <v>2.9802322387695314E-9</v>
      </c>
      <c r="L24" s="81">
        <f>XIRR(L$22:$DU22,L$4:$DU4,0.1)</f>
        <v>2.9802322387695314E-9</v>
      </c>
      <c r="M24" s="81">
        <f>XIRR(M$22:$DU22,M$4:$DU4,0.1)</f>
        <v>2.9802322387695314E-9</v>
      </c>
      <c r="N24" s="81">
        <f>XIRR(N$22:$DU22,N$4:$DU4,0.1)</f>
        <v>2.9802322387695314E-9</v>
      </c>
      <c r="O24" s="81">
        <f>XIRR(O$22:$DU22,O$4:$DU4,0.1)</f>
        <v>2.9802322387695314E-9</v>
      </c>
      <c r="P24" s="81">
        <f>XIRR(P$22:$DU22,P$4:$DU4,0.1)</f>
        <v>2.9802322387695314E-9</v>
      </c>
      <c r="Q24" s="81">
        <f>XIRR(Q$22:$DU22,Q$4:$DU4,0.1)</f>
        <v>2.9802322387695314E-9</v>
      </c>
      <c r="R24" s="81">
        <f>XIRR(R$22:$DU22,R$4:$DU4,0.1)</f>
        <v>2.9802322387695314E-9</v>
      </c>
      <c r="S24" s="81">
        <f>XIRR(S$22:$DU22,S$4:$DU4,0.1)</f>
        <v>2.9802322387695314E-9</v>
      </c>
      <c r="T24" s="81">
        <f>XIRR(T$22:$DU22,T$4:$DU4,0.1)</f>
        <v>2.9802322387695314E-9</v>
      </c>
      <c r="U24" s="81">
        <f>XIRR(U$22:$DU22,U$4:$DU4,0.1)</f>
        <v>2.9802322387695314E-9</v>
      </c>
      <c r="V24" s="81">
        <f>XIRR(V$22:$DU22,V$4:$DU4,0.1)</f>
        <v>2.9802322387695314E-9</v>
      </c>
      <c r="W24" s="81">
        <f>XIRR(W$22:$DU22,W$4:$DU4,0.1)</f>
        <v>2.9802322387695314E-9</v>
      </c>
      <c r="X24" s="81">
        <f>XIRR(X$22:$DU22,X$4:$DU4,0.1)</f>
        <v>2.9802322387695314E-9</v>
      </c>
      <c r="Y24" s="81">
        <f>XIRR(Y$22:$DU22,Y$4:$DU4,0.1)</f>
        <v>2.9802322387695314E-9</v>
      </c>
      <c r="Z24" s="81">
        <f>XIRR(Z$22:$DU22,Z$4:$DU4,0.1)</f>
        <v>2.9802322387695314E-9</v>
      </c>
      <c r="AA24" s="81">
        <f>XIRR(AA$22:$DU22,AA$4:$DU4,0.1)</f>
        <v>2.9802322387695314E-9</v>
      </c>
      <c r="AB24" s="81">
        <f>XIRR(AB$22:$DU22,AB$4:$DU4,0.1)</f>
        <v>2.9802322387695314E-9</v>
      </c>
      <c r="AC24" s="81">
        <f>XIRR(AC$22:$DU22,AC$4:$DU4,0.1)</f>
        <v>0.23911703228950498</v>
      </c>
      <c r="AD24" s="81">
        <f>XIRR(AD$22:$DU22,AD$4:$DU4,0.1)</f>
        <v>2.9802322387695314E-9</v>
      </c>
      <c r="AE24" s="81">
        <f>XIRR(AE$22:$DU22,AE$4:$DU4,0.1)</f>
        <v>2.9802322387695314E-9</v>
      </c>
      <c r="AF24" s="81">
        <f>XIRR(AF$22:$DU22,AF$4:$DU4,0.1)</f>
        <v>0.29657395482063298</v>
      </c>
      <c r="AG24" s="81">
        <f>XIRR(AG$22:$DU22,AG$4:$DU4,0.1)</f>
        <v>0.35004546046257023</v>
      </c>
      <c r="AH24" s="81">
        <f>XIRR(AH$22:$DU22,AH$4:$DU4,0.1)</f>
        <v>0.41173550486564636</v>
      </c>
      <c r="AI24" s="81">
        <f>XIRR(AI$22:$DU22,AI$4:$DU4,0.1)</f>
        <v>0.48346161246299746</v>
      </c>
      <c r="AJ24" s="81">
        <f>XIRR(AJ$22:$DU22,AJ$4:$DU4,0.1)</f>
        <v>0.56776434779167173</v>
      </c>
      <c r="AK24" s="81">
        <f>XIRR(AK$22:$DU22,AK$4:$DU4,0.1)</f>
        <v>0.66784630417823787</v>
      </c>
      <c r="AL24" s="81">
        <f>XIRR(AL$22:$DU22,AL$4:$DU4,0.1)</f>
        <v>0.7881446719169618</v>
      </c>
      <c r="AM24" s="81">
        <f>XIRR(AM$22:$DU22,AM$4:$DU4,0.1)</f>
        <v>0.93512114286422721</v>
      </c>
      <c r="AN24" s="81">
        <f>XIRR(AN$22:$DU22,AN$4:$DU4,0.1)</f>
        <v>1.1175130009651186</v>
      </c>
      <c r="AO24" s="81">
        <f>XIRR(AO$22:$DU22,AO$4:$DU4,0.1)</f>
        <v>1.348994815349579</v>
      </c>
      <c r="AP24" s="81">
        <f>XIRR(AP$22:$DU22,AP$4:$DU4,0.1)</f>
        <v>1.649412333965302</v>
      </c>
      <c r="AQ24" s="81">
        <f>XIRR(AQ$22:$DU22,AQ$4:$DU4,0.1)</f>
        <v>2.0506563425064086</v>
      </c>
      <c r="AR24" s="81">
        <f>XIRR(AR$22:$DU22,AR$4:$DU4,0.1)</f>
        <v>2.6129941225051887</v>
      </c>
      <c r="AS24" s="81">
        <f>XIRR(AS$22:$DU22,AS$4:$DU4,0.1)</f>
        <v>3.4340735673904419</v>
      </c>
      <c r="AT24" s="81">
        <f>XIRR(AT$22:$DU22,AT$4:$DU4,0.1)</f>
        <v>4.7177058696746839</v>
      </c>
      <c r="AU24" s="81">
        <f>XIRR(AU$22:$DU22,AU$4:$DU4,0.1)</f>
        <v>6.8998333454132093</v>
      </c>
      <c r="AV24" s="81">
        <f>XIRR(AV$22:$DU22,AV$4:$DU4,0.1)</f>
        <v>11.143144893646243</v>
      </c>
      <c r="AW24" s="81">
        <f>XIRR(AW$22:$DU22,AW$4:$DU4,0.1)</f>
        <v>21.203015708923342</v>
      </c>
      <c r="AX24" s="81">
        <f>XIRR(AX$22:$DU22,AX$4:$DU4,0.1)</f>
        <v>55.718968582153316</v>
      </c>
      <c r="AY24" s="81">
        <f>XIRR(AY$22:$DU22,AY$4:$DU4,0.1)</f>
        <v>166.14001007080086</v>
      </c>
      <c r="AZ24" s="81">
        <f>XIRR(AZ$22:$DU22,AZ$4:$DU4,0.1)</f>
        <v>898.7338806152344</v>
      </c>
      <c r="BA24" s="81">
        <f>XIRR(BA$22:$DU22,BA$4:$DU4,0.1)</f>
        <v>17698.676269531257</v>
      </c>
      <c r="BB24" s="81">
        <f>XIRR(BB$22:$DU22,BB$4:$DU4,0.1)</f>
        <v>8823873.5500000045</v>
      </c>
      <c r="BC24" s="81">
        <f>XIRR(BC$22:$DU22,BC$4:$DU4,0.1)</f>
        <v>198603094517350.38</v>
      </c>
      <c r="BD24" s="81" t="e">
        <f>XIRR(BD$22:$DU22,BD$4:$DU4,0.1)</f>
        <v>#NUM!</v>
      </c>
      <c r="BE24" s="81" t="e">
        <f>XIRR(BE$22:$DU22,BE$4:$DU4,0.1)</f>
        <v>#NUM!</v>
      </c>
      <c r="BF24" s="81" t="e">
        <f>XIRR(BF$22:$DU22,BF$4:$DU4,0.1)</f>
        <v>#NUM!</v>
      </c>
      <c r="BG24" s="81" t="e">
        <f>XIRR(BG$22:$DU22,BG$4:$DU4,0.1)</f>
        <v>#NUM!</v>
      </c>
      <c r="BH24" s="81" t="e">
        <f>XIRR(BH$22:$DU22,BH$4:$DU4,0.1)</f>
        <v>#NUM!</v>
      </c>
      <c r="BI24" s="81" t="e">
        <f>XIRR(BI$22:$DU22,BI$4:$DU4,0.1)</f>
        <v>#NUM!</v>
      </c>
      <c r="BJ24" s="81" t="e">
        <f>XIRR(BJ$22:$DU22,BJ$4:$DU4,0.1)</f>
        <v>#NUM!</v>
      </c>
      <c r="BK24" s="81" t="e">
        <f>XIRR(BK$22:$DU22,BK$4:$DU4,0.1)</f>
        <v>#NUM!</v>
      </c>
      <c r="BL24" s="81" t="e">
        <f>XIRR(BL$22:$DU22,BL$4:$DU4,0.1)</f>
        <v>#NUM!</v>
      </c>
      <c r="BM24" s="81" t="e">
        <f>XIRR(BM$22:$DU22,BM$4:$DU4,0.1)</f>
        <v>#NUM!</v>
      </c>
      <c r="BN24" s="81" t="e">
        <f>XIRR(BN$22:$DU22,BN$4:$DU4,0.1)</f>
        <v>#NUM!</v>
      </c>
      <c r="BO24" s="81" t="e">
        <f>XIRR(BO$22:$DU22,BO$4:$DU4,0.1)</f>
        <v>#NUM!</v>
      </c>
      <c r="BP24" s="81" t="e">
        <f>XIRR(BP$22:$DU22,BP$4:$DU4,0.1)</f>
        <v>#NUM!</v>
      </c>
      <c r="BQ24" s="81" t="e">
        <f>XIRR(BQ$22:$DU22,BQ$4:$DU4,0.1)</f>
        <v>#NUM!</v>
      </c>
      <c r="BR24" s="81" t="e">
        <f>XIRR(BR$22:$DU22,BR$4:$DU4,0.1)</f>
        <v>#NUM!</v>
      </c>
      <c r="BS24" s="81" t="e">
        <f>XIRR(BS$22:$DU22,BS$4:$DU4,0.1)</f>
        <v>#NUM!</v>
      </c>
      <c r="BT24" s="81" t="e">
        <f>XIRR(BT$22:$DU22,BT$4:$DU4,0.1)</f>
        <v>#NUM!</v>
      </c>
      <c r="BU24" s="81" t="e">
        <f>XIRR(BU$22:$DU22,BU$4:$DU4,0.1)</f>
        <v>#NUM!</v>
      </c>
      <c r="BV24" s="81" t="e">
        <f>XIRR(BV$22:$DU22,BV$4:$DU4,0.1)</f>
        <v>#NUM!</v>
      </c>
      <c r="BW24" s="81" t="e">
        <f>XIRR(BW$22:$DU22,BW$4:$DU4,0.1)</f>
        <v>#NUM!</v>
      </c>
      <c r="BX24" s="81" t="e">
        <f>XIRR(BX$22:$DU22,BX$4:$DU4,0.1)</f>
        <v>#NUM!</v>
      </c>
      <c r="BY24" s="81" t="e">
        <f>XIRR(BY$22:$DU22,BY$4:$DU4,0.1)</f>
        <v>#NUM!</v>
      </c>
      <c r="BZ24" s="81" t="e">
        <f>XIRR(BZ$22:$DU22,BZ$4:$DU4,0.1)</f>
        <v>#NUM!</v>
      </c>
      <c r="CA24" s="81" t="e">
        <f>XIRR(CA$22:$DU22,CA$4:$DU4,0.1)</f>
        <v>#NUM!</v>
      </c>
      <c r="CB24" s="81" t="e">
        <f>XIRR(CB$22:$DU22,CB$4:$DU4,0.1)</f>
        <v>#NUM!</v>
      </c>
      <c r="CC24" s="81" t="e">
        <f>XIRR(CC$22:$DU22,CC$4:$DU4,0.1)</f>
        <v>#NUM!</v>
      </c>
      <c r="CD24" s="81" t="e">
        <f>XIRR(CD$22:$DU22,CD$4:$DU4,0.1)</f>
        <v>#NUM!</v>
      </c>
      <c r="CE24" s="81" t="e">
        <f>XIRR(CE$22:$DU22,CE$4:$DU4,0.1)</f>
        <v>#NUM!</v>
      </c>
      <c r="CF24" s="81" t="e">
        <f>XIRR(CF$22:$DU22,CF$4:$DU4,0.1)</f>
        <v>#NUM!</v>
      </c>
      <c r="CG24" s="81" t="e">
        <f>XIRR(CG$22:$DU22,CG$4:$DU4,0.1)</f>
        <v>#NUM!</v>
      </c>
      <c r="CH24" s="81" t="e">
        <f>XIRR(CH$22:$DU22,CH$4:$DU4,0.1)</f>
        <v>#NUM!</v>
      </c>
      <c r="CI24" s="81" t="e">
        <f>XIRR(CI$22:$DU22,CI$4:$DU4,0.1)</f>
        <v>#NUM!</v>
      </c>
      <c r="CJ24" s="81" t="e">
        <f>XIRR(CJ$22:$DU22,CJ$4:$DU4,0.1)</f>
        <v>#NUM!</v>
      </c>
      <c r="CK24" s="81" t="e">
        <f>XIRR(CK$22:$DU22,CK$4:$DU4,0.1)</f>
        <v>#NUM!</v>
      </c>
      <c r="CL24" s="81" t="e">
        <f>XIRR(CL$22:$DU22,CL$4:$DU4,0.1)</f>
        <v>#NUM!</v>
      </c>
      <c r="CM24" s="81" t="e">
        <f>XIRR(CM$22:$DU22,CM$4:$DU4,0.1)</f>
        <v>#NUM!</v>
      </c>
      <c r="CN24" s="81" t="e">
        <f>XIRR(CN$22:$DU22,CN$4:$DU4,0.1)</f>
        <v>#NUM!</v>
      </c>
      <c r="CO24" s="81" t="e">
        <f>XIRR(CO$22:$DU22,CO$4:$DU4,0.1)</f>
        <v>#NUM!</v>
      </c>
      <c r="CP24" s="81" t="e">
        <f>XIRR(CP$22:$DU22,CP$4:$DU4,0.1)</f>
        <v>#NUM!</v>
      </c>
      <c r="CQ24" s="81" t="e">
        <f>XIRR(CQ$22:$DU22,CQ$4:$DU4,0.1)</f>
        <v>#NUM!</v>
      </c>
      <c r="CR24" s="81" t="e">
        <f>XIRR(CR$22:$DU22,CR$4:$DU4,0.1)</f>
        <v>#NUM!</v>
      </c>
      <c r="CS24" s="81" t="e">
        <f>XIRR(CS$22:$DU22,CS$4:$DU4,0.1)</f>
        <v>#NUM!</v>
      </c>
      <c r="CT24" s="81" t="e">
        <f>XIRR(CT$22:$DU22,CT$4:$DU4,0.1)</f>
        <v>#NUM!</v>
      </c>
      <c r="CU24" s="81" t="e">
        <f>XIRR(CU$22:$DU22,CU$4:$DU4,0.1)</f>
        <v>#NUM!</v>
      </c>
      <c r="CV24" s="81" t="e">
        <f>XIRR(CV$22:$DU22,CV$4:$DU4,0.1)</f>
        <v>#NUM!</v>
      </c>
      <c r="CW24" s="81" t="e">
        <f>XIRR(CW$22:$DU22,CW$4:$DU4,0.1)</f>
        <v>#NUM!</v>
      </c>
      <c r="CX24" s="81" t="e">
        <f>XIRR(CX$22:$DU22,CX$4:$DU4,0.1)</f>
        <v>#NUM!</v>
      </c>
      <c r="CY24" s="81" t="e">
        <f>XIRR(CY$22:$DU22,CY$4:$DU4,0.1)</f>
        <v>#NUM!</v>
      </c>
      <c r="CZ24" s="81" t="e">
        <f>XIRR(CZ$22:$DU22,CZ$4:$DU4,0.1)</f>
        <v>#NUM!</v>
      </c>
      <c r="DA24" s="81" t="e">
        <f>XIRR(DA$22:$DU22,DA$4:$DU4,0.1)</f>
        <v>#NUM!</v>
      </c>
      <c r="DB24" s="81" t="e">
        <f>XIRR(DB$22:$DU22,DB$4:$DU4,0.1)</f>
        <v>#NUM!</v>
      </c>
      <c r="DC24" s="81" t="e">
        <f>XIRR(DC$22:$DU22,DC$4:$DU4,0.1)</f>
        <v>#NUM!</v>
      </c>
      <c r="DD24" s="81" t="e">
        <f>XIRR(DD$22:$DU22,DD$4:$DU4,0.1)</f>
        <v>#NUM!</v>
      </c>
      <c r="DE24" s="81" t="e">
        <f>XIRR(DE$22:$DU22,DE$4:$DU4,0.1)</f>
        <v>#NUM!</v>
      </c>
      <c r="DF24" s="81" t="e">
        <f>XIRR(DF$22:$DU22,DF$4:$DU4,0.1)</f>
        <v>#NUM!</v>
      </c>
      <c r="DG24" s="81" t="e">
        <f>XIRR(DG$22:$DU22,DG$4:$DU4,0.1)</f>
        <v>#NUM!</v>
      </c>
      <c r="DH24" s="81" t="e">
        <f>XIRR(DH$22:$DU22,DH$4:$DU4,0.1)</f>
        <v>#NUM!</v>
      </c>
      <c r="DI24" s="81" t="e">
        <f>XIRR(DI$22:$DU22,DI$4:$DU4,0.1)</f>
        <v>#NUM!</v>
      </c>
      <c r="DJ24" s="81" t="e">
        <f>XIRR(DJ$22:$DU22,DJ$4:$DU4,0.1)</f>
        <v>#NUM!</v>
      </c>
      <c r="DK24" s="81" t="e">
        <f>XIRR(DK$22:$DU22,DK$4:$DU4,0.1)</f>
        <v>#NUM!</v>
      </c>
      <c r="DL24" s="81" t="e">
        <f>XIRR(DL$22:$DU22,DL$4:$DU4,0.1)</f>
        <v>#NUM!</v>
      </c>
      <c r="DM24" s="81" t="e">
        <f>XIRR(DM$22:$DU22,DM$4:$DU4,0.1)</f>
        <v>#NUM!</v>
      </c>
      <c r="DN24" s="81" t="e">
        <f>XIRR(DN$22:$DU22,DN$4:$DU4,0.1)</f>
        <v>#NUM!</v>
      </c>
      <c r="DO24" s="81" t="e">
        <f>XIRR(DO$22:$DU22,DO$4:$DU4,0.1)</f>
        <v>#NUM!</v>
      </c>
      <c r="DP24" s="81" t="e">
        <f>XIRR(DP$22:$DU22,DP$4:$DU4,0.1)</f>
        <v>#NUM!</v>
      </c>
      <c r="DQ24" s="81" t="e">
        <f>XIRR(DQ$22:$DU22,DQ$4:$DU4,0.1)</f>
        <v>#NUM!</v>
      </c>
      <c r="DR24" s="81" t="e">
        <f>XIRR(DR$22:$DU22,DR$4:$DU4,0.1)</f>
        <v>#NUM!</v>
      </c>
      <c r="DS24" s="81" t="e">
        <f>XIRR(DS$22:$DU22,DS$4:$DU4,0.1)</f>
        <v>#NUM!</v>
      </c>
      <c r="DT24" s="81" t="e">
        <f>XIRR(DT$22:$DU22,DT$4:$DU4,0.1)</f>
        <v>#NUM!</v>
      </c>
      <c r="DU24" s="81" t="e">
        <f>XIRR(DU$22:$DU22,DU$4:$DU4,0.1)</f>
        <v>#N/A</v>
      </c>
    </row>
    <row r="25" spans="3:125" s="3" customFormat="1" ht="22.95" customHeight="1">
      <c r="C25" s="67" t="s">
        <v>236</v>
      </c>
      <c r="D25" s="68">
        <f>D22/D23+1</f>
        <v>1.3814805563428212</v>
      </c>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1"/>
    </row>
    <row r="26" spans="3:125" s="3" customFormat="1" ht="22.95" customHeight="1">
      <c r="D26" s="24"/>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row>
    <row r="27" spans="3:125" s="3" customFormat="1" ht="22.95" customHeight="1">
      <c r="C27" s="48" t="s">
        <v>282</v>
      </c>
      <c r="D27" s="49">
        <f>SUM(E27:DU27)</f>
        <v>56340456.948607169</v>
      </c>
      <c r="E27" s="50">
        <f>E20+(E13*'Single Project Assumptions'!$P$22)</f>
        <v>0</v>
      </c>
      <c r="F27" s="50">
        <f>F20+(F13*'Single Project Assumptions'!$P$22)</f>
        <v>0</v>
      </c>
      <c r="G27" s="50">
        <f>G20+(G13*'Single Project Assumptions'!$P$22)</f>
        <v>0</v>
      </c>
      <c r="H27" s="50">
        <f>H20+(H13*'Single Project Assumptions'!$P$22)</f>
        <v>0</v>
      </c>
      <c r="I27" s="50">
        <f>I20+(I13*'Single Project Assumptions'!$P$22)</f>
        <v>0</v>
      </c>
      <c r="J27" s="50">
        <f>J20+(J13*'Single Project Assumptions'!$P$22)</f>
        <v>0</v>
      </c>
      <c r="K27" s="50">
        <f>K20+(K13*'Single Project Assumptions'!$P$22)</f>
        <v>0</v>
      </c>
      <c r="L27" s="50">
        <f>L20+(L13*'Single Project Assumptions'!$P$22)</f>
        <v>0</v>
      </c>
      <c r="M27" s="50">
        <f>M20+(M13*'Single Project Assumptions'!$P$22)</f>
        <v>0</v>
      </c>
      <c r="N27" s="50">
        <f>N20+(N13*'Single Project Assumptions'!$P$22)</f>
        <v>0</v>
      </c>
      <c r="O27" s="50">
        <f>O20+(O13*'Single Project Assumptions'!$P$22)</f>
        <v>0</v>
      </c>
      <c r="P27" s="50">
        <f>P20+(P13*'Single Project Assumptions'!$P$22)</f>
        <v>0</v>
      </c>
      <c r="Q27" s="50">
        <f>Q20+(Q13*'Single Project Assumptions'!$P$22)</f>
        <v>0</v>
      </c>
      <c r="R27" s="50">
        <f>R20+(R13*'Single Project Assumptions'!$P$22)</f>
        <v>0</v>
      </c>
      <c r="S27" s="50">
        <f>S20+(S13*'Single Project Assumptions'!$P$22)</f>
        <v>0</v>
      </c>
      <c r="T27" s="50">
        <f>T20+(T13*'Single Project Assumptions'!$P$22)</f>
        <v>0</v>
      </c>
      <c r="U27" s="50">
        <f>U20+(U13*'Single Project Assumptions'!$P$22)</f>
        <v>0</v>
      </c>
      <c r="V27" s="50">
        <f>V20+(V13*'Single Project Assumptions'!$P$22)</f>
        <v>0</v>
      </c>
      <c r="W27" s="50">
        <f>W20+(W13*'Single Project Assumptions'!$P$22)</f>
        <v>0</v>
      </c>
      <c r="X27" s="50">
        <f>X20+(X13*'Single Project Assumptions'!$P$22)</f>
        <v>0</v>
      </c>
      <c r="Y27" s="50">
        <f>Y20+(Y13*'Single Project Assumptions'!$P$22)</f>
        <v>0</v>
      </c>
      <c r="Z27" s="50">
        <f>Z20+(Z13*'Single Project Assumptions'!$P$22)</f>
        <v>0</v>
      </c>
      <c r="AA27" s="50">
        <f>AA20+(AA13*'Single Project Assumptions'!$P$22)</f>
        <v>0</v>
      </c>
      <c r="AB27" s="50">
        <f>AB20+(AB13*'Single Project Assumptions'!$P$22)</f>
        <v>0</v>
      </c>
      <c r="AC27" s="50">
        <f>AC20+(AC13*'Single Project Assumptions'!$P$22)</f>
        <v>-7959375</v>
      </c>
      <c r="AD27" s="50">
        <f>AD20+(AD13*'Single Project Assumptions'!$P$22)</f>
        <v>0</v>
      </c>
      <c r="AE27" s="50">
        <f>AE20+(AE13*'Single Project Assumptions'!$P$22)</f>
        <v>0</v>
      </c>
      <c r="AF27" s="50">
        <f>AF20+(AF13*'Single Project Assumptions'!$P$22)</f>
        <v>-6583997.0703125</v>
      </c>
      <c r="AG27" s="50">
        <f>AG20+(AG13*'Single Project Assumptions'!$P$22)</f>
        <v>-6583997.0703125</v>
      </c>
      <c r="AH27" s="50">
        <f>AH20+(AH13*'Single Project Assumptions'!$P$22)</f>
        <v>-6583997.0703125</v>
      </c>
      <c r="AI27" s="50">
        <f>AI20+(AI13*'Single Project Assumptions'!$P$22)</f>
        <v>-6583997.0703125</v>
      </c>
      <c r="AJ27" s="50">
        <f>AJ20+(AJ13*'Single Project Assumptions'!$P$22)</f>
        <v>-6583997.0703125</v>
      </c>
      <c r="AK27" s="50">
        <f>AK20+(AK13*'Single Project Assumptions'!$P$22)</f>
        <v>-6583997.0703125</v>
      </c>
      <c r="AL27" s="50">
        <f>AL20+(AL13*'Single Project Assumptions'!$P$22)</f>
        <v>-6583997.0703125</v>
      </c>
      <c r="AM27" s="50">
        <f>AM20+(AM13*'Single Project Assumptions'!$P$22)</f>
        <v>-6583997.0703125</v>
      </c>
      <c r="AN27" s="50">
        <f>AN20+(AN13*'Single Project Assumptions'!$P$22)</f>
        <v>-6583997.0703125</v>
      </c>
      <c r="AO27" s="50">
        <f>AO20+(AO13*'Single Project Assumptions'!$P$22)</f>
        <v>-6583997.0703125</v>
      </c>
      <c r="AP27" s="50">
        <f>AP20+(AP13*'Single Project Assumptions'!$P$22)</f>
        <v>-6583997.0703125</v>
      </c>
      <c r="AQ27" s="50">
        <f>AQ20+(AQ13*'Single Project Assumptions'!$P$22)</f>
        <v>-6583997.0703125</v>
      </c>
      <c r="AR27" s="50">
        <f>AR20+(AR13*'Single Project Assumptions'!$P$22)</f>
        <v>-6583997.0703125</v>
      </c>
      <c r="AS27" s="50">
        <f>AS20+(AS13*'Single Project Assumptions'!$P$22)</f>
        <v>-6583997.0703125</v>
      </c>
      <c r="AT27" s="50">
        <f>AT20+(AT13*'Single Project Assumptions'!$P$22)</f>
        <v>-6583997.0703125</v>
      </c>
      <c r="AU27" s="50">
        <f>AU20+(AU13*'Single Project Assumptions'!$P$22)</f>
        <v>-6583997.0703125</v>
      </c>
      <c r="AV27" s="50">
        <f>AV20+(AV13*'Single Project Assumptions'!$P$22)</f>
        <v>-6583997.0703125</v>
      </c>
      <c r="AW27" s="50">
        <f>AW20+(AW13*'Single Project Assumptions'!$P$22)</f>
        <v>-6583997.0703125</v>
      </c>
      <c r="AX27" s="50">
        <f>AX20+(AX13*'Single Project Assumptions'!$P$22)</f>
        <v>-4731365.7233449398</v>
      </c>
      <c r="AY27" s="50">
        <f>AY20+(AY13*'Single Project Assumptions'!$P$22)</f>
        <v>-4731365.7233449398</v>
      </c>
      <c r="AZ27" s="50">
        <f>AZ20+(AZ13*'Single Project Assumptions'!$P$22)</f>
        <v>-4731365.7233449398</v>
      </c>
      <c r="BA27" s="50">
        <f>BA20+(BA13*'Single Project Assumptions'!$P$22)</f>
        <v>-4731365.7233449398</v>
      </c>
      <c r="BB27" s="50">
        <f>BB20+(BB13*'Single Project Assumptions'!$P$22)</f>
        <v>-4731365.7233449398</v>
      </c>
      <c r="BC27" s="50">
        <f>BC20+(BC13*'Single Project Assumptions'!$P$22)</f>
        <v>-4731365.7233449398</v>
      </c>
      <c r="BD27" s="50">
        <f>BD20+(BD13*'Single Project Assumptions'!$P$22)</f>
        <v>75340341.443347454</v>
      </c>
      <c r="BE27" s="50">
        <f>BE20+(BE13*'Single Project Assumptions'!$P$22)</f>
        <v>12350875.646450398</v>
      </c>
      <c r="BF27" s="50">
        <f>BF20+(BF13*'Single Project Assumptions'!$P$22)</f>
        <v>12350875.646450398</v>
      </c>
      <c r="BG27" s="50">
        <f>BG20+(BG13*'Single Project Assumptions'!$P$22)</f>
        <v>12350875.646450398</v>
      </c>
      <c r="BH27" s="50">
        <f>BH20+(BH13*'Single Project Assumptions'!$P$22)</f>
        <v>12350875.646450398</v>
      </c>
      <c r="BI27" s="50">
        <f>BI20+(BI13*'Single Project Assumptions'!$P$22)</f>
        <v>12350875.646450398</v>
      </c>
      <c r="BJ27" s="50">
        <f>BJ20+(BJ13*'Single Project Assumptions'!$P$22)</f>
        <v>12350875.646450398</v>
      </c>
      <c r="BK27" s="50">
        <f>BK20+(BK13*'Single Project Assumptions'!$P$22)</f>
        <v>12350875.646450398</v>
      </c>
      <c r="BL27" s="50">
        <f>BL20+(BL13*'Single Project Assumptions'!$P$22)</f>
        <v>12350875.646450398</v>
      </c>
      <c r="BM27" s="50">
        <f>BM20+(BM13*'Single Project Assumptions'!$P$22)</f>
        <v>12350875.646450398</v>
      </c>
      <c r="BN27" s="50">
        <f>BN20+(BN13*'Single Project Assumptions'!$P$22)</f>
        <v>12350875.646450398</v>
      </c>
      <c r="BO27" s="50">
        <f>BO20+(BO13*'Single Project Assumptions'!$P$22)</f>
        <v>12350875.646450398</v>
      </c>
      <c r="BP27" s="50">
        <f>BP20+(BP13*'Single Project Assumptions'!$P$22)</f>
        <v>0</v>
      </c>
      <c r="BQ27" s="50">
        <f>BQ20+(BQ13*'Single Project Assumptions'!$P$22)</f>
        <v>0</v>
      </c>
      <c r="BR27" s="50">
        <f>BR20+(BR13*'Single Project Assumptions'!$P$22)</f>
        <v>0</v>
      </c>
      <c r="BS27" s="50">
        <f>BS20+(BS13*'Single Project Assumptions'!$P$22)</f>
        <v>0</v>
      </c>
      <c r="BT27" s="50">
        <f>BT20+(BT13*'Single Project Assumptions'!$P$22)</f>
        <v>0</v>
      </c>
      <c r="BU27" s="50">
        <f>BU20+(BU13*'Single Project Assumptions'!$P$22)</f>
        <v>0</v>
      </c>
      <c r="BV27" s="50">
        <f>BV20+(BV13*'Single Project Assumptions'!$P$22)</f>
        <v>0</v>
      </c>
      <c r="BW27" s="50">
        <f>BW20+(BW13*'Single Project Assumptions'!$P$22)</f>
        <v>0</v>
      </c>
      <c r="BX27" s="50">
        <f>BX20+(BX13*'Single Project Assumptions'!$P$22)</f>
        <v>0</v>
      </c>
      <c r="BY27" s="50">
        <f>BY20+(BY13*'Single Project Assumptions'!$P$22)</f>
        <v>0</v>
      </c>
      <c r="BZ27" s="50">
        <f>BZ20+(BZ13*'Single Project Assumptions'!$P$22)</f>
        <v>0</v>
      </c>
      <c r="CA27" s="50">
        <f>CA20+(CA13*'Single Project Assumptions'!$P$22)</f>
        <v>0</v>
      </c>
      <c r="CB27" s="50">
        <f>CB20+(CB13*'Single Project Assumptions'!$P$22)</f>
        <v>0</v>
      </c>
      <c r="CC27" s="50">
        <f>CC20+(CC13*'Single Project Assumptions'!$P$22)</f>
        <v>0</v>
      </c>
      <c r="CD27" s="50">
        <f>CD20+(CD13*'Single Project Assumptions'!$P$22)</f>
        <v>0</v>
      </c>
      <c r="CE27" s="50">
        <f>CE20+(CE13*'Single Project Assumptions'!$P$22)</f>
        <v>0</v>
      </c>
      <c r="CF27" s="50">
        <f>CF20+(CF13*'Single Project Assumptions'!$P$22)</f>
        <v>0</v>
      </c>
      <c r="CG27" s="50">
        <f>CG20+(CG13*'Single Project Assumptions'!$P$22)</f>
        <v>0</v>
      </c>
      <c r="CH27" s="50">
        <f>CH20+(CH13*'Single Project Assumptions'!$P$22)</f>
        <v>0</v>
      </c>
      <c r="CI27" s="50">
        <f>CI20+(CI13*'Single Project Assumptions'!$P$22)</f>
        <v>0</v>
      </c>
      <c r="CJ27" s="50">
        <f>CJ20+(CJ13*'Single Project Assumptions'!$P$22)</f>
        <v>0</v>
      </c>
      <c r="CK27" s="50">
        <f>CK20+(CK13*'Single Project Assumptions'!$P$22)</f>
        <v>0</v>
      </c>
      <c r="CL27" s="50">
        <f>CL20+(CL13*'Single Project Assumptions'!$P$22)</f>
        <v>0</v>
      </c>
      <c r="CM27" s="50">
        <f>CM20+(CM13*'Single Project Assumptions'!$P$22)</f>
        <v>0</v>
      </c>
      <c r="CN27" s="50">
        <f>CN20+(CN13*'Single Project Assumptions'!$P$22)</f>
        <v>0</v>
      </c>
      <c r="CO27" s="50">
        <f>CO20+(CO13*'Single Project Assumptions'!$P$22)</f>
        <v>0</v>
      </c>
      <c r="CP27" s="50">
        <f>CP20+(CP13*'Single Project Assumptions'!$P$22)</f>
        <v>0</v>
      </c>
      <c r="CQ27" s="50">
        <f>CQ20+(CQ13*'Single Project Assumptions'!$P$22)</f>
        <v>0</v>
      </c>
      <c r="CR27" s="50">
        <f>CR20+(CR13*'Single Project Assumptions'!$P$22)</f>
        <v>0</v>
      </c>
      <c r="CS27" s="50">
        <f>CS20+(CS13*'Single Project Assumptions'!$P$22)</f>
        <v>0</v>
      </c>
      <c r="CT27" s="50">
        <f>CT20+(CT13*'Single Project Assumptions'!$P$22)</f>
        <v>0</v>
      </c>
      <c r="CU27" s="50">
        <f>CU20+(CU13*'Single Project Assumptions'!$P$22)</f>
        <v>0</v>
      </c>
      <c r="CV27" s="50">
        <f>CV20+(CV13*'Single Project Assumptions'!$P$22)</f>
        <v>0</v>
      </c>
      <c r="CW27" s="50">
        <f>CW20+(CW13*'Single Project Assumptions'!$P$22)</f>
        <v>0</v>
      </c>
      <c r="CX27" s="50">
        <f>CX20+(CX13*'Single Project Assumptions'!$P$22)</f>
        <v>0</v>
      </c>
      <c r="CY27" s="50">
        <f>CY20+(CY13*'Single Project Assumptions'!$P$22)</f>
        <v>0</v>
      </c>
      <c r="CZ27" s="50">
        <f>CZ20+(CZ13*'Single Project Assumptions'!$P$22)</f>
        <v>0</v>
      </c>
      <c r="DA27" s="50">
        <f>DA20+(DA13*'Single Project Assumptions'!$P$22)</f>
        <v>0</v>
      </c>
      <c r="DB27" s="50">
        <f>DB20+(DB13*'Single Project Assumptions'!$P$22)</f>
        <v>0</v>
      </c>
      <c r="DC27" s="50">
        <f>DC20+(DC13*'Single Project Assumptions'!$P$22)</f>
        <v>0</v>
      </c>
      <c r="DD27" s="50">
        <f>DD20+(DD13*'Single Project Assumptions'!$P$22)</f>
        <v>0</v>
      </c>
      <c r="DE27" s="50">
        <f>DE20+(DE13*'Single Project Assumptions'!$P$22)</f>
        <v>0</v>
      </c>
      <c r="DF27" s="50">
        <f>DF20+(DF13*'Single Project Assumptions'!$P$22)</f>
        <v>0</v>
      </c>
      <c r="DG27" s="50">
        <f>DG20+(DG13*'Single Project Assumptions'!$P$22)</f>
        <v>0</v>
      </c>
      <c r="DH27" s="50">
        <f>DH20+(DH13*'Single Project Assumptions'!$P$22)</f>
        <v>0</v>
      </c>
      <c r="DI27" s="50">
        <f>DI20+(DI13*'Single Project Assumptions'!$P$22)</f>
        <v>0</v>
      </c>
      <c r="DJ27" s="50">
        <f>DJ20+(DJ13*'Single Project Assumptions'!$P$22)</f>
        <v>0</v>
      </c>
      <c r="DK27" s="50">
        <f>DK20+(DK13*'Single Project Assumptions'!$P$22)</f>
        <v>0</v>
      </c>
      <c r="DL27" s="50">
        <f>DL20+(DL13*'Single Project Assumptions'!$P$22)</f>
        <v>0</v>
      </c>
      <c r="DM27" s="50">
        <f>DM20+(DM13*'Single Project Assumptions'!$P$22)</f>
        <v>0</v>
      </c>
      <c r="DN27" s="50">
        <f>DN20+(DN13*'Single Project Assumptions'!$P$22)</f>
        <v>0</v>
      </c>
      <c r="DO27" s="50">
        <f>DO20+(DO13*'Single Project Assumptions'!$P$22)</f>
        <v>0</v>
      </c>
      <c r="DP27" s="50">
        <f>DP20+(DP13*'Single Project Assumptions'!$P$22)</f>
        <v>0</v>
      </c>
      <c r="DQ27" s="50">
        <f>DQ20+(DQ13*'Single Project Assumptions'!$P$22)</f>
        <v>0</v>
      </c>
      <c r="DR27" s="50">
        <f>DR20+(DR13*'Single Project Assumptions'!$P$22)</f>
        <v>0</v>
      </c>
      <c r="DS27" s="50">
        <f>DS20+(DS13*'Single Project Assumptions'!$P$22)</f>
        <v>0</v>
      </c>
      <c r="DT27" s="50">
        <f>DT20+(DT13*'Single Project Assumptions'!$P$22)</f>
        <v>0</v>
      </c>
      <c r="DU27" s="50">
        <f>DU20+(DU13*'Single Project Assumptions'!$P$22)</f>
        <v>0</v>
      </c>
    </row>
    <row r="28" spans="3:125" s="3" customFormat="1" ht="22.95" customHeight="1">
      <c r="C28" s="31" t="s">
        <v>234</v>
      </c>
      <c r="D28" s="41">
        <f>-MIN(E28:DU28)</f>
        <v>154859516.60569468</v>
      </c>
      <c r="E28" s="42">
        <f>E27</f>
        <v>0</v>
      </c>
      <c r="F28" s="42">
        <f t="shared" ref="F28:AK28" si="33">F27+E28</f>
        <v>0</v>
      </c>
      <c r="G28" s="42">
        <f t="shared" si="33"/>
        <v>0</v>
      </c>
      <c r="H28" s="42">
        <f t="shared" si="33"/>
        <v>0</v>
      </c>
      <c r="I28" s="42">
        <f t="shared" si="33"/>
        <v>0</v>
      </c>
      <c r="J28" s="42">
        <f t="shared" si="33"/>
        <v>0</v>
      </c>
      <c r="K28" s="42">
        <f t="shared" si="33"/>
        <v>0</v>
      </c>
      <c r="L28" s="42">
        <f t="shared" si="33"/>
        <v>0</v>
      </c>
      <c r="M28" s="42">
        <f t="shared" si="33"/>
        <v>0</v>
      </c>
      <c r="N28" s="42">
        <f t="shared" si="33"/>
        <v>0</v>
      </c>
      <c r="O28" s="42">
        <f t="shared" si="33"/>
        <v>0</v>
      </c>
      <c r="P28" s="42">
        <f t="shared" si="33"/>
        <v>0</v>
      </c>
      <c r="Q28" s="42">
        <f t="shared" si="33"/>
        <v>0</v>
      </c>
      <c r="R28" s="42">
        <f t="shared" si="33"/>
        <v>0</v>
      </c>
      <c r="S28" s="42">
        <f t="shared" si="33"/>
        <v>0</v>
      </c>
      <c r="T28" s="42">
        <f t="shared" si="33"/>
        <v>0</v>
      </c>
      <c r="U28" s="42">
        <f t="shared" si="33"/>
        <v>0</v>
      </c>
      <c r="V28" s="42">
        <f t="shared" si="33"/>
        <v>0</v>
      </c>
      <c r="W28" s="42">
        <f t="shared" si="33"/>
        <v>0</v>
      </c>
      <c r="X28" s="42">
        <f t="shared" si="33"/>
        <v>0</v>
      </c>
      <c r="Y28" s="42">
        <f t="shared" si="33"/>
        <v>0</v>
      </c>
      <c r="Z28" s="42">
        <f t="shared" si="33"/>
        <v>0</v>
      </c>
      <c r="AA28" s="42">
        <f t="shared" si="33"/>
        <v>0</v>
      </c>
      <c r="AB28" s="42">
        <f t="shared" si="33"/>
        <v>0</v>
      </c>
      <c r="AC28" s="42">
        <f t="shared" si="33"/>
        <v>-7959375</v>
      </c>
      <c r="AD28" s="42">
        <f t="shared" si="33"/>
        <v>-7959375</v>
      </c>
      <c r="AE28" s="42">
        <f t="shared" si="33"/>
        <v>-7959375</v>
      </c>
      <c r="AF28" s="42">
        <f t="shared" si="33"/>
        <v>-14543372.0703125</v>
      </c>
      <c r="AG28" s="42">
        <f t="shared" si="33"/>
        <v>-21127369.140625</v>
      </c>
      <c r="AH28" s="42">
        <f t="shared" si="33"/>
        <v>-27711366.2109375</v>
      </c>
      <c r="AI28" s="42">
        <f t="shared" si="33"/>
        <v>-34295363.28125</v>
      </c>
      <c r="AJ28" s="42">
        <f t="shared" si="33"/>
        <v>-40879360.3515625</v>
      </c>
      <c r="AK28" s="42">
        <f t="shared" si="33"/>
        <v>-47463357.421875</v>
      </c>
      <c r="AL28" s="42">
        <f t="shared" ref="AL28:BQ28" si="34">AL27+AK28</f>
        <v>-54047354.4921875</v>
      </c>
      <c r="AM28" s="42">
        <f t="shared" si="34"/>
        <v>-60631351.5625</v>
      </c>
      <c r="AN28" s="42">
        <f t="shared" si="34"/>
        <v>-67215348.6328125</v>
      </c>
      <c r="AO28" s="42">
        <f t="shared" si="34"/>
        <v>-73799345.703125</v>
      </c>
      <c r="AP28" s="42">
        <f t="shared" si="34"/>
        <v>-80383342.7734375</v>
      </c>
      <c r="AQ28" s="42">
        <f t="shared" si="34"/>
        <v>-86967339.84375</v>
      </c>
      <c r="AR28" s="42">
        <f t="shared" si="34"/>
        <v>-93551336.9140625</v>
      </c>
      <c r="AS28" s="42">
        <f t="shared" si="34"/>
        <v>-100135333.984375</v>
      </c>
      <c r="AT28" s="42">
        <f t="shared" si="34"/>
        <v>-106719331.0546875</v>
      </c>
      <c r="AU28" s="42">
        <f t="shared" si="34"/>
        <v>-113303328.125</v>
      </c>
      <c r="AV28" s="42">
        <f t="shared" si="34"/>
        <v>-119887325.1953125</v>
      </c>
      <c r="AW28" s="42">
        <f t="shared" si="34"/>
        <v>-126471322.265625</v>
      </c>
      <c r="AX28" s="42">
        <f t="shared" si="34"/>
        <v>-131202687.98896994</v>
      </c>
      <c r="AY28" s="42">
        <f t="shared" si="34"/>
        <v>-135934053.71231487</v>
      </c>
      <c r="AZ28" s="42">
        <f t="shared" si="34"/>
        <v>-140665419.43565983</v>
      </c>
      <c r="BA28" s="42">
        <f t="shared" si="34"/>
        <v>-145396785.15900478</v>
      </c>
      <c r="BB28" s="42">
        <f t="shared" si="34"/>
        <v>-150128150.88234973</v>
      </c>
      <c r="BC28" s="42">
        <f t="shared" si="34"/>
        <v>-154859516.60569468</v>
      </c>
      <c r="BD28" s="42">
        <f t="shared" si="34"/>
        <v>-79519175.162347227</v>
      </c>
      <c r="BE28" s="42">
        <f t="shared" si="34"/>
        <v>-67168299.515896827</v>
      </c>
      <c r="BF28" s="42">
        <f t="shared" si="34"/>
        <v>-54817423.869446427</v>
      </c>
      <c r="BG28" s="42">
        <f t="shared" si="34"/>
        <v>-42466548.222996026</v>
      </c>
      <c r="BH28" s="42">
        <f t="shared" si="34"/>
        <v>-30115672.576545626</v>
      </c>
      <c r="BI28" s="42">
        <f t="shared" si="34"/>
        <v>-17764796.930095226</v>
      </c>
      <c r="BJ28" s="42">
        <f t="shared" si="34"/>
        <v>-5413921.2836448271</v>
      </c>
      <c r="BK28" s="42">
        <f t="shared" si="34"/>
        <v>6936954.3628055714</v>
      </c>
      <c r="BL28" s="42">
        <f t="shared" si="34"/>
        <v>19287830.009255968</v>
      </c>
      <c r="BM28" s="42">
        <f t="shared" si="34"/>
        <v>31638705.655706368</v>
      </c>
      <c r="BN28" s="42">
        <f t="shared" si="34"/>
        <v>43989581.302156769</v>
      </c>
      <c r="BO28" s="42">
        <f t="shared" si="34"/>
        <v>56340456.948607169</v>
      </c>
      <c r="BP28" s="42">
        <f t="shared" si="34"/>
        <v>56340456.948607169</v>
      </c>
      <c r="BQ28" s="42">
        <f t="shared" si="34"/>
        <v>56340456.948607169</v>
      </c>
      <c r="BR28" s="42">
        <f t="shared" ref="BR28:CW28" si="35">BR27+BQ28</f>
        <v>56340456.948607169</v>
      </c>
      <c r="BS28" s="42">
        <f t="shared" si="35"/>
        <v>56340456.948607169</v>
      </c>
      <c r="BT28" s="42">
        <f t="shared" si="35"/>
        <v>56340456.948607169</v>
      </c>
      <c r="BU28" s="42">
        <f t="shared" si="35"/>
        <v>56340456.948607169</v>
      </c>
      <c r="BV28" s="42">
        <f t="shared" si="35"/>
        <v>56340456.948607169</v>
      </c>
      <c r="BW28" s="42">
        <f t="shared" si="35"/>
        <v>56340456.948607169</v>
      </c>
      <c r="BX28" s="42">
        <f t="shared" si="35"/>
        <v>56340456.948607169</v>
      </c>
      <c r="BY28" s="42">
        <f t="shared" si="35"/>
        <v>56340456.948607169</v>
      </c>
      <c r="BZ28" s="42">
        <f t="shared" si="35"/>
        <v>56340456.948607169</v>
      </c>
      <c r="CA28" s="42">
        <f t="shared" si="35"/>
        <v>56340456.948607169</v>
      </c>
      <c r="CB28" s="42">
        <f t="shared" si="35"/>
        <v>56340456.948607169</v>
      </c>
      <c r="CC28" s="42">
        <f t="shared" si="35"/>
        <v>56340456.948607169</v>
      </c>
      <c r="CD28" s="42">
        <f t="shared" si="35"/>
        <v>56340456.948607169</v>
      </c>
      <c r="CE28" s="42">
        <f t="shared" si="35"/>
        <v>56340456.948607169</v>
      </c>
      <c r="CF28" s="42">
        <f t="shared" si="35"/>
        <v>56340456.948607169</v>
      </c>
      <c r="CG28" s="42">
        <f t="shared" si="35"/>
        <v>56340456.948607169</v>
      </c>
      <c r="CH28" s="42">
        <f t="shared" si="35"/>
        <v>56340456.948607169</v>
      </c>
      <c r="CI28" s="42">
        <f t="shared" si="35"/>
        <v>56340456.948607169</v>
      </c>
      <c r="CJ28" s="42">
        <f t="shared" si="35"/>
        <v>56340456.948607169</v>
      </c>
      <c r="CK28" s="42">
        <f t="shared" si="35"/>
        <v>56340456.948607169</v>
      </c>
      <c r="CL28" s="42">
        <f t="shared" si="35"/>
        <v>56340456.948607169</v>
      </c>
      <c r="CM28" s="42">
        <f t="shared" si="35"/>
        <v>56340456.948607169</v>
      </c>
      <c r="CN28" s="42">
        <f t="shared" si="35"/>
        <v>56340456.948607169</v>
      </c>
      <c r="CO28" s="42">
        <f t="shared" si="35"/>
        <v>56340456.948607169</v>
      </c>
      <c r="CP28" s="42">
        <f t="shared" si="35"/>
        <v>56340456.948607169</v>
      </c>
      <c r="CQ28" s="42">
        <f t="shared" si="35"/>
        <v>56340456.948607169</v>
      </c>
      <c r="CR28" s="42">
        <f t="shared" si="35"/>
        <v>56340456.948607169</v>
      </c>
      <c r="CS28" s="42">
        <f t="shared" si="35"/>
        <v>56340456.948607169</v>
      </c>
      <c r="CT28" s="42">
        <f t="shared" si="35"/>
        <v>56340456.948607169</v>
      </c>
      <c r="CU28" s="42">
        <f t="shared" si="35"/>
        <v>56340456.948607169</v>
      </c>
      <c r="CV28" s="42">
        <f t="shared" si="35"/>
        <v>56340456.948607169</v>
      </c>
      <c r="CW28" s="42">
        <f t="shared" si="35"/>
        <v>56340456.948607169</v>
      </c>
      <c r="CX28" s="42">
        <f t="shared" ref="CX28:DU28" si="36">CX27+CW28</f>
        <v>56340456.948607169</v>
      </c>
      <c r="CY28" s="42">
        <f t="shared" si="36"/>
        <v>56340456.948607169</v>
      </c>
      <c r="CZ28" s="42">
        <f t="shared" si="36"/>
        <v>56340456.948607169</v>
      </c>
      <c r="DA28" s="42">
        <f t="shared" si="36"/>
        <v>56340456.948607169</v>
      </c>
      <c r="DB28" s="42">
        <f t="shared" si="36"/>
        <v>56340456.948607169</v>
      </c>
      <c r="DC28" s="42">
        <f t="shared" si="36"/>
        <v>56340456.948607169</v>
      </c>
      <c r="DD28" s="42">
        <f t="shared" si="36"/>
        <v>56340456.948607169</v>
      </c>
      <c r="DE28" s="42">
        <f t="shared" si="36"/>
        <v>56340456.948607169</v>
      </c>
      <c r="DF28" s="42">
        <f t="shared" si="36"/>
        <v>56340456.948607169</v>
      </c>
      <c r="DG28" s="42">
        <f t="shared" si="36"/>
        <v>56340456.948607169</v>
      </c>
      <c r="DH28" s="42">
        <f t="shared" si="36"/>
        <v>56340456.948607169</v>
      </c>
      <c r="DI28" s="42">
        <f t="shared" si="36"/>
        <v>56340456.948607169</v>
      </c>
      <c r="DJ28" s="42">
        <f t="shared" si="36"/>
        <v>56340456.948607169</v>
      </c>
      <c r="DK28" s="42">
        <f t="shared" si="36"/>
        <v>56340456.948607169</v>
      </c>
      <c r="DL28" s="42">
        <f t="shared" si="36"/>
        <v>56340456.948607169</v>
      </c>
      <c r="DM28" s="42">
        <f t="shared" si="36"/>
        <v>56340456.948607169</v>
      </c>
      <c r="DN28" s="42">
        <f t="shared" si="36"/>
        <v>56340456.948607169</v>
      </c>
      <c r="DO28" s="42">
        <f t="shared" si="36"/>
        <v>56340456.948607169</v>
      </c>
      <c r="DP28" s="42">
        <f t="shared" si="36"/>
        <v>56340456.948607169</v>
      </c>
      <c r="DQ28" s="42">
        <f t="shared" si="36"/>
        <v>56340456.948607169</v>
      </c>
      <c r="DR28" s="42">
        <f t="shared" si="36"/>
        <v>56340456.948607169</v>
      </c>
      <c r="DS28" s="42">
        <f t="shared" si="36"/>
        <v>56340456.948607169</v>
      </c>
      <c r="DT28" s="42">
        <f t="shared" si="36"/>
        <v>56340456.948607169</v>
      </c>
      <c r="DU28" s="42">
        <f t="shared" si="36"/>
        <v>56340456.948607169</v>
      </c>
    </row>
    <row r="29" spans="3:125" s="3" customFormat="1" ht="22.95" customHeight="1">
      <c r="C29" s="51" t="s">
        <v>235</v>
      </c>
      <c r="D29" s="84">
        <f>HLOOKUP(1,E2:DU29,28,FALSE)</f>
        <v>0.22888161540031438</v>
      </c>
      <c r="E29" s="81">
        <f>XIRR(E$27:$DU27,E$4:$DU4,0.1)</f>
        <v>2.9802322387695314E-9</v>
      </c>
      <c r="F29" s="81">
        <f>XIRR(F$27:$DU27,F$4:$DU4,0.1)</f>
        <v>2.9802322387695314E-9</v>
      </c>
      <c r="G29" s="81">
        <f>XIRR(G$27:$DU27,G$4:$DU4,0.1)</f>
        <v>2.9802322387695314E-9</v>
      </c>
      <c r="H29" s="81">
        <f>XIRR(H$27:$DU27,H$4:$DU4,0.1)</f>
        <v>2.9802322387695314E-9</v>
      </c>
      <c r="I29" s="81">
        <f>XIRR(I$27:$DU27,I$4:$DU4,0.1)</f>
        <v>2.9802322387695314E-9</v>
      </c>
      <c r="J29" s="81">
        <f>XIRR(J$27:$DU27,J$4:$DU4,0.1)</f>
        <v>2.9802322387695314E-9</v>
      </c>
      <c r="K29" s="81">
        <f>XIRR(K$27:$DU27,K$4:$DU4,0.1)</f>
        <v>2.9802322387695314E-9</v>
      </c>
      <c r="L29" s="81">
        <f>XIRR(L$27:$DU27,L$4:$DU4,0.1)</f>
        <v>2.9802322387695314E-9</v>
      </c>
      <c r="M29" s="81">
        <f>XIRR(M$27:$DU27,M$4:$DU4,0.1)</f>
        <v>2.9802322387695314E-9</v>
      </c>
      <c r="N29" s="81">
        <f>XIRR(N$27:$DU27,N$4:$DU4,0.1)</f>
        <v>2.9802322387695314E-9</v>
      </c>
      <c r="O29" s="81">
        <f>XIRR(O$27:$DU27,O$4:$DU4,0.1)</f>
        <v>2.9802322387695314E-9</v>
      </c>
      <c r="P29" s="81">
        <f>XIRR(P$27:$DU27,P$4:$DU4,0.1)</f>
        <v>2.9802322387695314E-9</v>
      </c>
      <c r="Q29" s="81">
        <f>XIRR(Q$27:$DU27,Q$4:$DU4,0.1)</f>
        <v>2.9802322387695314E-9</v>
      </c>
      <c r="R29" s="81">
        <f>XIRR(R$27:$DU27,R$4:$DU4,0.1)</f>
        <v>2.9802322387695314E-9</v>
      </c>
      <c r="S29" s="81">
        <f>XIRR(S$27:$DU27,S$4:$DU4,0.1)</f>
        <v>2.9802322387695314E-9</v>
      </c>
      <c r="T29" s="81">
        <f>XIRR(T$27:$DU27,T$4:$DU4,0.1)</f>
        <v>2.9802322387695314E-9</v>
      </c>
      <c r="U29" s="81">
        <f>XIRR(U$27:$DU27,U$4:$DU4,0.1)</f>
        <v>2.9802322387695314E-9</v>
      </c>
      <c r="V29" s="81">
        <f>XIRR(V$27:$DU27,V$4:$DU4,0.1)</f>
        <v>2.9802322387695314E-9</v>
      </c>
      <c r="W29" s="81">
        <f>XIRR(W$27:$DU27,W$4:$DU4,0.1)</f>
        <v>2.9802322387695314E-9</v>
      </c>
      <c r="X29" s="81">
        <f>XIRR(X$27:$DU27,X$4:$DU4,0.1)</f>
        <v>2.9802322387695314E-9</v>
      </c>
      <c r="Y29" s="81">
        <f>XIRR(Y$27:$DU27,Y$4:$DU4,0.1)</f>
        <v>2.9802322387695314E-9</v>
      </c>
      <c r="Z29" s="81">
        <f>XIRR(Z$27:$DU27,Z$4:$DU4,0.1)</f>
        <v>2.9802322387695314E-9</v>
      </c>
      <c r="AA29" s="81">
        <f>XIRR(AA$27:$DU27,AA$4:$DU4,0.1)</f>
        <v>2.9802322387695314E-9</v>
      </c>
      <c r="AB29" s="81">
        <f>XIRR(AB$27:$DU27,AB$4:$DU4,0.1)</f>
        <v>2.9802322387695314E-9</v>
      </c>
      <c r="AC29" s="81">
        <f>XIRR(AC$27:$DU27,AC$4:$DU4,0.1)</f>
        <v>0.22888161540031438</v>
      </c>
      <c r="AD29" s="81">
        <f>XIRR(AD$27:$DU27,AD$4:$DU4,0.1)</f>
        <v>2.9802322387695314E-9</v>
      </c>
      <c r="AE29" s="81">
        <f>XIRR(AE$27:$DU27,AE$4:$DU4,0.1)</f>
        <v>2.9802322387695314E-9</v>
      </c>
      <c r="AF29" s="81">
        <f>XIRR(AF$27:$DU27,AF$4:$DU4,0.1)</f>
        <v>0.28541051745414736</v>
      </c>
      <c r="AG29" s="81">
        <f>XIRR(AG$27:$DU27,AG$4:$DU4,0.1)</f>
        <v>0.33806926608085641</v>
      </c>
      <c r="AH29" s="81">
        <f>XIRR(AH$27:$DU27,AH$4:$DU4,0.1)</f>
        <v>0.39880884289741514</v>
      </c>
      <c r="AI29" s="81">
        <f>XIRR(AI$27:$DU27,AI$4:$DU4,0.1)</f>
        <v>0.4694145381450654</v>
      </c>
      <c r="AJ29" s="81">
        <f>XIRR(AJ$27:$DU27,AJ$4:$DU4,0.1)</f>
        <v>0.55237715840339674</v>
      </c>
      <c r="AK29" s="81">
        <f>XIRR(AK$27:$DU27,AK$4:$DU4,0.1)</f>
        <v>0.65083896517753614</v>
      </c>
      <c r="AL29" s="81">
        <f>XIRR(AL$27:$DU27,AL$4:$DU4,0.1)</f>
        <v>0.76914941072463994</v>
      </c>
      <c r="AM29" s="81">
        <f>XIRR(AM$27:$DU27,AM$4:$DU4,0.1)</f>
        <v>0.91363495588302635</v>
      </c>
      <c r="AN29" s="81">
        <f>XIRR(AN$27:$DU27,AN$4:$DU4,0.1)</f>
        <v>1.0928509831428526</v>
      </c>
      <c r="AO29" s="81">
        <f>XIRR(AO$27:$DU27,AO$4:$DU4,0.1)</f>
        <v>1.3201676726341247</v>
      </c>
      <c r="AP29" s="81">
        <f>XIRR(AP$27:$DU27,AP$4:$DU4,0.1)</f>
        <v>1.6149827361106872</v>
      </c>
      <c r="AQ29" s="81">
        <f>XIRR(AQ$27:$DU27,AQ$4:$DU4,0.1)</f>
        <v>2.0084326505661014</v>
      </c>
      <c r="AR29" s="81">
        <f>XIRR(AR$27:$DU27,AR$4:$DU4,0.1)</f>
        <v>2.5592351675033584</v>
      </c>
      <c r="AS29" s="81">
        <f>XIRR(AS$27:$DU27,AS$4:$DU4,0.1)</f>
        <v>3.3624437570571906</v>
      </c>
      <c r="AT29" s="81">
        <f>XIRR(AT$27:$DU27,AT$4:$DU4,0.1)</f>
        <v>4.6160017490386966</v>
      </c>
      <c r="AU29" s="81">
        <f>XIRR(AU$27:$DU27,AU$4:$DU4,0.1)</f>
        <v>6.7422595500946061</v>
      </c>
      <c r="AV29" s="81">
        <f>XIRR(AV$27:$DU27,AV$4:$DU4,0.1)</f>
        <v>10.863505840301515</v>
      </c>
      <c r="AW29" s="81">
        <f>XIRR(AW$27:$DU27,AW$4:$DU4,0.1)</f>
        <v>20.584616661071784</v>
      </c>
      <c r="AX29" s="81">
        <f>XIRR(AX$27:$DU27,AX$4:$DU4,0.1)</f>
        <v>53.614299392700211</v>
      </c>
      <c r="AY29" s="81">
        <f>XIRR(AY$27:$DU27,AY$4:$DU4,0.1)</f>
        <v>158.69260711669926</v>
      </c>
      <c r="AZ29" s="81">
        <f>XIRR(AZ$27:$DU27,AZ$4:$DU4,0.1)</f>
        <v>848.88943481445313</v>
      </c>
      <c r="BA29" s="81">
        <f>XIRR(BA$27:$DU27,BA$4:$DU4,0.1)</f>
        <v>16406.932128906243</v>
      </c>
      <c r="BB29" s="81">
        <f>XIRR(BB$27:$DU27,BB$4:$DU4,0.1)</f>
        <v>7895108.0499999998</v>
      </c>
      <c r="BC29" s="81">
        <f>XIRR(BC$27:$DU27,BC$4:$DU4,0.1)</f>
        <v>163455889833984.06</v>
      </c>
      <c r="BD29" s="81" t="e">
        <f>XIRR(BD$27:$DU27,BD$4:$DU4,0.1)</f>
        <v>#NUM!</v>
      </c>
      <c r="BE29" s="81" t="e">
        <f>XIRR(BE$27:$DU27,BE$4:$DU4,0.1)</f>
        <v>#NUM!</v>
      </c>
      <c r="BF29" s="81" t="e">
        <f>XIRR(BF$27:$DU27,BF$4:$DU4,0.1)</f>
        <v>#NUM!</v>
      </c>
      <c r="BG29" s="81" t="e">
        <f>XIRR(BG$27:$DU27,BG$4:$DU4,0.1)</f>
        <v>#NUM!</v>
      </c>
      <c r="BH29" s="81" t="e">
        <f>XIRR(BH$27:$DU27,BH$4:$DU4,0.1)</f>
        <v>#NUM!</v>
      </c>
      <c r="BI29" s="81" t="e">
        <f>XIRR(BI$27:$DU27,BI$4:$DU4,0.1)</f>
        <v>#NUM!</v>
      </c>
      <c r="BJ29" s="81" t="e">
        <f>XIRR(BJ$27:$DU27,BJ$4:$DU4,0.1)</f>
        <v>#NUM!</v>
      </c>
      <c r="BK29" s="81" t="e">
        <f>XIRR(BK$27:$DU27,BK$4:$DU4,0.1)</f>
        <v>#NUM!</v>
      </c>
      <c r="BL29" s="81" t="e">
        <f>XIRR(BL$27:$DU27,BL$4:$DU4,0.1)</f>
        <v>#NUM!</v>
      </c>
      <c r="BM29" s="81" t="e">
        <f>XIRR(BM$27:$DU27,BM$4:$DU4,0.1)</f>
        <v>#NUM!</v>
      </c>
      <c r="BN29" s="81" t="e">
        <f>XIRR(BN$27:$DU27,BN$4:$DU4,0.1)</f>
        <v>#NUM!</v>
      </c>
      <c r="BO29" s="81" t="e">
        <f>XIRR(BO$27:$DU27,BO$4:$DU4,0.1)</f>
        <v>#NUM!</v>
      </c>
      <c r="BP29" s="81" t="e">
        <f>XIRR(BP$27:$DU27,BP$4:$DU4,0.1)</f>
        <v>#NUM!</v>
      </c>
      <c r="BQ29" s="81" t="e">
        <f>XIRR(BQ$27:$DU27,BQ$4:$DU4,0.1)</f>
        <v>#NUM!</v>
      </c>
      <c r="BR29" s="81" t="e">
        <f>XIRR(BR$27:$DU27,BR$4:$DU4,0.1)</f>
        <v>#NUM!</v>
      </c>
      <c r="BS29" s="81" t="e">
        <f>XIRR(BS$27:$DU27,BS$4:$DU4,0.1)</f>
        <v>#NUM!</v>
      </c>
      <c r="BT29" s="81" t="e">
        <f>XIRR(BT$27:$DU27,BT$4:$DU4,0.1)</f>
        <v>#NUM!</v>
      </c>
      <c r="BU29" s="81" t="e">
        <f>XIRR(BU$27:$DU27,BU$4:$DU4,0.1)</f>
        <v>#NUM!</v>
      </c>
      <c r="BV29" s="81" t="e">
        <f>XIRR(BV$27:$DU27,BV$4:$DU4,0.1)</f>
        <v>#NUM!</v>
      </c>
      <c r="BW29" s="81" t="e">
        <f>XIRR(BW$27:$DU27,BW$4:$DU4,0.1)</f>
        <v>#NUM!</v>
      </c>
      <c r="BX29" s="81" t="e">
        <f>XIRR(BX$27:$DU27,BX$4:$DU4,0.1)</f>
        <v>#NUM!</v>
      </c>
      <c r="BY29" s="81" t="e">
        <f>XIRR(BY$27:$DU27,BY$4:$DU4,0.1)</f>
        <v>#NUM!</v>
      </c>
      <c r="BZ29" s="81" t="e">
        <f>XIRR(BZ$27:$DU27,BZ$4:$DU4,0.1)</f>
        <v>#NUM!</v>
      </c>
      <c r="CA29" s="81" t="e">
        <f>XIRR(CA$27:$DU27,CA$4:$DU4,0.1)</f>
        <v>#NUM!</v>
      </c>
      <c r="CB29" s="81" t="e">
        <f>XIRR(CB$27:$DU27,CB$4:$DU4,0.1)</f>
        <v>#NUM!</v>
      </c>
      <c r="CC29" s="81" t="e">
        <f>XIRR(CC$27:$DU27,CC$4:$DU4,0.1)</f>
        <v>#NUM!</v>
      </c>
      <c r="CD29" s="81" t="e">
        <f>XIRR(CD$27:$DU27,CD$4:$DU4,0.1)</f>
        <v>#NUM!</v>
      </c>
      <c r="CE29" s="81" t="e">
        <f>XIRR(CE$27:$DU27,CE$4:$DU4,0.1)</f>
        <v>#NUM!</v>
      </c>
      <c r="CF29" s="81" t="e">
        <f>XIRR(CF$27:$DU27,CF$4:$DU4,0.1)</f>
        <v>#NUM!</v>
      </c>
      <c r="CG29" s="81" t="e">
        <f>XIRR(CG$27:$DU27,CG$4:$DU4,0.1)</f>
        <v>#NUM!</v>
      </c>
      <c r="CH29" s="81" t="e">
        <f>XIRR(CH$27:$DU27,CH$4:$DU4,0.1)</f>
        <v>#NUM!</v>
      </c>
      <c r="CI29" s="81" t="e">
        <f>XIRR(CI$27:$DU27,CI$4:$DU4,0.1)</f>
        <v>#NUM!</v>
      </c>
      <c r="CJ29" s="81" t="e">
        <f>XIRR(CJ$27:$DU27,CJ$4:$DU4,0.1)</f>
        <v>#NUM!</v>
      </c>
      <c r="CK29" s="81" t="e">
        <f>XIRR(CK$27:$DU27,CK$4:$DU4,0.1)</f>
        <v>#NUM!</v>
      </c>
      <c r="CL29" s="81" t="e">
        <f>XIRR(CL$27:$DU27,CL$4:$DU4,0.1)</f>
        <v>#NUM!</v>
      </c>
      <c r="CM29" s="81" t="e">
        <f>XIRR(CM$27:$DU27,CM$4:$DU4,0.1)</f>
        <v>#NUM!</v>
      </c>
      <c r="CN29" s="81" t="e">
        <f>XIRR(CN$27:$DU27,CN$4:$DU4,0.1)</f>
        <v>#NUM!</v>
      </c>
      <c r="CO29" s="81" t="e">
        <f>XIRR(CO$27:$DU27,CO$4:$DU4,0.1)</f>
        <v>#NUM!</v>
      </c>
      <c r="CP29" s="81" t="e">
        <f>XIRR(CP$27:$DU27,CP$4:$DU4,0.1)</f>
        <v>#NUM!</v>
      </c>
      <c r="CQ29" s="81" t="e">
        <f>XIRR(CQ$27:$DU27,CQ$4:$DU4,0.1)</f>
        <v>#NUM!</v>
      </c>
      <c r="CR29" s="81" t="e">
        <f>XIRR(CR$27:$DU27,CR$4:$DU4,0.1)</f>
        <v>#NUM!</v>
      </c>
      <c r="CS29" s="81" t="e">
        <f>XIRR(CS$27:$DU27,CS$4:$DU4,0.1)</f>
        <v>#NUM!</v>
      </c>
      <c r="CT29" s="81" t="e">
        <f>XIRR(CT$27:$DU27,CT$4:$DU4,0.1)</f>
        <v>#NUM!</v>
      </c>
      <c r="CU29" s="81" t="e">
        <f>XIRR(CU$27:$DU27,CU$4:$DU4,0.1)</f>
        <v>#NUM!</v>
      </c>
      <c r="CV29" s="81" t="e">
        <f>XIRR(CV$27:$DU27,CV$4:$DU4,0.1)</f>
        <v>#NUM!</v>
      </c>
      <c r="CW29" s="81" t="e">
        <f>XIRR(CW$27:$DU27,CW$4:$DU4,0.1)</f>
        <v>#NUM!</v>
      </c>
      <c r="CX29" s="81" t="e">
        <f>XIRR(CX$27:$DU27,CX$4:$DU4,0.1)</f>
        <v>#NUM!</v>
      </c>
      <c r="CY29" s="81" t="e">
        <f>XIRR(CY$27:$DU27,CY$4:$DU4,0.1)</f>
        <v>#NUM!</v>
      </c>
      <c r="CZ29" s="81" t="e">
        <f>XIRR(CZ$27:$DU27,CZ$4:$DU4,0.1)</f>
        <v>#NUM!</v>
      </c>
      <c r="DA29" s="81" t="e">
        <f>XIRR(DA$27:$DU27,DA$4:$DU4,0.1)</f>
        <v>#NUM!</v>
      </c>
      <c r="DB29" s="81" t="e">
        <f>XIRR(DB$27:$DU27,DB$4:$DU4,0.1)</f>
        <v>#NUM!</v>
      </c>
      <c r="DC29" s="81" t="e">
        <f>XIRR(DC$27:$DU27,DC$4:$DU4,0.1)</f>
        <v>#NUM!</v>
      </c>
      <c r="DD29" s="81" t="e">
        <f>XIRR(DD$27:$DU27,DD$4:$DU4,0.1)</f>
        <v>#NUM!</v>
      </c>
      <c r="DE29" s="81" t="e">
        <f>XIRR(DE$27:$DU27,DE$4:$DU4,0.1)</f>
        <v>#NUM!</v>
      </c>
      <c r="DF29" s="81" t="e">
        <f>XIRR(DF$27:$DU27,DF$4:$DU4,0.1)</f>
        <v>#NUM!</v>
      </c>
      <c r="DG29" s="81" t="e">
        <f>XIRR(DG$27:$DU27,DG$4:$DU4,0.1)</f>
        <v>#NUM!</v>
      </c>
      <c r="DH29" s="81" t="e">
        <f>XIRR(DH$27:$DU27,DH$4:$DU4,0.1)</f>
        <v>#NUM!</v>
      </c>
      <c r="DI29" s="81" t="e">
        <f>XIRR(DI$27:$DU27,DI$4:$DU4,0.1)</f>
        <v>#NUM!</v>
      </c>
      <c r="DJ29" s="81" t="e">
        <f>XIRR(DJ$27:$DU27,DJ$4:$DU4,0.1)</f>
        <v>#NUM!</v>
      </c>
      <c r="DK29" s="81" t="e">
        <f>XIRR(DK$27:$DU27,DK$4:$DU4,0.1)</f>
        <v>#NUM!</v>
      </c>
      <c r="DL29" s="81" t="e">
        <f>XIRR(DL$27:$DU27,DL$4:$DU4,0.1)</f>
        <v>#NUM!</v>
      </c>
      <c r="DM29" s="81" t="e">
        <f>XIRR(DM$27:$DU27,DM$4:$DU4,0.1)</f>
        <v>#NUM!</v>
      </c>
      <c r="DN29" s="81" t="e">
        <f>XIRR(DN$27:$DU27,DN$4:$DU4,0.1)</f>
        <v>#NUM!</v>
      </c>
      <c r="DO29" s="81" t="e">
        <f>XIRR(DO$27:$DU27,DO$4:$DU4,0.1)</f>
        <v>#NUM!</v>
      </c>
      <c r="DP29" s="81" t="e">
        <f>XIRR(DP$27:$DU27,DP$4:$DU4,0.1)</f>
        <v>#NUM!</v>
      </c>
      <c r="DQ29" s="81" t="e">
        <f>XIRR(DQ$27:$DU27,DQ$4:$DU4,0.1)</f>
        <v>#NUM!</v>
      </c>
      <c r="DR29" s="81" t="e">
        <f>XIRR(DR$27:$DU27,DR$4:$DU4,0.1)</f>
        <v>#NUM!</v>
      </c>
      <c r="DS29" s="81" t="e">
        <f>XIRR(DS$27:$DU27,DS$4:$DU4,0.1)</f>
        <v>#NUM!</v>
      </c>
      <c r="DT29" s="81" t="e">
        <f>XIRR(DT$27:$DU27,DT$4:$DU4,0.1)</f>
        <v>#NUM!</v>
      </c>
      <c r="DU29" s="81" t="e">
        <f>XIRR(DU$27:$DU27,DU$4:$DU4,0.1)</f>
        <v>#N/A</v>
      </c>
    </row>
    <row r="30" spans="3:125" s="3" customFormat="1" ht="22.95" customHeight="1">
      <c r="C30" s="52" t="s">
        <v>236</v>
      </c>
      <c r="D30" s="53">
        <f>D27/D28+1</f>
        <v>1.3638165621558924</v>
      </c>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row>
    <row r="31" spans="3:125" s="3" customFormat="1" ht="22.95" customHeight="1">
      <c r="D31" s="24"/>
    </row>
    <row r="32" spans="3:125" s="3" customFormat="1" ht="22.95" customHeight="1">
      <c r="C32" s="60" t="s">
        <v>283</v>
      </c>
      <c r="D32" s="24"/>
    </row>
    <row r="33" spans="3:125" s="3" customFormat="1" ht="22.95" customHeight="1">
      <c r="C33" s="48" t="s">
        <v>207</v>
      </c>
      <c r="D33" s="49">
        <f>SUM(E33:DU33)</f>
        <v>1342119.1819464038</v>
      </c>
      <c r="E33" s="89">
        <f>(E13*'Single Project Assumptions'!$P$20)</f>
        <v>0</v>
      </c>
      <c r="F33" s="89">
        <f>(F13*'Single Project Assumptions'!$P$20)</f>
        <v>0</v>
      </c>
      <c r="G33" s="89">
        <f>(G13*'Single Project Assumptions'!$P$20)</f>
        <v>0</v>
      </c>
      <c r="H33" s="89">
        <f>(H13*'Single Project Assumptions'!$P$20)</f>
        <v>0</v>
      </c>
      <c r="I33" s="89">
        <f>(I13*'Single Project Assumptions'!$P$20)</f>
        <v>0</v>
      </c>
      <c r="J33" s="89">
        <f>(J13*'Single Project Assumptions'!$P$20)</f>
        <v>0</v>
      </c>
      <c r="K33" s="89">
        <f>(K13*'Single Project Assumptions'!$P$20)</f>
        <v>0</v>
      </c>
      <c r="L33" s="89">
        <f>(L13*'Single Project Assumptions'!$P$20)</f>
        <v>0</v>
      </c>
      <c r="M33" s="89">
        <f>(M13*'Single Project Assumptions'!$P$20)</f>
        <v>0</v>
      </c>
      <c r="N33" s="89">
        <f>(N13*'Single Project Assumptions'!$P$20)</f>
        <v>0</v>
      </c>
      <c r="O33" s="89">
        <f>(O13*'Single Project Assumptions'!$P$20)</f>
        <v>0</v>
      </c>
      <c r="P33" s="89">
        <f>(P13*'Single Project Assumptions'!$P$20)</f>
        <v>0</v>
      </c>
      <c r="Q33" s="89">
        <f>(Q13*'Single Project Assumptions'!$P$20)</f>
        <v>0</v>
      </c>
      <c r="R33" s="89">
        <f>(R13*'Single Project Assumptions'!$P$20)</f>
        <v>0</v>
      </c>
      <c r="S33" s="89">
        <f>(S13*'Single Project Assumptions'!$P$20)</f>
        <v>0</v>
      </c>
      <c r="T33" s="89">
        <f>(T13*'Single Project Assumptions'!$P$20)</f>
        <v>0</v>
      </c>
      <c r="U33" s="89">
        <f>(U13*'Single Project Assumptions'!$P$20)</f>
        <v>0</v>
      </c>
      <c r="V33" s="89">
        <f>(V13*'Single Project Assumptions'!$P$20)</f>
        <v>0</v>
      </c>
      <c r="W33" s="89">
        <f>(W13*'Single Project Assumptions'!$P$20)</f>
        <v>0</v>
      </c>
      <c r="X33" s="89">
        <f>(X13*'Single Project Assumptions'!$P$20)</f>
        <v>0</v>
      </c>
      <c r="Y33" s="89">
        <f>(Y13*'Single Project Assumptions'!$P$20)</f>
        <v>0</v>
      </c>
      <c r="Z33" s="89">
        <f>(Z13*'Single Project Assumptions'!$P$20)</f>
        <v>0</v>
      </c>
      <c r="AA33" s="89">
        <f>(AA13*'Single Project Assumptions'!$P$20)</f>
        <v>0</v>
      </c>
      <c r="AB33" s="89">
        <f>(AB13*'Single Project Assumptions'!$P$20)</f>
        <v>0</v>
      </c>
      <c r="AC33" s="89">
        <f>(AC13*'Single Project Assumptions'!$P$20)</f>
        <v>0</v>
      </c>
      <c r="AD33" s="89">
        <f>(AD13*'Single Project Assumptions'!$P$20)</f>
        <v>0</v>
      </c>
      <c r="AE33" s="89">
        <f>(AE13*'Single Project Assumptions'!$P$20)</f>
        <v>0</v>
      </c>
      <c r="AF33" s="89">
        <f>(AF13*'Single Project Assumptions'!$P$20)</f>
        <v>0</v>
      </c>
      <c r="AG33" s="89">
        <f>(AG13*'Single Project Assumptions'!$P$20)</f>
        <v>0</v>
      </c>
      <c r="AH33" s="89">
        <f>(AH13*'Single Project Assumptions'!$P$20)</f>
        <v>0</v>
      </c>
      <c r="AI33" s="89">
        <f>(AI13*'Single Project Assumptions'!$P$20)</f>
        <v>0</v>
      </c>
      <c r="AJ33" s="89">
        <f>(AJ13*'Single Project Assumptions'!$P$20)</f>
        <v>0</v>
      </c>
      <c r="AK33" s="89">
        <f>(AK13*'Single Project Assumptions'!$P$20)</f>
        <v>0</v>
      </c>
      <c r="AL33" s="89">
        <f>(AL13*'Single Project Assumptions'!$P$20)</f>
        <v>0</v>
      </c>
      <c r="AM33" s="89">
        <f>(AM13*'Single Project Assumptions'!$P$20)</f>
        <v>0</v>
      </c>
      <c r="AN33" s="89">
        <f>(AN13*'Single Project Assumptions'!$P$20)</f>
        <v>0</v>
      </c>
      <c r="AO33" s="89">
        <f>(AO13*'Single Project Assumptions'!$P$20)</f>
        <v>0</v>
      </c>
      <c r="AP33" s="89">
        <f>(AP13*'Single Project Assumptions'!$P$20)</f>
        <v>0</v>
      </c>
      <c r="AQ33" s="89">
        <f>(AQ13*'Single Project Assumptions'!$P$20)</f>
        <v>0</v>
      </c>
      <c r="AR33" s="89">
        <f>(AR13*'Single Project Assumptions'!$P$20)</f>
        <v>0</v>
      </c>
      <c r="AS33" s="89">
        <f>(AS13*'Single Project Assumptions'!$P$20)</f>
        <v>0</v>
      </c>
      <c r="AT33" s="89">
        <f>(AT13*'Single Project Assumptions'!$P$20)</f>
        <v>0</v>
      </c>
      <c r="AU33" s="89">
        <f>(AU13*'Single Project Assumptions'!$P$20)</f>
        <v>0</v>
      </c>
      <c r="AV33" s="89">
        <f>(AV13*'Single Project Assumptions'!$P$20)</f>
        <v>0</v>
      </c>
      <c r="AW33" s="89">
        <f>(AW13*'Single Project Assumptions'!$P$20)</f>
        <v>0</v>
      </c>
      <c r="AX33" s="89">
        <f>(AX13*'Single Project Assumptions'!$P$20)</f>
        <v>11184.32651622003</v>
      </c>
      <c r="AY33" s="89">
        <f>(AY13*'Single Project Assumptions'!$P$20)</f>
        <v>11184.32651622003</v>
      </c>
      <c r="AZ33" s="89">
        <f>(AZ13*'Single Project Assumptions'!$P$20)</f>
        <v>11184.32651622003</v>
      </c>
      <c r="BA33" s="89">
        <f>(BA13*'Single Project Assumptions'!$P$20)</f>
        <v>11184.32651622003</v>
      </c>
      <c r="BB33" s="89">
        <f>(BB13*'Single Project Assumptions'!$P$20)</f>
        <v>11184.32651622003</v>
      </c>
      <c r="BC33" s="89">
        <f>(BC13*'Single Project Assumptions'!$P$20)</f>
        <v>11184.32651622003</v>
      </c>
      <c r="BD33" s="89">
        <f>(BD13*'Single Project Assumptions'!$P$20)</f>
        <v>454829.27832628123</v>
      </c>
      <c r="BE33" s="89">
        <f>(BE13*'Single Project Assumptions'!$P$20)</f>
        <v>74562.176774800188</v>
      </c>
      <c r="BF33" s="89">
        <f>(BF13*'Single Project Assumptions'!$P$20)</f>
        <v>74562.176774800188</v>
      </c>
      <c r="BG33" s="89">
        <f>(BG13*'Single Project Assumptions'!$P$20)</f>
        <v>74562.176774800188</v>
      </c>
      <c r="BH33" s="89">
        <f>(BH13*'Single Project Assumptions'!$P$20)</f>
        <v>74562.176774800188</v>
      </c>
      <c r="BI33" s="89">
        <f>(BI13*'Single Project Assumptions'!$P$20)</f>
        <v>74562.176774800188</v>
      </c>
      <c r="BJ33" s="89">
        <f>(BJ13*'Single Project Assumptions'!$P$20)</f>
        <v>74562.176774800188</v>
      </c>
      <c r="BK33" s="89">
        <f>(BK13*'Single Project Assumptions'!$P$20)</f>
        <v>74562.176774800188</v>
      </c>
      <c r="BL33" s="89">
        <f>(BL13*'Single Project Assumptions'!$P$20)</f>
        <v>74562.176774800188</v>
      </c>
      <c r="BM33" s="89">
        <f>(BM13*'Single Project Assumptions'!$P$20)</f>
        <v>74562.176774800188</v>
      </c>
      <c r="BN33" s="89">
        <f>(BN13*'Single Project Assumptions'!$P$20)</f>
        <v>74562.176774800188</v>
      </c>
      <c r="BO33" s="89">
        <f>(BO13*'Single Project Assumptions'!$P$20)</f>
        <v>74562.176774800188</v>
      </c>
      <c r="BP33" s="89">
        <f>(BP13*'Single Project Assumptions'!$P$20)</f>
        <v>0</v>
      </c>
      <c r="BQ33" s="89">
        <f>(BQ13*'Single Project Assumptions'!$P$20)</f>
        <v>0</v>
      </c>
      <c r="BR33" s="89">
        <f>(BR13*'Single Project Assumptions'!$P$20)</f>
        <v>0</v>
      </c>
      <c r="BS33" s="89">
        <f>(BS13*'Single Project Assumptions'!$P$20)</f>
        <v>0</v>
      </c>
      <c r="BT33" s="89">
        <f>(BT13*'Single Project Assumptions'!$P$20)</f>
        <v>0</v>
      </c>
      <c r="BU33" s="89">
        <f>(BU13*'Single Project Assumptions'!$P$20)</f>
        <v>0</v>
      </c>
      <c r="BV33" s="89">
        <f>(BV13*'Single Project Assumptions'!$P$20)</f>
        <v>0</v>
      </c>
      <c r="BW33" s="89">
        <f>(BW13*'Single Project Assumptions'!$P$20)</f>
        <v>0</v>
      </c>
      <c r="BX33" s="89">
        <f>(BX13*'Single Project Assumptions'!$P$20)</f>
        <v>0</v>
      </c>
      <c r="BY33" s="89">
        <f>(BY13*'Single Project Assumptions'!$P$20)</f>
        <v>0</v>
      </c>
      <c r="BZ33" s="89">
        <f>(BZ13*'Single Project Assumptions'!$P$20)</f>
        <v>0</v>
      </c>
      <c r="CA33" s="89">
        <f>(CA13*'Single Project Assumptions'!$P$20)</f>
        <v>0</v>
      </c>
      <c r="CB33" s="89">
        <f>(CB13*'Single Project Assumptions'!$P$20)</f>
        <v>0</v>
      </c>
      <c r="CC33" s="89">
        <f>(CC13*'Single Project Assumptions'!$P$20)</f>
        <v>0</v>
      </c>
      <c r="CD33" s="89">
        <f>(CD13*'Single Project Assumptions'!$P$20)</f>
        <v>0</v>
      </c>
      <c r="CE33" s="89">
        <f>(CE13*'Single Project Assumptions'!$P$20)</f>
        <v>0</v>
      </c>
      <c r="CF33" s="89">
        <f>(CF13*'Single Project Assumptions'!$P$20)</f>
        <v>0</v>
      </c>
      <c r="CG33" s="89">
        <f>(CG13*'Single Project Assumptions'!$P$20)</f>
        <v>0</v>
      </c>
      <c r="CH33" s="89">
        <f>(CH13*'Single Project Assumptions'!$P$20)</f>
        <v>0</v>
      </c>
      <c r="CI33" s="89">
        <f>(CI13*'Single Project Assumptions'!$P$20)</f>
        <v>0</v>
      </c>
      <c r="CJ33" s="89">
        <f>(CJ13*'Single Project Assumptions'!$P$20)</f>
        <v>0</v>
      </c>
      <c r="CK33" s="89">
        <f>(CK13*'Single Project Assumptions'!$P$20)</f>
        <v>0</v>
      </c>
      <c r="CL33" s="89">
        <f>(CL13*'Single Project Assumptions'!$P$20)</f>
        <v>0</v>
      </c>
      <c r="CM33" s="89">
        <f>(CM13*'Single Project Assumptions'!$P$20)</f>
        <v>0</v>
      </c>
      <c r="CN33" s="89">
        <f>(CN13*'Single Project Assumptions'!$P$20)</f>
        <v>0</v>
      </c>
      <c r="CO33" s="89">
        <f>(CO13*'Single Project Assumptions'!$P$20)</f>
        <v>0</v>
      </c>
      <c r="CP33" s="89">
        <f>(CP13*'Single Project Assumptions'!$P$20)</f>
        <v>0</v>
      </c>
      <c r="CQ33" s="89">
        <f>(CQ13*'Single Project Assumptions'!$P$20)</f>
        <v>0</v>
      </c>
      <c r="CR33" s="89">
        <f>(CR13*'Single Project Assumptions'!$P$20)</f>
        <v>0</v>
      </c>
      <c r="CS33" s="89">
        <f>(CS13*'Single Project Assumptions'!$P$20)</f>
        <v>0</v>
      </c>
      <c r="CT33" s="89">
        <f>(CT13*'Single Project Assumptions'!$P$20)</f>
        <v>0</v>
      </c>
      <c r="CU33" s="89">
        <f>(CU13*'Single Project Assumptions'!$P$20)</f>
        <v>0</v>
      </c>
      <c r="CV33" s="89">
        <f>(CV13*'Single Project Assumptions'!$P$20)</f>
        <v>0</v>
      </c>
      <c r="CW33" s="89">
        <f>(CW13*'Single Project Assumptions'!$P$20)</f>
        <v>0</v>
      </c>
      <c r="CX33" s="89">
        <f>(CX13*'Single Project Assumptions'!$P$20)</f>
        <v>0</v>
      </c>
      <c r="CY33" s="89">
        <f>(CY13*'Single Project Assumptions'!$P$20)</f>
        <v>0</v>
      </c>
      <c r="CZ33" s="89">
        <f>(CZ13*'Single Project Assumptions'!$P$20)</f>
        <v>0</v>
      </c>
      <c r="DA33" s="89">
        <f>(DA13*'Single Project Assumptions'!$P$20)</f>
        <v>0</v>
      </c>
      <c r="DB33" s="89">
        <f>(DB13*'Single Project Assumptions'!$P$20)</f>
        <v>0</v>
      </c>
      <c r="DC33" s="89">
        <f>(DC13*'Single Project Assumptions'!$P$20)</f>
        <v>0</v>
      </c>
      <c r="DD33" s="89">
        <f>(DD13*'Single Project Assumptions'!$P$20)</f>
        <v>0</v>
      </c>
      <c r="DE33" s="89">
        <f>(DE13*'Single Project Assumptions'!$P$20)</f>
        <v>0</v>
      </c>
      <c r="DF33" s="89">
        <f>(DF13*'Single Project Assumptions'!$P$20)</f>
        <v>0</v>
      </c>
      <c r="DG33" s="89">
        <f>(DG13*'Single Project Assumptions'!$P$20)</f>
        <v>0</v>
      </c>
      <c r="DH33" s="89">
        <f>(DH13*'Single Project Assumptions'!$P$20)</f>
        <v>0</v>
      </c>
      <c r="DI33" s="89">
        <f>(DI13*'Single Project Assumptions'!$P$20)</f>
        <v>0</v>
      </c>
      <c r="DJ33" s="89">
        <f>(DJ13*'Single Project Assumptions'!$P$20)</f>
        <v>0</v>
      </c>
      <c r="DK33" s="89">
        <f>(DK13*'Single Project Assumptions'!$P$20)</f>
        <v>0</v>
      </c>
      <c r="DL33" s="89">
        <f>(DL13*'Single Project Assumptions'!$P$20)</f>
        <v>0</v>
      </c>
      <c r="DM33" s="89">
        <f>(DM13*'Single Project Assumptions'!$P$20)</f>
        <v>0</v>
      </c>
      <c r="DN33" s="89">
        <f>(DN13*'Single Project Assumptions'!$P$20)</f>
        <v>0</v>
      </c>
      <c r="DO33" s="89">
        <f>(DO13*'Single Project Assumptions'!$P$20)</f>
        <v>0</v>
      </c>
      <c r="DP33" s="89">
        <f>(DP13*'Single Project Assumptions'!$P$20)</f>
        <v>0</v>
      </c>
      <c r="DQ33" s="89">
        <f>(DQ13*'Single Project Assumptions'!$P$20)</f>
        <v>0</v>
      </c>
      <c r="DR33" s="89">
        <f>(DR13*'Single Project Assumptions'!$P$20)</f>
        <v>0</v>
      </c>
      <c r="DS33" s="89">
        <f>(DS13*'Single Project Assumptions'!$P$20)</f>
        <v>0</v>
      </c>
      <c r="DT33" s="89">
        <f>(DT13*'Single Project Assumptions'!$P$20)</f>
        <v>0</v>
      </c>
      <c r="DU33" s="89">
        <f>(DU13*'Single Project Assumptions'!$P$20)</f>
        <v>0</v>
      </c>
    </row>
    <row r="34" spans="3:125" s="3" customFormat="1" ht="22.95" customHeight="1">
      <c r="C34" s="56" t="s">
        <v>202</v>
      </c>
      <c r="D34" s="54">
        <f>SUM(E34:DU34)</f>
        <v>1342119.1819464038</v>
      </c>
      <c r="E34" s="55">
        <f>E13*('Single Project Assumptions'!$P$21)</f>
        <v>0</v>
      </c>
      <c r="F34" s="55">
        <f>F13*('Single Project Assumptions'!$P$21)</f>
        <v>0</v>
      </c>
      <c r="G34" s="55">
        <f>G13*('Single Project Assumptions'!$P$21)</f>
        <v>0</v>
      </c>
      <c r="H34" s="55">
        <f>H13*('Single Project Assumptions'!$P$21)</f>
        <v>0</v>
      </c>
      <c r="I34" s="55">
        <f>I13*('Single Project Assumptions'!$P$21)</f>
        <v>0</v>
      </c>
      <c r="J34" s="55">
        <f>J13*('Single Project Assumptions'!$P$21)</f>
        <v>0</v>
      </c>
      <c r="K34" s="55">
        <f>K13*('Single Project Assumptions'!$P$21)</f>
        <v>0</v>
      </c>
      <c r="L34" s="55">
        <f>L13*('Single Project Assumptions'!$P$21)</f>
        <v>0</v>
      </c>
      <c r="M34" s="55">
        <f>M13*('Single Project Assumptions'!$P$21)</f>
        <v>0</v>
      </c>
      <c r="N34" s="55">
        <f>N13*('Single Project Assumptions'!$P$21)</f>
        <v>0</v>
      </c>
      <c r="O34" s="55">
        <f>O13*('Single Project Assumptions'!$P$21)</f>
        <v>0</v>
      </c>
      <c r="P34" s="55">
        <f>P13*('Single Project Assumptions'!$P$21)</f>
        <v>0</v>
      </c>
      <c r="Q34" s="55">
        <f>Q13*('Single Project Assumptions'!$P$21)</f>
        <v>0</v>
      </c>
      <c r="R34" s="55">
        <f>R13*('Single Project Assumptions'!$P$21)</f>
        <v>0</v>
      </c>
      <c r="S34" s="55">
        <f>S13*('Single Project Assumptions'!$P$21)</f>
        <v>0</v>
      </c>
      <c r="T34" s="55">
        <f>T13*('Single Project Assumptions'!$P$21)</f>
        <v>0</v>
      </c>
      <c r="U34" s="55">
        <f>U13*('Single Project Assumptions'!$P$21)</f>
        <v>0</v>
      </c>
      <c r="V34" s="55">
        <f>V13*('Single Project Assumptions'!$P$21)</f>
        <v>0</v>
      </c>
      <c r="W34" s="55">
        <f>W13*('Single Project Assumptions'!$P$21)</f>
        <v>0</v>
      </c>
      <c r="X34" s="55">
        <f>X13*('Single Project Assumptions'!$P$21)</f>
        <v>0</v>
      </c>
      <c r="Y34" s="55">
        <f>Y13*('Single Project Assumptions'!$P$21)</f>
        <v>0</v>
      </c>
      <c r="Z34" s="55">
        <f>Z13*('Single Project Assumptions'!$P$21)</f>
        <v>0</v>
      </c>
      <c r="AA34" s="55">
        <f>AA13*('Single Project Assumptions'!$P$21)</f>
        <v>0</v>
      </c>
      <c r="AB34" s="55">
        <f>AB13*('Single Project Assumptions'!$P$21)</f>
        <v>0</v>
      </c>
      <c r="AC34" s="55">
        <f>AC13*('Single Project Assumptions'!$P$21)</f>
        <v>0</v>
      </c>
      <c r="AD34" s="55">
        <f>AD13*('Single Project Assumptions'!$P$21)</f>
        <v>0</v>
      </c>
      <c r="AE34" s="55">
        <f>AE13*('Single Project Assumptions'!$P$21)</f>
        <v>0</v>
      </c>
      <c r="AF34" s="55">
        <f>AF13*('Single Project Assumptions'!$P$21)</f>
        <v>0</v>
      </c>
      <c r="AG34" s="55">
        <f>AG13*('Single Project Assumptions'!$P$21)</f>
        <v>0</v>
      </c>
      <c r="AH34" s="55">
        <f>AH13*('Single Project Assumptions'!$P$21)</f>
        <v>0</v>
      </c>
      <c r="AI34" s="55">
        <f>AI13*('Single Project Assumptions'!$P$21)</f>
        <v>0</v>
      </c>
      <c r="AJ34" s="55">
        <f>AJ13*('Single Project Assumptions'!$P$21)</f>
        <v>0</v>
      </c>
      <c r="AK34" s="55">
        <f>AK13*('Single Project Assumptions'!$P$21)</f>
        <v>0</v>
      </c>
      <c r="AL34" s="55">
        <f>AL13*('Single Project Assumptions'!$P$21)</f>
        <v>0</v>
      </c>
      <c r="AM34" s="55">
        <f>AM13*('Single Project Assumptions'!$P$21)</f>
        <v>0</v>
      </c>
      <c r="AN34" s="55">
        <f>AN13*('Single Project Assumptions'!$P$21)</f>
        <v>0</v>
      </c>
      <c r="AO34" s="55">
        <f>AO13*('Single Project Assumptions'!$P$21)</f>
        <v>0</v>
      </c>
      <c r="AP34" s="55">
        <f>AP13*('Single Project Assumptions'!$P$21)</f>
        <v>0</v>
      </c>
      <c r="AQ34" s="55">
        <f>AQ13*('Single Project Assumptions'!$P$21)</f>
        <v>0</v>
      </c>
      <c r="AR34" s="55">
        <f>AR13*('Single Project Assumptions'!$P$21)</f>
        <v>0</v>
      </c>
      <c r="AS34" s="55">
        <f>AS13*('Single Project Assumptions'!$P$21)</f>
        <v>0</v>
      </c>
      <c r="AT34" s="55">
        <f>AT13*('Single Project Assumptions'!$P$21)</f>
        <v>0</v>
      </c>
      <c r="AU34" s="55">
        <f>AU13*('Single Project Assumptions'!$P$21)</f>
        <v>0</v>
      </c>
      <c r="AV34" s="55">
        <f>AV13*('Single Project Assumptions'!$P$21)</f>
        <v>0</v>
      </c>
      <c r="AW34" s="55">
        <f>AW13*('Single Project Assumptions'!$P$21)</f>
        <v>0</v>
      </c>
      <c r="AX34" s="55">
        <f>AX13*('Single Project Assumptions'!$P$21)</f>
        <v>11184.32651622003</v>
      </c>
      <c r="AY34" s="55">
        <f>AY13*('Single Project Assumptions'!$P$21)</f>
        <v>11184.32651622003</v>
      </c>
      <c r="AZ34" s="55">
        <f>AZ13*('Single Project Assumptions'!$P$21)</f>
        <v>11184.32651622003</v>
      </c>
      <c r="BA34" s="55">
        <f>BA13*('Single Project Assumptions'!$P$21)</f>
        <v>11184.32651622003</v>
      </c>
      <c r="BB34" s="55">
        <f>BB13*('Single Project Assumptions'!$P$21)</f>
        <v>11184.32651622003</v>
      </c>
      <c r="BC34" s="55">
        <f>BC13*('Single Project Assumptions'!$P$21)</f>
        <v>11184.32651622003</v>
      </c>
      <c r="BD34" s="55">
        <f>BD13*('Single Project Assumptions'!$P$21)</f>
        <v>454829.27832628123</v>
      </c>
      <c r="BE34" s="55">
        <f>BE13*('Single Project Assumptions'!$P$21)</f>
        <v>74562.176774800188</v>
      </c>
      <c r="BF34" s="55">
        <f>BF13*('Single Project Assumptions'!$P$21)</f>
        <v>74562.176774800188</v>
      </c>
      <c r="BG34" s="55">
        <f>BG13*('Single Project Assumptions'!$P$21)</f>
        <v>74562.176774800188</v>
      </c>
      <c r="BH34" s="55">
        <f>BH13*('Single Project Assumptions'!$P$21)</f>
        <v>74562.176774800188</v>
      </c>
      <c r="BI34" s="55">
        <f>BI13*('Single Project Assumptions'!$P$21)</f>
        <v>74562.176774800188</v>
      </c>
      <c r="BJ34" s="55">
        <f>BJ13*('Single Project Assumptions'!$P$21)</f>
        <v>74562.176774800188</v>
      </c>
      <c r="BK34" s="55">
        <f>BK13*('Single Project Assumptions'!$P$21)</f>
        <v>74562.176774800188</v>
      </c>
      <c r="BL34" s="55">
        <f>BL13*('Single Project Assumptions'!$P$21)</f>
        <v>74562.176774800188</v>
      </c>
      <c r="BM34" s="55">
        <f>BM13*('Single Project Assumptions'!$P$21)</f>
        <v>74562.176774800188</v>
      </c>
      <c r="BN34" s="55">
        <f>BN13*('Single Project Assumptions'!$P$21)</f>
        <v>74562.176774800188</v>
      </c>
      <c r="BO34" s="55">
        <f>BO13*('Single Project Assumptions'!$P$21)</f>
        <v>74562.176774800188</v>
      </c>
      <c r="BP34" s="55">
        <f>BP13*('Single Project Assumptions'!$P$21)</f>
        <v>0</v>
      </c>
      <c r="BQ34" s="55">
        <f>BQ13*('Single Project Assumptions'!$P$21)</f>
        <v>0</v>
      </c>
      <c r="BR34" s="55">
        <f>BR13*('Single Project Assumptions'!$P$21)</f>
        <v>0</v>
      </c>
      <c r="BS34" s="55">
        <f>BS13*('Single Project Assumptions'!$P$21)</f>
        <v>0</v>
      </c>
      <c r="BT34" s="55">
        <f>BT13*('Single Project Assumptions'!$P$21)</f>
        <v>0</v>
      </c>
      <c r="BU34" s="55">
        <f>BU13*('Single Project Assumptions'!$P$21)</f>
        <v>0</v>
      </c>
      <c r="BV34" s="55">
        <f>BV13*('Single Project Assumptions'!$P$21)</f>
        <v>0</v>
      </c>
      <c r="BW34" s="55">
        <f>BW13*('Single Project Assumptions'!$P$21)</f>
        <v>0</v>
      </c>
      <c r="BX34" s="55">
        <f>BX13*('Single Project Assumptions'!$P$21)</f>
        <v>0</v>
      </c>
      <c r="BY34" s="55">
        <f>BY13*('Single Project Assumptions'!$P$21)</f>
        <v>0</v>
      </c>
      <c r="BZ34" s="55">
        <f>BZ13*('Single Project Assumptions'!$P$21)</f>
        <v>0</v>
      </c>
      <c r="CA34" s="55">
        <f>CA13*('Single Project Assumptions'!$P$21)</f>
        <v>0</v>
      </c>
      <c r="CB34" s="55">
        <f>CB13*('Single Project Assumptions'!$P$21)</f>
        <v>0</v>
      </c>
      <c r="CC34" s="55">
        <f>CC13*('Single Project Assumptions'!$P$21)</f>
        <v>0</v>
      </c>
      <c r="CD34" s="55">
        <f>CD13*('Single Project Assumptions'!$P$21)</f>
        <v>0</v>
      </c>
      <c r="CE34" s="55">
        <f>CE13*('Single Project Assumptions'!$P$21)</f>
        <v>0</v>
      </c>
      <c r="CF34" s="55">
        <f>CF13*('Single Project Assumptions'!$P$21)</f>
        <v>0</v>
      </c>
      <c r="CG34" s="55">
        <f>CG13*('Single Project Assumptions'!$P$21)</f>
        <v>0</v>
      </c>
      <c r="CH34" s="55">
        <f>CH13*('Single Project Assumptions'!$P$21)</f>
        <v>0</v>
      </c>
      <c r="CI34" s="55">
        <f>CI13*('Single Project Assumptions'!$P$21)</f>
        <v>0</v>
      </c>
      <c r="CJ34" s="55">
        <f>CJ13*('Single Project Assumptions'!$P$21)</f>
        <v>0</v>
      </c>
      <c r="CK34" s="55">
        <f>CK13*('Single Project Assumptions'!$P$21)</f>
        <v>0</v>
      </c>
      <c r="CL34" s="55">
        <f>CL13*('Single Project Assumptions'!$P$21)</f>
        <v>0</v>
      </c>
      <c r="CM34" s="55">
        <f>CM13*('Single Project Assumptions'!$P$21)</f>
        <v>0</v>
      </c>
      <c r="CN34" s="55">
        <f>CN13*('Single Project Assumptions'!$P$21)</f>
        <v>0</v>
      </c>
      <c r="CO34" s="55">
        <f>CO13*('Single Project Assumptions'!$P$21)</f>
        <v>0</v>
      </c>
      <c r="CP34" s="55">
        <f>CP13*('Single Project Assumptions'!$P$21)</f>
        <v>0</v>
      </c>
      <c r="CQ34" s="55">
        <f>CQ13*('Single Project Assumptions'!$P$21)</f>
        <v>0</v>
      </c>
      <c r="CR34" s="55">
        <f>CR13*('Single Project Assumptions'!$P$21)</f>
        <v>0</v>
      </c>
      <c r="CS34" s="55">
        <f>CS13*('Single Project Assumptions'!$P$21)</f>
        <v>0</v>
      </c>
      <c r="CT34" s="55">
        <f>CT13*('Single Project Assumptions'!$P$21)</f>
        <v>0</v>
      </c>
      <c r="CU34" s="55">
        <f>CU13*('Single Project Assumptions'!$P$21)</f>
        <v>0</v>
      </c>
      <c r="CV34" s="55">
        <f>CV13*('Single Project Assumptions'!$P$21)</f>
        <v>0</v>
      </c>
      <c r="CW34" s="55">
        <f>CW13*('Single Project Assumptions'!$P$21)</f>
        <v>0</v>
      </c>
      <c r="CX34" s="55">
        <f>CX13*('Single Project Assumptions'!$P$21)</f>
        <v>0</v>
      </c>
      <c r="CY34" s="55">
        <f>CY13*('Single Project Assumptions'!$P$21)</f>
        <v>0</v>
      </c>
      <c r="CZ34" s="55">
        <f>CZ13*('Single Project Assumptions'!$P$21)</f>
        <v>0</v>
      </c>
      <c r="DA34" s="55">
        <f>DA13*('Single Project Assumptions'!$P$21)</f>
        <v>0</v>
      </c>
      <c r="DB34" s="55">
        <f>DB13*('Single Project Assumptions'!$P$21)</f>
        <v>0</v>
      </c>
      <c r="DC34" s="55">
        <f>DC13*('Single Project Assumptions'!$P$21)</f>
        <v>0</v>
      </c>
      <c r="DD34" s="55">
        <f>DD13*('Single Project Assumptions'!$P$21)</f>
        <v>0</v>
      </c>
      <c r="DE34" s="55">
        <f>DE13*('Single Project Assumptions'!$P$21)</f>
        <v>0</v>
      </c>
      <c r="DF34" s="55">
        <f>DF13*('Single Project Assumptions'!$P$21)</f>
        <v>0</v>
      </c>
      <c r="DG34" s="55">
        <f>DG13*('Single Project Assumptions'!$P$21)</f>
        <v>0</v>
      </c>
      <c r="DH34" s="55">
        <f>DH13*('Single Project Assumptions'!$P$21)</f>
        <v>0</v>
      </c>
      <c r="DI34" s="55">
        <f>DI13*('Single Project Assumptions'!$P$21)</f>
        <v>0</v>
      </c>
      <c r="DJ34" s="55">
        <f>DJ13*('Single Project Assumptions'!$P$21)</f>
        <v>0</v>
      </c>
      <c r="DK34" s="55">
        <f>DK13*('Single Project Assumptions'!$P$21)</f>
        <v>0</v>
      </c>
      <c r="DL34" s="55">
        <f>DL13*('Single Project Assumptions'!$P$21)</f>
        <v>0</v>
      </c>
      <c r="DM34" s="55">
        <f>DM13*('Single Project Assumptions'!$P$21)</f>
        <v>0</v>
      </c>
      <c r="DN34" s="55">
        <f>DN13*('Single Project Assumptions'!$P$21)</f>
        <v>0</v>
      </c>
      <c r="DO34" s="55">
        <f>DO13*('Single Project Assumptions'!$P$21)</f>
        <v>0</v>
      </c>
      <c r="DP34" s="55">
        <f>DP13*('Single Project Assumptions'!$P$21)</f>
        <v>0</v>
      </c>
      <c r="DQ34" s="55">
        <f>DQ13*('Single Project Assumptions'!$P$21)</f>
        <v>0</v>
      </c>
      <c r="DR34" s="55">
        <f>DR13*('Single Project Assumptions'!$P$21)</f>
        <v>0</v>
      </c>
      <c r="DS34" s="55">
        <f>DS13*('Single Project Assumptions'!$P$21)</f>
        <v>0</v>
      </c>
      <c r="DT34" s="55">
        <f>DT13*('Single Project Assumptions'!$P$21)</f>
        <v>0</v>
      </c>
      <c r="DU34" s="55">
        <f>DU13*('Single Project Assumptions'!$P$21)</f>
        <v>0</v>
      </c>
    </row>
    <row r="35" spans="3:125" s="3" customFormat="1" ht="22.95" customHeight="1">
      <c r="D35" s="69"/>
    </row>
    <row r="36" spans="3:125" s="3" customFormat="1" ht="22.95" customHeight="1">
      <c r="C36" s="60" t="s">
        <v>284</v>
      </c>
      <c r="D36" s="24"/>
    </row>
    <row r="37" spans="3:125" s="3" customFormat="1" ht="22.95" customHeight="1">
      <c r="C37" s="48" t="s">
        <v>207</v>
      </c>
      <c r="D37" s="49">
        <f>SUM(E37:DU37)</f>
        <v>900000</v>
      </c>
      <c r="E37" s="89">
        <f>-E$18*'Single Project Assumptions'!$L$53</f>
        <v>0</v>
      </c>
      <c r="F37" s="89">
        <f>-F$18*'Single Project Assumptions'!$L$53</f>
        <v>0</v>
      </c>
      <c r="G37" s="89">
        <f>-G$18*'Single Project Assumptions'!$L$53</f>
        <v>0</v>
      </c>
      <c r="H37" s="89">
        <f>-H$18*'Single Project Assumptions'!$L$53</f>
        <v>0</v>
      </c>
      <c r="I37" s="89">
        <f>-I$18*'Single Project Assumptions'!$L$53</f>
        <v>0</v>
      </c>
      <c r="J37" s="89">
        <f>-J$18*'Single Project Assumptions'!$L$53</f>
        <v>0</v>
      </c>
      <c r="K37" s="89">
        <f>-K$18*'Single Project Assumptions'!$L$53</f>
        <v>0</v>
      </c>
      <c r="L37" s="89">
        <f>-L$18*'Single Project Assumptions'!$L$53</f>
        <v>0</v>
      </c>
      <c r="M37" s="89">
        <f>-M$18*'Single Project Assumptions'!$L$53</f>
        <v>0</v>
      </c>
      <c r="N37" s="89">
        <f>-N$18*'Single Project Assumptions'!$L$53</f>
        <v>0</v>
      </c>
      <c r="O37" s="89">
        <f>-O$18*'Single Project Assumptions'!$L$53</f>
        <v>0</v>
      </c>
      <c r="P37" s="89">
        <f>-P$18*'Single Project Assumptions'!$L$53</f>
        <v>0</v>
      </c>
      <c r="Q37" s="89">
        <f>-Q$18*'Single Project Assumptions'!$L$53</f>
        <v>0</v>
      </c>
      <c r="R37" s="89">
        <f>-R$18*'Single Project Assumptions'!$L$53</f>
        <v>0</v>
      </c>
      <c r="S37" s="89">
        <f>-S$18*'Single Project Assumptions'!$L$53</f>
        <v>0</v>
      </c>
      <c r="T37" s="89">
        <f>-T$18*'Single Project Assumptions'!$L$53</f>
        <v>0</v>
      </c>
      <c r="U37" s="89">
        <f>-U$18*'Single Project Assumptions'!$L$53</f>
        <v>0</v>
      </c>
      <c r="V37" s="89">
        <f>-V$18*'Single Project Assumptions'!$L$53</f>
        <v>0</v>
      </c>
      <c r="W37" s="89">
        <f>-W$18*'Single Project Assumptions'!$L$53</f>
        <v>0</v>
      </c>
      <c r="X37" s="89">
        <f>-X$18*'Single Project Assumptions'!$L$53</f>
        <v>0</v>
      </c>
      <c r="Y37" s="89">
        <f>-Y$18*'Single Project Assumptions'!$L$53</f>
        <v>0</v>
      </c>
      <c r="Z37" s="89">
        <f>-Z$18*'Single Project Assumptions'!$L$53</f>
        <v>0</v>
      </c>
      <c r="AA37" s="89">
        <f>-AA$18*'Single Project Assumptions'!$L$53</f>
        <v>0</v>
      </c>
      <c r="AB37" s="89">
        <f>-AB$18*'Single Project Assumptions'!$L$53</f>
        <v>0</v>
      </c>
      <c r="AC37" s="89">
        <f>-AC$18*'Single Project Assumptions'!$L$53</f>
        <v>900000</v>
      </c>
      <c r="AD37" s="89">
        <f>-AD$18*'Single Project Assumptions'!$L$53</f>
        <v>0</v>
      </c>
      <c r="AE37" s="89">
        <f>-AE$18*'Single Project Assumptions'!$L$53</f>
        <v>0</v>
      </c>
      <c r="AF37" s="89">
        <f>-AF$18*'Single Project Assumptions'!$L$53</f>
        <v>0</v>
      </c>
      <c r="AG37" s="89">
        <f>-AG$18*'Single Project Assumptions'!$L$53</f>
        <v>0</v>
      </c>
      <c r="AH37" s="89">
        <f>-AH$18*'Single Project Assumptions'!$L$53</f>
        <v>0</v>
      </c>
      <c r="AI37" s="89">
        <f>-AI$18*'Single Project Assumptions'!$L$53</f>
        <v>0</v>
      </c>
      <c r="AJ37" s="89">
        <f>-AJ$18*'Single Project Assumptions'!$L$53</f>
        <v>0</v>
      </c>
      <c r="AK37" s="89">
        <f>-AK$18*'Single Project Assumptions'!$L$53</f>
        <v>0</v>
      </c>
      <c r="AL37" s="89">
        <f>-AL$18*'Single Project Assumptions'!$L$53</f>
        <v>0</v>
      </c>
      <c r="AM37" s="89">
        <f>-AM$18*'Single Project Assumptions'!$L$53</f>
        <v>0</v>
      </c>
      <c r="AN37" s="89">
        <f>-AN$18*'Single Project Assumptions'!$L$53</f>
        <v>0</v>
      </c>
      <c r="AO37" s="89">
        <f>-AO$18*'Single Project Assumptions'!$L$53</f>
        <v>0</v>
      </c>
      <c r="AP37" s="89">
        <f>-AP$18*'Single Project Assumptions'!$L$53</f>
        <v>0</v>
      </c>
      <c r="AQ37" s="89">
        <f>-AQ$18*'Single Project Assumptions'!$L$53</f>
        <v>0</v>
      </c>
      <c r="AR37" s="89">
        <f>-AR$18*'Single Project Assumptions'!$L$53</f>
        <v>0</v>
      </c>
      <c r="AS37" s="89">
        <f>-AS$18*'Single Project Assumptions'!$L$53</f>
        <v>0</v>
      </c>
      <c r="AT37" s="89">
        <f>-AT$18*'Single Project Assumptions'!$L$53</f>
        <v>0</v>
      </c>
      <c r="AU37" s="89">
        <f>-AU$18*'Single Project Assumptions'!$L$53</f>
        <v>0</v>
      </c>
      <c r="AV37" s="89">
        <f>-AV$18*'Single Project Assumptions'!$L$53</f>
        <v>0</v>
      </c>
      <c r="AW37" s="89">
        <f>-AW$18*'Single Project Assumptions'!$L$53</f>
        <v>0</v>
      </c>
      <c r="AX37" s="89">
        <f>-AX$18*'Single Project Assumptions'!$L$53</f>
        <v>0</v>
      </c>
      <c r="AY37" s="89">
        <f>-AY$18*'Single Project Assumptions'!$L$53</f>
        <v>0</v>
      </c>
      <c r="AZ37" s="89">
        <f>-AZ$18*'Single Project Assumptions'!$L$53</f>
        <v>0</v>
      </c>
      <c r="BA37" s="89">
        <f>-BA$18*'Single Project Assumptions'!$L$53</f>
        <v>0</v>
      </c>
      <c r="BB37" s="89">
        <f>-BB$18*'Single Project Assumptions'!$L$53</f>
        <v>0</v>
      </c>
      <c r="BC37" s="89">
        <f>-BC$18*'Single Project Assumptions'!$L$53</f>
        <v>0</v>
      </c>
      <c r="BD37" s="89">
        <f>-BD$18*'Single Project Assumptions'!$L$53</f>
        <v>0</v>
      </c>
      <c r="BE37" s="89">
        <f>-BE$18*'Single Project Assumptions'!$L$53</f>
        <v>0</v>
      </c>
      <c r="BF37" s="89">
        <f>-BF$18*'Single Project Assumptions'!$L$53</f>
        <v>0</v>
      </c>
      <c r="BG37" s="89">
        <f>-BG$18*'Single Project Assumptions'!$L$53</f>
        <v>0</v>
      </c>
      <c r="BH37" s="89">
        <f>-BH$18*'Single Project Assumptions'!$L$53</f>
        <v>0</v>
      </c>
      <c r="BI37" s="89">
        <f>-BI$18*'Single Project Assumptions'!$L$53</f>
        <v>0</v>
      </c>
      <c r="BJ37" s="89">
        <f>-BJ$18*'Single Project Assumptions'!$L$53</f>
        <v>0</v>
      </c>
      <c r="BK37" s="89">
        <f>-BK$18*'Single Project Assumptions'!$L$53</f>
        <v>0</v>
      </c>
      <c r="BL37" s="89">
        <f>-BL$18*'Single Project Assumptions'!$L$53</f>
        <v>0</v>
      </c>
      <c r="BM37" s="89">
        <f>-BM$18*'Single Project Assumptions'!$L$53</f>
        <v>0</v>
      </c>
      <c r="BN37" s="89">
        <f>-BN$18*'Single Project Assumptions'!$L$53</f>
        <v>0</v>
      </c>
      <c r="BO37" s="89">
        <f>-BO$18*'Single Project Assumptions'!$L$53</f>
        <v>0</v>
      </c>
      <c r="BP37" s="89">
        <f>-BP$18*'Single Project Assumptions'!$L$53</f>
        <v>0</v>
      </c>
      <c r="BQ37" s="89">
        <f>-BQ$18*'Single Project Assumptions'!$L$53</f>
        <v>0</v>
      </c>
      <c r="BR37" s="89">
        <f>-BR$18*'Single Project Assumptions'!$L$53</f>
        <v>0</v>
      </c>
      <c r="BS37" s="89">
        <f>-BS$18*'Single Project Assumptions'!$L$53</f>
        <v>0</v>
      </c>
      <c r="BT37" s="89">
        <f>-BT$18*'Single Project Assumptions'!$L$53</f>
        <v>0</v>
      </c>
      <c r="BU37" s="89">
        <f>-BU$18*'Single Project Assumptions'!$L$53</f>
        <v>0</v>
      </c>
      <c r="BV37" s="89">
        <f>-BV$18*'Single Project Assumptions'!$L$53</f>
        <v>0</v>
      </c>
      <c r="BW37" s="89">
        <f>-BW$18*'Single Project Assumptions'!$L$53</f>
        <v>0</v>
      </c>
      <c r="BX37" s="89">
        <f>-BX$18*'Single Project Assumptions'!$L$53</f>
        <v>0</v>
      </c>
      <c r="BY37" s="89">
        <f>-BY$18*'Single Project Assumptions'!$L$53</f>
        <v>0</v>
      </c>
      <c r="BZ37" s="89">
        <f>-BZ$18*'Single Project Assumptions'!$L$53</f>
        <v>0</v>
      </c>
      <c r="CA37" s="89">
        <f>-CA$18*'Single Project Assumptions'!$L$53</f>
        <v>0</v>
      </c>
      <c r="CB37" s="89">
        <f>-CB$18*'Single Project Assumptions'!$L$53</f>
        <v>0</v>
      </c>
      <c r="CC37" s="89">
        <f>-CC$18*'Single Project Assumptions'!$L$53</f>
        <v>0</v>
      </c>
      <c r="CD37" s="89">
        <f>-CD$18*'Single Project Assumptions'!$L$53</f>
        <v>0</v>
      </c>
      <c r="CE37" s="89">
        <f>-CE$18*'Single Project Assumptions'!$L$53</f>
        <v>0</v>
      </c>
      <c r="CF37" s="89">
        <f>-CF$18*'Single Project Assumptions'!$L$53</f>
        <v>0</v>
      </c>
      <c r="CG37" s="89">
        <f>-CG$18*'Single Project Assumptions'!$L$53</f>
        <v>0</v>
      </c>
      <c r="CH37" s="89">
        <f>-CH$18*'Single Project Assumptions'!$L$53</f>
        <v>0</v>
      </c>
      <c r="CI37" s="89">
        <f>-CI$18*'Single Project Assumptions'!$L$53</f>
        <v>0</v>
      </c>
      <c r="CJ37" s="89">
        <f>-CJ$18*'Single Project Assumptions'!$L$53</f>
        <v>0</v>
      </c>
      <c r="CK37" s="89">
        <f>-CK$18*'Single Project Assumptions'!$L$53</f>
        <v>0</v>
      </c>
      <c r="CL37" s="89">
        <f>-CL$18*'Single Project Assumptions'!$L$53</f>
        <v>0</v>
      </c>
      <c r="CM37" s="89">
        <f>-CM$18*'Single Project Assumptions'!$L$53</f>
        <v>0</v>
      </c>
      <c r="CN37" s="89">
        <f>-CN$18*'Single Project Assumptions'!$L$53</f>
        <v>0</v>
      </c>
      <c r="CO37" s="89">
        <f>-CO$18*'Single Project Assumptions'!$L$53</f>
        <v>0</v>
      </c>
      <c r="CP37" s="89">
        <f>-CP$18*'Single Project Assumptions'!$L$53</f>
        <v>0</v>
      </c>
      <c r="CQ37" s="89">
        <f>-CQ$18*'Single Project Assumptions'!$L$53</f>
        <v>0</v>
      </c>
      <c r="CR37" s="89">
        <f>-CR$18*'Single Project Assumptions'!$L$53</f>
        <v>0</v>
      </c>
      <c r="CS37" s="89">
        <f>-CS$18*'Single Project Assumptions'!$L$53</f>
        <v>0</v>
      </c>
      <c r="CT37" s="89">
        <f>-CT$18*'Single Project Assumptions'!$L$53</f>
        <v>0</v>
      </c>
      <c r="CU37" s="89">
        <f>-CU$18*'Single Project Assumptions'!$L$53</f>
        <v>0</v>
      </c>
      <c r="CV37" s="89">
        <f>-CV$18*'Single Project Assumptions'!$L$53</f>
        <v>0</v>
      </c>
      <c r="CW37" s="89">
        <f>-CW$18*'Single Project Assumptions'!$L$53</f>
        <v>0</v>
      </c>
      <c r="CX37" s="89">
        <f>-CX$18*'Single Project Assumptions'!$L$53</f>
        <v>0</v>
      </c>
      <c r="CY37" s="89">
        <f>-CY$18*'Single Project Assumptions'!$L$53</f>
        <v>0</v>
      </c>
      <c r="CZ37" s="89">
        <f>-CZ$18*'Single Project Assumptions'!$L$53</f>
        <v>0</v>
      </c>
      <c r="DA37" s="89">
        <f>-DA$18*'Single Project Assumptions'!$L$53</f>
        <v>0</v>
      </c>
      <c r="DB37" s="89">
        <f>-DB$18*'Single Project Assumptions'!$L$53</f>
        <v>0</v>
      </c>
      <c r="DC37" s="89">
        <f>-DC$18*'Single Project Assumptions'!$L$53</f>
        <v>0</v>
      </c>
      <c r="DD37" s="89">
        <f>-DD$18*'Single Project Assumptions'!$L$53</f>
        <v>0</v>
      </c>
      <c r="DE37" s="89">
        <f>-DE$18*'Single Project Assumptions'!$L$53</f>
        <v>0</v>
      </c>
      <c r="DF37" s="89">
        <f>-DF$18*'Single Project Assumptions'!$L$53</f>
        <v>0</v>
      </c>
      <c r="DG37" s="89">
        <f>-DG$18*'Single Project Assumptions'!$L$53</f>
        <v>0</v>
      </c>
      <c r="DH37" s="89">
        <f>-DH$18*'Single Project Assumptions'!$L$53</f>
        <v>0</v>
      </c>
      <c r="DI37" s="89">
        <f>-DI$18*'Single Project Assumptions'!$L$53</f>
        <v>0</v>
      </c>
      <c r="DJ37" s="89">
        <f>-DJ$18*'Single Project Assumptions'!$L$53</f>
        <v>0</v>
      </c>
      <c r="DK37" s="89">
        <f>-DK$18*'Single Project Assumptions'!$L$53</f>
        <v>0</v>
      </c>
      <c r="DL37" s="89">
        <f>-DL$18*'Single Project Assumptions'!$L$53</f>
        <v>0</v>
      </c>
      <c r="DM37" s="89">
        <f>-DM$18*'Single Project Assumptions'!$L$53</f>
        <v>0</v>
      </c>
      <c r="DN37" s="89">
        <f>-DN$18*'Single Project Assumptions'!$L$53</f>
        <v>0</v>
      </c>
      <c r="DO37" s="89">
        <f>-DO$18*'Single Project Assumptions'!$L$53</f>
        <v>0</v>
      </c>
      <c r="DP37" s="89">
        <f>-DP$18*'Single Project Assumptions'!$L$53</f>
        <v>0</v>
      </c>
      <c r="DQ37" s="89">
        <f>-DQ$18*'Single Project Assumptions'!$L$53</f>
        <v>0</v>
      </c>
      <c r="DR37" s="89">
        <f>-DR$18*'Single Project Assumptions'!$L$53</f>
        <v>0</v>
      </c>
      <c r="DS37" s="89">
        <f>-DS$18*'Single Project Assumptions'!$L$53</f>
        <v>0</v>
      </c>
      <c r="DT37" s="89">
        <f>-DT$18*'Single Project Assumptions'!$L$53</f>
        <v>0</v>
      </c>
      <c r="DU37" s="89">
        <f>-DU$18*'Single Project Assumptions'!$L$53</f>
        <v>0</v>
      </c>
    </row>
    <row r="38" spans="3:125" s="3" customFormat="1" ht="22.95" customHeight="1">
      <c r="C38" s="56" t="s">
        <v>202</v>
      </c>
      <c r="D38" s="54">
        <f>SUM(E38:DU38)</f>
        <v>1350000</v>
      </c>
      <c r="E38" s="55">
        <f>-E$18*'Single Project Assumptions'!$L$52</f>
        <v>0</v>
      </c>
      <c r="F38" s="55">
        <f>-F$18*'Single Project Assumptions'!$L$52</f>
        <v>0</v>
      </c>
      <c r="G38" s="55">
        <f>-G$18*'Single Project Assumptions'!$L$52</f>
        <v>0</v>
      </c>
      <c r="H38" s="55">
        <f>-H$18*'Single Project Assumptions'!$L$52</f>
        <v>0</v>
      </c>
      <c r="I38" s="55">
        <f>-I$18*'Single Project Assumptions'!$L$52</f>
        <v>0</v>
      </c>
      <c r="J38" s="55">
        <f>-J$18*'Single Project Assumptions'!$L$52</f>
        <v>0</v>
      </c>
      <c r="K38" s="55">
        <f>-K$18*'Single Project Assumptions'!$L$52</f>
        <v>0</v>
      </c>
      <c r="L38" s="55">
        <f>-L$18*'Single Project Assumptions'!$L$52</f>
        <v>0</v>
      </c>
      <c r="M38" s="55">
        <f>-M$18*'Single Project Assumptions'!$L$52</f>
        <v>0</v>
      </c>
      <c r="N38" s="55">
        <f>-N$18*'Single Project Assumptions'!$L$52</f>
        <v>0</v>
      </c>
      <c r="O38" s="55">
        <f>-O$18*'Single Project Assumptions'!$L$52</f>
        <v>0</v>
      </c>
      <c r="P38" s="55">
        <f>-P$18*'Single Project Assumptions'!$L$52</f>
        <v>0</v>
      </c>
      <c r="Q38" s="55">
        <f>-Q$18*'Single Project Assumptions'!$L$52</f>
        <v>0</v>
      </c>
      <c r="R38" s="55">
        <f>-R$18*'Single Project Assumptions'!$L$52</f>
        <v>0</v>
      </c>
      <c r="S38" s="55">
        <f>-S$18*'Single Project Assumptions'!$L$52</f>
        <v>0</v>
      </c>
      <c r="T38" s="55">
        <f>-T$18*'Single Project Assumptions'!$L$52</f>
        <v>0</v>
      </c>
      <c r="U38" s="55">
        <f>-U$18*'Single Project Assumptions'!$L$52</f>
        <v>0</v>
      </c>
      <c r="V38" s="55">
        <f>-V$18*'Single Project Assumptions'!$L$52</f>
        <v>0</v>
      </c>
      <c r="W38" s="55">
        <f>-W$18*'Single Project Assumptions'!$L$52</f>
        <v>0</v>
      </c>
      <c r="X38" s="55">
        <f>-X$18*'Single Project Assumptions'!$L$52</f>
        <v>0</v>
      </c>
      <c r="Y38" s="55">
        <f>-Y$18*'Single Project Assumptions'!$L$52</f>
        <v>0</v>
      </c>
      <c r="Z38" s="55">
        <f>-Z$18*'Single Project Assumptions'!$L$52</f>
        <v>0</v>
      </c>
      <c r="AA38" s="55">
        <f>-AA$18*'Single Project Assumptions'!$L$52</f>
        <v>0</v>
      </c>
      <c r="AB38" s="55">
        <f>-AB$18*'Single Project Assumptions'!$L$52</f>
        <v>0</v>
      </c>
      <c r="AC38" s="55">
        <f>-AC$18*'Single Project Assumptions'!$L$52</f>
        <v>1350000</v>
      </c>
      <c r="AD38" s="55">
        <f>-AD$18*'Single Project Assumptions'!$L$52</f>
        <v>0</v>
      </c>
      <c r="AE38" s="55">
        <f>-AE$18*'Single Project Assumptions'!$L$52</f>
        <v>0</v>
      </c>
      <c r="AF38" s="55">
        <f>-AF$18*'Single Project Assumptions'!$L$52</f>
        <v>0</v>
      </c>
      <c r="AG38" s="55">
        <f>-AG$18*'Single Project Assumptions'!$L$52</f>
        <v>0</v>
      </c>
      <c r="AH38" s="55">
        <f>-AH$18*'Single Project Assumptions'!$L$52</f>
        <v>0</v>
      </c>
      <c r="AI38" s="55">
        <f>-AI$18*'Single Project Assumptions'!$L$52</f>
        <v>0</v>
      </c>
      <c r="AJ38" s="55">
        <f>-AJ$18*'Single Project Assumptions'!$L$52</f>
        <v>0</v>
      </c>
      <c r="AK38" s="55">
        <f>-AK$18*'Single Project Assumptions'!$L$52</f>
        <v>0</v>
      </c>
      <c r="AL38" s="55">
        <f>-AL$18*'Single Project Assumptions'!$L$52</f>
        <v>0</v>
      </c>
      <c r="AM38" s="55">
        <f>-AM$18*'Single Project Assumptions'!$L$52</f>
        <v>0</v>
      </c>
      <c r="AN38" s="55">
        <f>-AN$18*'Single Project Assumptions'!$L$52</f>
        <v>0</v>
      </c>
      <c r="AO38" s="55">
        <f>-AO$18*'Single Project Assumptions'!$L$52</f>
        <v>0</v>
      </c>
      <c r="AP38" s="55">
        <f>-AP$18*'Single Project Assumptions'!$L$52</f>
        <v>0</v>
      </c>
      <c r="AQ38" s="55">
        <f>-AQ$18*'Single Project Assumptions'!$L$52</f>
        <v>0</v>
      </c>
      <c r="AR38" s="55">
        <f>-AR$18*'Single Project Assumptions'!$L$52</f>
        <v>0</v>
      </c>
      <c r="AS38" s="55">
        <f>-AS$18*'Single Project Assumptions'!$L$52</f>
        <v>0</v>
      </c>
      <c r="AT38" s="55">
        <f>-AT$18*'Single Project Assumptions'!$L$52</f>
        <v>0</v>
      </c>
      <c r="AU38" s="55">
        <f>-AU$18*'Single Project Assumptions'!$L$52</f>
        <v>0</v>
      </c>
      <c r="AV38" s="55">
        <f>-AV$18*'Single Project Assumptions'!$L$52</f>
        <v>0</v>
      </c>
      <c r="AW38" s="55">
        <f>-AW$18*'Single Project Assumptions'!$L$52</f>
        <v>0</v>
      </c>
      <c r="AX38" s="55">
        <f>-AX$18*'Single Project Assumptions'!$L$52</f>
        <v>0</v>
      </c>
      <c r="AY38" s="55">
        <f>-AY$18*'Single Project Assumptions'!$L$52</f>
        <v>0</v>
      </c>
      <c r="AZ38" s="55">
        <f>-AZ$18*'Single Project Assumptions'!$L$52</f>
        <v>0</v>
      </c>
      <c r="BA38" s="55">
        <f>-BA$18*'Single Project Assumptions'!$L$52</f>
        <v>0</v>
      </c>
      <c r="BB38" s="55">
        <f>-BB$18*'Single Project Assumptions'!$L$52</f>
        <v>0</v>
      </c>
      <c r="BC38" s="55">
        <f>-BC$18*'Single Project Assumptions'!$L$52</f>
        <v>0</v>
      </c>
      <c r="BD38" s="55">
        <f>-BD$18*'Single Project Assumptions'!$L$52</f>
        <v>0</v>
      </c>
      <c r="BE38" s="55">
        <f>-BE$18*'Single Project Assumptions'!$L$52</f>
        <v>0</v>
      </c>
      <c r="BF38" s="55">
        <f>-BF$18*'Single Project Assumptions'!$L$52</f>
        <v>0</v>
      </c>
      <c r="BG38" s="55">
        <f>-BG$18*'Single Project Assumptions'!$L$52</f>
        <v>0</v>
      </c>
      <c r="BH38" s="55">
        <f>-BH$18*'Single Project Assumptions'!$L$52</f>
        <v>0</v>
      </c>
      <c r="BI38" s="55">
        <f>-BI$18*'Single Project Assumptions'!$L$52</f>
        <v>0</v>
      </c>
      <c r="BJ38" s="55">
        <f>-BJ$18*'Single Project Assumptions'!$L$52</f>
        <v>0</v>
      </c>
      <c r="BK38" s="55">
        <f>-BK$18*'Single Project Assumptions'!$L$52</f>
        <v>0</v>
      </c>
      <c r="BL38" s="55">
        <f>-BL$18*'Single Project Assumptions'!$L$52</f>
        <v>0</v>
      </c>
      <c r="BM38" s="55">
        <f>-BM$18*'Single Project Assumptions'!$L$52</f>
        <v>0</v>
      </c>
      <c r="BN38" s="55">
        <f>-BN$18*'Single Project Assumptions'!$L$52</f>
        <v>0</v>
      </c>
      <c r="BO38" s="55">
        <f>-BO$18*'Single Project Assumptions'!$L$52</f>
        <v>0</v>
      </c>
      <c r="BP38" s="55">
        <f>-BP$18*'Single Project Assumptions'!$L$52</f>
        <v>0</v>
      </c>
      <c r="BQ38" s="55">
        <f>-BQ$18*'Single Project Assumptions'!$L$52</f>
        <v>0</v>
      </c>
      <c r="BR38" s="55">
        <f>-BR$18*'Single Project Assumptions'!$L$52</f>
        <v>0</v>
      </c>
      <c r="BS38" s="55">
        <f>-BS$18*'Single Project Assumptions'!$L$52</f>
        <v>0</v>
      </c>
      <c r="BT38" s="55">
        <f>-BT$18*'Single Project Assumptions'!$L$52</f>
        <v>0</v>
      </c>
      <c r="BU38" s="55">
        <f>-BU$18*'Single Project Assumptions'!$L$52</f>
        <v>0</v>
      </c>
      <c r="BV38" s="55">
        <f>-BV$18*'Single Project Assumptions'!$L$52</f>
        <v>0</v>
      </c>
      <c r="BW38" s="55">
        <f>-BW$18*'Single Project Assumptions'!$L$52</f>
        <v>0</v>
      </c>
      <c r="BX38" s="55">
        <f>-BX$18*'Single Project Assumptions'!$L$52</f>
        <v>0</v>
      </c>
      <c r="BY38" s="55">
        <f>-BY$18*'Single Project Assumptions'!$L$52</f>
        <v>0</v>
      </c>
      <c r="BZ38" s="55">
        <f>-BZ$18*'Single Project Assumptions'!$L$52</f>
        <v>0</v>
      </c>
      <c r="CA38" s="55">
        <f>-CA$18*'Single Project Assumptions'!$L$52</f>
        <v>0</v>
      </c>
      <c r="CB38" s="55">
        <f>-CB$18*'Single Project Assumptions'!$L$52</f>
        <v>0</v>
      </c>
      <c r="CC38" s="55">
        <f>-CC$18*'Single Project Assumptions'!$L$52</f>
        <v>0</v>
      </c>
      <c r="CD38" s="55">
        <f>-CD$18*'Single Project Assumptions'!$L$52</f>
        <v>0</v>
      </c>
      <c r="CE38" s="55">
        <f>-CE$18*'Single Project Assumptions'!$L$52</f>
        <v>0</v>
      </c>
      <c r="CF38" s="55">
        <f>-CF$18*'Single Project Assumptions'!$L$52</f>
        <v>0</v>
      </c>
      <c r="CG38" s="55">
        <f>-CG$18*'Single Project Assumptions'!$L$52</f>
        <v>0</v>
      </c>
      <c r="CH38" s="55">
        <f>-CH$18*'Single Project Assumptions'!$L$52</f>
        <v>0</v>
      </c>
      <c r="CI38" s="55">
        <f>-CI$18*'Single Project Assumptions'!$L$52</f>
        <v>0</v>
      </c>
      <c r="CJ38" s="55">
        <f>-CJ$18*'Single Project Assumptions'!$L$52</f>
        <v>0</v>
      </c>
      <c r="CK38" s="55">
        <f>-CK$18*'Single Project Assumptions'!$L$52</f>
        <v>0</v>
      </c>
      <c r="CL38" s="55">
        <f>-CL$18*'Single Project Assumptions'!$L$52</f>
        <v>0</v>
      </c>
      <c r="CM38" s="55">
        <f>-CM$18*'Single Project Assumptions'!$L$52</f>
        <v>0</v>
      </c>
      <c r="CN38" s="55">
        <f>-CN$18*'Single Project Assumptions'!$L$52</f>
        <v>0</v>
      </c>
      <c r="CO38" s="55">
        <f>-CO$18*'Single Project Assumptions'!$L$52</f>
        <v>0</v>
      </c>
      <c r="CP38" s="55">
        <f>-CP$18*'Single Project Assumptions'!$L$52</f>
        <v>0</v>
      </c>
      <c r="CQ38" s="55">
        <f>-CQ$18*'Single Project Assumptions'!$L$52</f>
        <v>0</v>
      </c>
      <c r="CR38" s="55">
        <f>-CR$18*'Single Project Assumptions'!$L$52</f>
        <v>0</v>
      </c>
      <c r="CS38" s="55">
        <f>-CS$18*'Single Project Assumptions'!$L$52</f>
        <v>0</v>
      </c>
      <c r="CT38" s="55">
        <f>-CT$18*'Single Project Assumptions'!$L$52</f>
        <v>0</v>
      </c>
      <c r="CU38" s="55">
        <f>-CU$18*'Single Project Assumptions'!$L$52</f>
        <v>0</v>
      </c>
      <c r="CV38" s="55">
        <f>-CV$18*'Single Project Assumptions'!$L$52</f>
        <v>0</v>
      </c>
      <c r="CW38" s="55">
        <f>-CW$18*'Single Project Assumptions'!$L$52</f>
        <v>0</v>
      </c>
      <c r="CX38" s="55">
        <f>-CX$18*'Single Project Assumptions'!$L$52</f>
        <v>0</v>
      </c>
      <c r="CY38" s="55">
        <f>-CY$18*'Single Project Assumptions'!$L$52</f>
        <v>0</v>
      </c>
      <c r="CZ38" s="55">
        <f>-CZ$18*'Single Project Assumptions'!$L$52</f>
        <v>0</v>
      </c>
      <c r="DA38" s="55">
        <f>-DA$18*'Single Project Assumptions'!$L$52</f>
        <v>0</v>
      </c>
      <c r="DB38" s="55">
        <f>-DB$18*'Single Project Assumptions'!$L$52</f>
        <v>0</v>
      </c>
      <c r="DC38" s="55">
        <f>-DC$18*'Single Project Assumptions'!$L$52</f>
        <v>0</v>
      </c>
      <c r="DD38" s="55">
        <f>-DD$18*'Single Project Assumptions'!$L$52</f>
        <v>0</v>
      </c>
      <c r="DE38" s="55">
        <f>-DE$18*'Single Project Assumptions'!$L$52</f>
        <v>0</v>
      </c>
      <c r="DF38" s="55">
        <f>-DF$18*'Single Project Assumptions'!$L$52</f>
        <v>0</v>
      </c>
      <c r="DG38" s="55">
        <f>-DG$18*'Single Project Assumptions'!$L$52</f>
        <v>0</v>
      </c>
      <c r="DH38" s="55">
        <f>-DH$18*'Single Project Assumptions'!$L$52</f>
        <v>0</v>
      </c>
      <c r="DI38" s="55">
        <f>-DI$18*'Single Project Assumptions'!$L$52</f>
        <v>0</v>
      </c>
      <c r="DJ38" s="55">
        <f>-DJ$18*'Single Project Assumptions'!$L$52</f>
        <v>0</v>
      </c>
      <c r="DK38" s="55">
        <f>-DK$18*'Single Project Assumptions'!$L$52</f>
        <v>0</v>
      </c>
      <c r="DL38" s="55">
        <f>-DL$18*'Single Project Assumptions'!$L$52</f>
        <v>0</v>
      </c>
      <c r="DM38" s="55">
        <f>-DM$18*'Single Project Assumptions'!$L$52</f>
        <v>0</v>
      </c>
      <c r="DN38" s="55">
        <f>-DN$18*'Single Project Assumptions'!$L$52</f>
        <v>0</v>
      </c>
      <c r="DO38" s="55">
        <f>-DO$18*'Single Project Assumptions'!$L$52</f>
        <v>0</v>
      </c>
      <c r="DP38" s="55">
        <f>-DP$18*'Single Project Assumptions'!$L$52</f>
        <v>0</v>
      </c>
      <c r="DQ38" s="55">
        <f>-DQ$18*'Single Project Assumptions'!$L$52</f>
        <v>0</v>
      </c>
      <c r="DR38" s="55">
        <f>-DR$18*'Single Project Assumptions'!$L$52</f>
        <v>0</v>
      </c>
      <c r="DS38" s="55">
        <f>-DS$18*'Single Project Assumptions'!$L$52</f>
        <v>0</v>
      </c>
      <c r="DT38" s="55">
        <f>-DT$18*'Single Project Assumptions'!$L$52</f>
        <v>0</v>
      </c>
      <c r="DU38" s="55">
        <f>-DU$18*'Single Project Assumptions'!$L$52</f>
        <v>0</v>
      </c>
    </row>
    <row r="39" spans="3:125" s="3" customFormat="1" ht="22.95" customHeight="1">
      <c r="D39" s="24"/>
    </row>
    <row r="40" spans="3:125" s="3" customFormat="1" ht="22.95" customHeight="1">
      <c r="C40" s="60" t="s">
        <v>285</v>
      </c>
      <c r="D40" s="24"/>
    </row>
    <row r="41" spans="3:125" s="3" customFormat="1" ht="22.95" customHeight="1">
      <c r="C41" s="48" t="s">
        <v>207</v>
      </c>
      <c r="D41" s="49">
        <f>SUM(E41:DU41)</f>
        <v>157621.875</v>
      </c>
      <c r="E41" s="89">
        <f>-E$19*'Single Project Assumptions'!$L$60</f>
        <v>0</v>
      </c>
      <c r="F41" s="89">
        <f>-F$19*'Single Project Assumptions'!$L$60</f>
        <v>0</v>
      </c>
      <c r="G41" s="89">
        <f>-G$19*'Single Project Assumptions'!$L$60</f>
        <v>0</v>
      </c>
      <c r="H41" s="89">
        <f>-H$19*'Single Project Assumptions'!$L$60</f>
        <v>0</v>
      </c>
      <c r="I41" s="89">
        <f>-I$19*'Single Project Assumptions'!$L$60</f>
        <v>0</v>
      </c>
      <c r="J41" s="89">
        <f>-J$19*'Single Project Assumptions'!$L$60</f>
        <v>0</v>
      </c>
      <c r="K41" s="89">
        <f>-K$19*'Single Project Assumptions'!$L$60</f>
        <v>0</v>
      </c>
      <c r="L41" s="89">
        <f>-L$19*'Single Project Assumptions'!$L$60</f>
        <v>0</v>
      </c>
      <c r="M41" s="89">
        <f>-M$19*'Single Project Assumptions'!$L$60</f>
        <v>0</v>
      </c>
      <c r="N41" s="89">
        <f>-N$19*'Single Project Assumptions'!$L$60</f>
        <v>0</v>
      </c>
      <c r="O41" s="89">
        <f>-O$19*'Single Project Assumptions'!$L$60</f>
        <v>0</v>
      </c>
      <c r="P41" s="89">
        <f>-P$19*'Single Project Assumptions'!$L$60</f>
        <v>0</v>
      </c>
      <c r="Q41" s="89">
        <f>-Q$19*'Single Project Assumptions'!$L$60</f>
        <v>0</v>
      </c>
      <c r="R41" s="89">
        <f>-R$19*'Single Project Assumptions'!$L$60</f>
        <v>0</v>
      </c>
      <c r="S41" s="89">
        <f>-S$19*'Single Project Assumptions'!$L$60</f>
        <v>0</v>
      </c>
      <c r="T41" s="89">
        <f>-T$19*'Single Project Assumptions'!$L$60</f>
        <v>0</v>
      </c>
      <c r="U41" s="89">
        <f>-U$19*'Single Project Assumptions'!$L$60</f>
        <v>0</v>
      </c>
      <c r="V41" s="89">
        <f>-V$19*'Single Project Assumptions'!$L$60</f>
        <v>0</v>
      </c>
      <c r="W41" s="89">
        <f>-W$19*'Single Project Assumptions'!$L$60</f>
        <v>0</v>
      </c>
      <c r="X41" s="89">
        <f>-X$19*'Single Project Assumptions'!$L$60</f>
        <v>0</v>
      </c>
      <c r="Y41" s="89">
        <f>-Y$19*'Single Project Assumptions'!$L$60</f>
        <v>0</v>
      </c>
      <c r="Z41" s="89">
        <f>-Z$19*'Single Project Assumptions'!$L$60</f>
        <v>0</v>
      </c>
      <c r="AA41" s="89">
        <f>-AA$19*'Single Project Assumptions'!$L$60</f>
        <v>0</v>
      </c>
      <c r="AB41" s="89">
        <f>-AB$19*'Single Project Assumptions'!$L$60</f>
        <v>0</v>
      </c>
      <c r="AC41" s="89">
        <f>-AC$19*'Single Project Assumptions'!$L$60</f>
        <v>0</v>
      </c>
      <c r="AD41" s="89">
        <f>-AD$19*'Single Project Assumptions'!$L$60</f>
        <v>0</v>
      </c>
      <c r="AE41" s="89">
        <f>-AE$19*'Single Project Assumptions'!$L$60</f>
        <v>0</v>
      </c>
      <c r="AF41" s="89">
        <f>-AF$19*'Single Project Assumptions'!$L$60</f>
        <v>6567.578125</v>
      </c>
      <c r="AG41" s="89">
        <f>-AG$19*'Single Project Assumptions'!$L$60</f>
        <v>6567.578125</v>
      </c>
      <c r="AH41" s="89">
        <f>-AH$19*'Single Project Assumptions'!$L$60</f>
        <v>6567.578125</v>
      </c>
      <c r="AI41" s="89">
        <f>-AI$19*'Single Project Assumptions'!$L$60</f>
        <v>6567.578125</v>
      </c>
      <c r="AJ41" s="89">
        <f>-AJ$19*'Single Project Assumptions'!$L$60</f>
        <v>6567.578125</v>
      </c>
      <c r="AK41" s="89">
        <f>-AK$19*'Single Project Assumptions'!$L$60</f>
        <v>6567.578125</v>
      </c>
      <c r="AL41" s="89">
        <f>-AL$19*'Single Project Assumptions'!$L$60</f>
        <v>6567.578125</v>
      </c>
      <c r="AM41" s="89">
        <f>-AM$19*'Single Project Assumptions'!$L$60</f>
        <v>6567.578125</v>
      </c>
      <c r="AN41" s="89">
        <f>-AN$19*'Single Project Assumptions'!$L$60</f>
        <v>6567.578125</v>
      </c>
      <c r="AO41" s="89">
        <f>-AO$19*'Single Project Assumptions'!$L$60</f>
        <v>6567.578125</v>
      </c>
      <c r="AP41" s="89">
        <f>-AP$19*'Single Project Assumptions'!$L$60</f>
        <v>6567.578125</v>
      </c>
      <c r="AQ41" s="89">
        <f>-AQ$19*'Single Project Assumptions'!$L$60</f>
        <v>6567.578125</v>
      </c>
      <c r="AR41" s="89">
        <f>-AR$19*'Single Project Assumptions'!$L$60</f>
        <v>6567.578125</v>
      </c>
      <c r="AS41" s="89">
        <f>-AS$19*'Single Project Assumptions'!$L$60</f>
        <v>6567.578125</v>
      </c>
      <c r="AT41" s="89">
        <f>-AT$19*'Single Project Assumptions'!$L$60</f>
        <v>6567.578125</v>
      </c>
      <c r="AU41" s="89">
        <f>-AU$19*'Single Project Assumptions'!$L$60</f>
        <v>6567.578125</v>
      </c>
      <c r="AV41" s="89">
        <f>-AV$19*'Single Project Assumptions'!$L$60</f>
        <v>6567.578125</v>
      </c>
      <c r="AW41" s="89">
        <f>-AW$19*'Single Project Assumptions'!$L$60</f>
        <v>6567.578125</v>
      </c>
      <c r="AX41" s="89">
        <f>-AX$19*'Single Project Assumptions'!$L$60</f>
        <v>6567.578125</v>
      </c>
      <c r="AY41" s="89">
        <f>-AY$19*'Single Project Assumptions'!$L$60</f>
        <v>6567.578125</v>
      </c>
      <c r="AZ41" s="89">
        <f>-AZ$19*'Single Project Assumptions'!$L$60</f>
        <v>6567.578125</v>
      </c>
      <c r="BA41" s="89">
        <f>-BA$19*'Single Project Assumptions'!$L$60</f>
        <v>6567.578125</v>
      </c>
      <c r="BB41" s="89">
        <f>-BB$19*'Single Project Assumptions'!$L$60</f>
        <v>6567.578125</v>
      </c>
      <c r="BC41" s="89">
        <f>-BC$19*'Single Project Assumptions'!$L$60</f>
        <v>6567.578125</v>
      </c>
      <c r="BD41" s="89">
        <f>-BD$19*'Single Project Assumptions'!$L$60</f>
        <v>0</v>
      </c>
      <c r="BE41" s="89">
        <f>-BE$19*'Single Project Assumptions'!$L$60</f>
        <v>0</v>
      </c>
      <c r="BF41" s="89">
        <f>-BF$19*'Single Project Assumptions'!$L$60</f>
        <v>0</v>
      </c>
      <c r="BG41" s="89">
        <f>-BG$19*'Single Project Assumptions'!$L$60</f>
        <v>0</v>
      </c>
      <c r="BH41" s="89">
        <f>-BH$19*'Single Project Assumptions'!$L$60</f>
        <v>0</v>
      </c>
      <c r="BI41" s="89">
        <f>-BI$19*'Single Project Assumptions'!$L$60</f>
        <v>0</v>
      </c>
      <c r="BJ41" s="89">
        <f>-BJ$19*'Single Project Assumptions'!$L$60</f>
        <v>0</v>
      </c>
      <c r="BK41" s="89">
        <f>-BK$19*'Single Project Assumptions'!$L$60</f>
        <v>0</v>
      </c>
      <c r="BL41" s="89">
        <f>-BL$19*'Single Project Assumptions'!$L$60</f>
        <v>0</v>
      </c>
      <c r="BM41" s="89">
        <f>-BM$19*'Single Project Assumptions'!$L$60</f>
        <v>0</v>
      </c>
      <c r="BN41" s="89">
        <f>-BN$19*'Single Project Assumptions'!$L$60</f>
        <v>0</v>
      </c>
      <c r="BO41" s="89">
        <f>-BO$19*'Single Project Assumptions'!$L$60</f>
        <v>0</v>
      </c>
      <c r="BP41" s="89">
        <f>-BP$19*'Single Project Assumptions'!$L$60</f>
        <v>0</v>
      </c>
      <c r="BQ41" s="89">
        <f>-BQ$19*'Single Project Assumptions'!$L$60</f>
        <v>0</v>
      </c>
      <c r="BR41" s="89">
        <f>-BR$19*'Single Project Assumptions'!$L$60</f>
        <v>0</v>
      </c>
      <c r="BS41" s="89">
        <f>-BS$19*'Single Project Assumptions'!$L$60</f>
        <v>0</v>
      </c>
      <c r="BT41" s="89">
        <f>-BT$19*'Single Project Assumptions'!$L$60</f>
        <v>0</v>
      </c>
      <c r="BU41" s="89">
        <f>-BU$19*'Single Project Assumptions'!$L$60</f>
        <v>0</v>
      </c>
      <c r="BV41" s="89">
        <f>-BV$19*'Single Project Assumptions'!$L$60</f>
        <v>0</v>
      </c>
      <c r="BW41" s="89">
        <f>-BW$19*'Single Project Assumptions'!$L$60</f>
        <v>0</v>
      </c>
      <c r="BX41" s="89">
        <f>-BX$19*'Single Project Assumptions'!$L$60</f>
        <v>0</v>
      </c>
      <c r="BY41" s="89">
        <f>-BY$19*'Single Project Assumptions'!$L$60</f>
        <v>0</v>
      </c>
      <c r="BZ41" s="89">
        <f>-BZ$19*'Single Project Assumptions'!$L$60</f>
        <v>0</v>
      </c>
      <c r="CA41" s="89">
        <f>-CA$19*'Single Project Assumptions'!$L$60</f>
        <v>0</v>
      </c>
      <c r="CB41" s="89">
        <f>-CB$19*'Single Project Assumptions'!$L$60</f>
        <v>0</v>
      </c>
      <c r="CC41" s="89">
        <f>-CC$19*'Single Project Assumptions'!$L$60</f>
        <v>0</v>
      </c>
      <c r="CD41" s="89">
        <f>-CD$19*'Single Project Assumptions'!$L$60</f>
        <v>0</v>
      </c>
      <c r="CE41" s="89">
        <f>-CE$19*'Single Project Assumptions'!$L$60</f>
        <v>0</v>
      </c>
      <c r="CF41" s="89">
        <f>-CF$19*'Single Project Assumptions'!$L$60</f>
        <v>0</v>
      </c>
      <c r="CG41" s="89">
        <f>-CG$19*'Single Project Assumptions'!$L$60</f>
        <v>0</v>
      </c>
      <c r="CH41" s="89">
        <f>-CH$19*'Single Project Assumptions'!$L$60</f>
        <v>0</v>
      </c>
      <c r="CI41" s="89">
        <f>-CI$19*'Single Project Assumptions'!$L$60</f>
        <v>0</v>
      </c>
      <c r="CJ41" s="89">
        <f>-CJ$19*'Single Project Assumptions'!$L$60</f>
        <v>0</v>
      </c>
      <c r="CK41" s="89">
        <f>-CK$19*'Single Project Assumptions'!$L$60</f>
        <v>0</v>
      </c>
      <c r="CL41" s="89">
        <f>-CL$19*'Single Project Assumptions'!$L$60</f>
        <v>0</v>
      </c>
      <c r="CM41" s="89">
        <f>-CM$19*'Single Project Assumptions'!$L$60</f>
        <v>0</v>
      </c>
      <c r="CN41" s="89">
        <f>-CN$19*'Single Project Assumptions'!$L$60</f>
        <v>0</v>
      </c>
      <c r="CO41" s="89">
        <f>-CO$19*'Single Project Assumptions'!$L$60</f>
        <v>0</v>
      </c>
      <c r="CP41" s="89">
        <f>-CP$19*'Single Project Assumptions'!$L$60</f>
        <v>0</v>
      </c>
      <c r="CQ41" s="89">
        <f>-CQ$19*'Single Project Assumptions'!$L$60</f>
        <v>0</v>
      </c>
      <c r="CR41" s="89">
        <f>-CR$19*'Single Project Assumptions'!$L$60</f>
        <v>0</v>
      </c>
      <c r="CS41" s="89">
        <f>-CS$19*'Single Project Assumptions'!$L$60</f>
        <v>0</v>
      </c>
      <c r="CT41" s="89">
        <f>-CT$19*'Single Project Assumptions'!$L$60</f>
        <v>0</v>
      </c>
      <c r="CU41" s="89">
        <f>-CU$19*'Single Project Assumptions'!$L$60</f>
        <v>0</v>
      </c>
      <c r="CV41" s="89">
        <f>-CV$19*'Single Project Assumptions'!$L$60</f>
        <v>0</v>
      </c>
      <c r="CW41" s="89">
        <f>-CW$19*'Single Project Assumptions'!$L$60</f>
        <v>0</v>
      </c>
      <c r="CX41" s="89">
        <f>-CX$19*'Single Project Assumptions'!$L$60</f>
        <v>0</v>
      </c>
      <c r="CY41" s="89">
        <f>-CY$19*'Single Project Assumptions'!$L$60</f>
        <v>0</v>
      </c>
      <c r="CZ41" s="89">
        <f>-CZ$19*'Single Project Assumptions'!$L$60</f>
        <v>0</v>
      </c>
      <c r="DA41" s="89">
        <f>-DA$19*'Single Project Assumptions'!$L$60</f>
        <v>0</v>
      </c>
      <c r="DB41" s="89">
        <f>-DB$19*'Single Project Assumptions'!$L$60</f>
        <v>0</v>
      </c>
      <c r="DC41" s="89">
        <f>-DC$19*'Single Project Assumptions'!$L$60</f>
        <v>0</v>
      </c>
      <c r="DD41" s="89">
        <f>-DD$19*'Single Project Assumptions'!$L$60</f>
        <v>0</v>
      </c>
      <c r="DE41" s="89">
        <f>-DE$19*'Single Project Assumptions'!$L$60</f>
        <v>0</v>
      </c>
      <c r="DF41" s="89">
        <f>-DF$19*'Single Project Assumptions'!$L$60</f>
        <v>0</v>
      </c>
      <c r="DG41" s="89">
        <f>-DG$19*'Single Project Assumptions'!$L$60</f>
        <v>0</v>
      </c>
      <c r="DH41" s="89">
        <f>-DH$19*'Single Project Assumptions'!$L$60</f>
        <v>0</v>
      </c>
      <c r="DI41" s="89">
        <f>-DI$19*'Single Project Assumptions'!$L$60</f>
        <v>0</v>
      </c>
      <c r="DJ41" s="89">
        <f>-DJ$19*'Single Project Assumptions'!$L$60</f>
        <v>0</v>
      </c>
      <c r="DK41" s="89">
        <f>-DK$19*'Single Project Assumptions'!$L$60</f>
        <v>0</v>
      </c>
      <c r="DL41" s="89">
        <f>-DL$19*'Single Project Assumptions'!$L$60</f>
        <v>0</v>
      </c>
      <c r="DM41" s="89">
        <f>-DM$19*'Single Project Assumptions'!$L$60</f>
        <v>0</v>
      </c>
      <c r="DN41" s="89">
        <f>-DN$19*'Single Project Assumptions'!$L$60</f>
        <v>0</v>
      </c>
      <c r="DO41" s="89">
        <f>-DO$19*'Single Project Assumptions'!$L$60</f>
        <v>0</v>
      </c>
      <c r="DP41" s="89">
        <f>-DP$19*'Single Project Assumptions'!$L$60</f>
        <v>0</v>
      </c>
      <c r="DQ41" s="89">
        <f>-DQ$19*'Single Project Assumptions'!$L$60</f>
        <v>0</v>
      </c>
      <c r="DR41" s="89">
        <f>-DR$19*'Single Project Assumptions'!$L$60</f>
        <v>0</v>
      </c>
      <c r="DS41" s="89">
        <f>-DS$19*'Single Project Assumptions'!$L$60</f>
        <v>0</v>
      </c>
      <c r="DT41" s="89">
        <f>-DT$19*'Single Project Assumptions'!$L$60</f>
        <v>0</v>
      </c>
      <c r="DU41" s="89">
        <f>-DU$19*'Single Project Assumptions'!$L$60</f>
        <v>0</v>
      </c>
    </row>
    <row r="42" spans="3:125" s="3" customFormat="1" ht="22.95" customHeight="1">
      <c r="C42" s="56" t="s">
        <v>202</v>
      </c>
      <c r="D42" s="54">
        <f>SUM(E42:DU42)</f>
        <v>236432.8125</v>
      </c>
      <c r="E42" s="55">
        <f>-E$19*'Single Project Assumptions'!$L$59</f>
        <v>0</v>
      </c>
      <c r="F42" s="55">
        <f>-F$19*'Single Project Assumptions'!$L$59</f>
        <v>0</v>
      </c>
      <c r="G42" s="55">
        <f>-G$19*'Single Project Assumptions'!$L$59</f>
        <v>0</v>
      </c>
      <c r="H42" s="55">
        <f>-H$19*'Single Project Assumptions'!$L$59</f>
        <v>0</v>
      </c>
      <c r="I42" s="55">
        <f>-I$19*'Single Project Assumptions'!$L$59</f>
        <v>0</v>
      </c>
      <c r="J42" s="55">
        <f>-J$19*'Single Project Assumptions'!$L$59</f>
        <v>0</v>
      </c>
      <c r="K42" s="55">
        <f>-K$19*'Single Project Assumptions'!$L$59</f>
        <v>0</v>
      </c>
      <c r="L42" s="55">
        <f>-L$19*'Single Project Assumptions'!$L$59</f>
        <v>0</v>
      </c>
      <c r="M42" s="55">
        <f>-M$19*'Single Project Assumptions'!$L$59</f>
        <v>0</v>
      </c>
      <c r="N42" s="55">
        <f>-N$19*'Single Project Assumptions'!$L$59</f>
        <v>0</v>
      </c>
      <c r="O42" s="55">
        <f>-O$19*'Single Project Assumptions'!$L$59</f>
        <v>0</v>
      </c>
      <c r="P42" s="55">
        <f>-P$19*'Single Project Assumptions'!$L$59</f>
        <v>0</v>
      </c>
      <c r="Q42" s="55">
        <f>-Q$19*'Single Project Assumptions'!$L$59</f>
        <v>0</v>
      </c>
      <c r="R42" s="55">
        <f>-R$19*'Single Project Assumptions'!$L$59</f>
        <v>0</v>
      </c>
      <c r="S42" s="55">
        <f>-S$19*'Single Project Assumptions'!$L$59</f>
        <v>0</v>
      </c>
      <c r="T42" s="55">
        <f>-T$19*'Single Project Assumptions'!$L$59</f>
        <v>0</v>
      </c>
      <c r="U42" s="55">
        <f>-U$19*'Single Project Assumptions'!$L$59</f>
        <v>0</v>
      </c>
      <c r="V42" s="55">
        <f>-V$19*'Single Project Assumptions'!$L$59</f>
        <v>0</v>
      </c>
      <c r="W42" s="55">
        <f>-W$19*'Single Project Assumptions'!$L$59</f>
        <v>0</v>
      </c>
      <c r="X42" s="55">
        <f>-X$19*'Single Project Assumptions'!$L$59</f>
        <v>0</v>
      </c>
      <c r="Y42" s="55">
        <f>-Y$19*'Single Project Assumptions'!$L$59</f>
        <v>0</v>
      </c>
      <c r="Z42" s="55">
        <f>-Z$19*'Single Project Assumptions'!$L$59</f>
        <v>0</v>
      </c>
      <c r="AA42" s="55">
        <f>-AA$19*'Single Project Assumptions'!$L$59</f>
        <v>0</v>
      </c>
      <c r="AB42" s="55">
        <f>-AB$19*'Single Project Assumptions'!$L$59</f>
        <v>0</v>
      </c>
      <c r="AC42" s="55">
        <f>-AC$19*'Single Project Assumptions'!$L$59</f>
        <v>0</v>
      </c>
      <c r="AD42" s="55">
        <f>-AD$19*'Single Project Assumptions'!$L$59</f>
        <v>0</v>
      </c>
      <c r="AE42" s="55">
        <f>-AE$19*'Single Project Assumptions'!$L$59</f>
        <v>0</v>
      </c>
      <c r="AF42" s="55">
        <f>-AF$19*'Single Project Assumptions'!$L$59</f>
        <v>9851.3671875</v>
      </c>
      <c r="AG42" s="55">
        <f>-AG$19*'Single Project Assumptions'!$L$59</f>
        <v>9851.3671875</v>
      </c>
      <c r="AH42" s="55">
        <f>-AH$19*'Single Project Assumptions'!$L$59</f>
        <v>9851.3671875</v>
      </c>
      <c r="AI42" s="55">
        <f>-AI$19*'Single Project Assumptions'!$L$59</f>
        <v>9851.3671875</v>
      </c>
      <c r="AJ42" s="55">
        <f>-AJ$19*'Single Project Assumptions'!$L$59</f>
        <v>9851.3671875</v>
      </c>
      <c r="AK42" s="55">
        <f>-AK$19*'Single Project Assumptions'!$L$59</f>
        <v>9851.3671875</v>
      </c>
      <c r="AL42" s="55">
        <f>-AL$19*'Single Project Assumptions'!$L$59</f>
        <v>9851.3671875</v>
      </c>
      <c r="AM42" s="55">
        <f>-AM$19*'Single Project Assumptions'!$L$59</f>
        <v>9851.3671875</v>
      </c>
      <c r="AN42" s="55">
        <f>-AN$19*'Single Project Assumptions'!$L$59</f>
        <v>9851.3671875</v>
      </c>
      <c r="AO42" s="55">
        <f>-AO$19*'Single Project Assumptions'!$L$59</f>
        <v>9851.3671875</v>
      </c>
      <c r="AP42" s="55">
        <f>-AP$19*'Single Project Assumptions'!$L$59</f>
        <v>9851.3671875</v>
      </c>
      <c r="AQ42" s="55">
        <f>-AQ$19*'Single Project Assumptions'!$L$59</f>
        <v>9851.3671875</v>
      </c>
      <c r="AR42" s="55">
        <f>-AR$19*'Single Project Assumptions'!$L$59</f>
        <v>9851.3671875</v>
      </c>
      <c r="AS42" s="55">
        <f>-AS$19*'Single Project Assumptions'!$L$59</f>
        <v>9851.3671875</v>
      </c>
      <c r="AT42" s="55">
        <f>-AT$19*'Single Project Assumptions'!$L$59</f>
        <v>9851.3671875</v>
      </c>
      <c r="AU42" s="55">
        <f>-AU$19*'Single Project Assumptions'!$L$59</f>
        <v>9851.3671875</v>
      </c>
      <c r="AV42" s="55">
        <f>-AV$19*'Single Project Assumptions'!$L$59</f>
        <v>9851.3671875</v>
      </c>
      <c r="AW42" s="55">
        <f>-AW$19*'Single Project Assumptions'!$L$59</f>
        <v>9851.3671875</v>
      </c>
      <c r="AX42" s="55">
        <f>-AX$19*'Single Project Assumptions'!$L$59</f>
        <v>9851.3671875</v>
      </c>
      <c r="AY42" s="55">
        <f>-AY$19*'Single Project Assumptions'!$L$59</f>
        <v>9851.3671875</v>
      </c>
      <c r="AZ42" s="55">
        <f>-AZ$19*'Single Project Assumptions'!$L$59</f>
        <v>9851.3671875</v>
      </c>
      <c r="BA42" s="55">
        <f>-BA$19*'Single Project Assumptions'!$L$59</f>
        <v>9851.3671875</v>
      </c>
      <c r="BB42" s="55">
        <f>-BB$19*'Single Project Assumptions'!$L$59</f>
        <v>9851.3671875</v>
      </c>
      <c r="BC42" s="55">
        <f>-BC$19*'Single Project Assumptions'!$L$59</f>
        <v>9851.3671875</v>
      </c>
      <c r="BD42" s="55">
        <f>-BD$19*'Single Project Assumptions'!$L$59</f>
        <v>0</v>
      </c>
      <c r="BE42" s="55">
        <f>-BE$19*'Single Project Assumptions'!$L$59</f>
        <v>0</v>
      </c>
      <c r="BF42" s="55">
        <f>-BF$19*'Single Project Assumptions'!$L$59</f>
        <v>0</v>
      </c>
      <c r="BG42" s="55">
        <f>-BG$19*'Single Project Assumptions'!$L$59</f>
        <v>0</v>
      </c>
      <c r="BH42" s="55">
        <f>-BH$19*'Single Project Assumptions'!$L$59</f>
        <v>0</v>
      </c>
      <c r="BI42" s="55">
        <f>-BI$19*'Single Project Assumptions'!$L$59</f>
        <v>0</v>
      </c>
      <c r="BJ42" s="55">
        <f>-BJ$19*'Single Project Assumptions'!$L$59</f>
        <v>0</v>
      </c>
      <c r="BK42" s="55">
        <f>-BK$19*'Single Project Assumptions'!$L$59</f>
        <v>0</v>
      </c>
      <c r="BL42" s="55">
        <f>-BL$19*'Single Project Assumptions'!$L$59</f>
        <v>0</v>
      </c>
      <c r="BM42" s="55">
        <f>-BM$19*'Single Project Assumptions'!$L$59</f>
        <v>0</v>
      </c>
      <c r="BN42" s="55">
        <f>-BN$19*'Single Project Assumptions'!$L$59</f>
        <v>0</v>
      </c>
      <c r="BO42" s="55">
        <f>-BO$19*'Single Project Assumptions'!$L$59</f>
        <v>0</v>
      </c>
      <c r="BP42" s="55">
        <f>-BP$19*'Single Project Assumptions'!$L$59</f>
        <v>0</v>
      </c>
      <c r="BQ42" s="55">
        <f>-BQ$19*'Single Project Assumptions'!$L$59</f>
        <v>0</v>
      </c>
      <c r="BR42" s="55">
        <f>-BR$19*'Single Project Assumptions'!$L$59</f>
        <v>0</v>
      </c>
      <c r="BS42" s="55">
        <f>-BS$19*'Single Project Assumptions'!$L$59</f>
        <v>0</v>
      </c>
      <c r="BT42" s="55">
        <f>-BT$19*'Single Project Assumptions'!$L$59</f>
        <v>0</v>
      </c>
      <c r="BU42" s="55">
        <f>-BU$19*'Single Project Assumptions'!$L$59</f>
        <v>0</v>
      </c>
      <c r="BV42" s="55">
        <f>-BV$19*'Single Project Assumptions'!$L$59</f>
        <v>0</v>
      </c>
      <c r="BW42" s="55">
        <f>-BW$19*'Single Project Assumptions'!$L$59</f>
        <v>0</v>
      </c>
      <c r="BX42" s="55">
        <f>-BX$19*'Single Project Assumptions'!$L$59</f>
        <v>0</v>
      </c>
      <c r="BY42" s="55">
        <f>-BY$19*'Single Project Assumptions'!$L$59</f>
        <v>0</v>
      </c>
      <c r="BZ42" s="55">
        <f>-BZ$19*'Single Project Assumptions'!$L$59</f>
        <v>0</v>
      </c>
      <c r="CA42" s="55">
        <f>-CA$19*'Single Project Assumptions'!$L$59</f>
        <v>0</v>
      </c>
      <c r="CB42" s="55">
        <f>-CB$19*'Single Project Assumptions'!$L$59</f>
        <v>0</v>
      </c>
      <c r="CC42" s="55">
        <f>-CC$19*'Single Project Assumptions'!$L$59</f>
        <v>0</v>
      </c>
      <c r="CD42" s="55">
        <f>-CD$19*'Single Project Assumptions'!$L$59</f>
        <v>0</v>
      </c>
      <c r="CE42" s="55">
        <f>-CE$19*'Single Project Assumptions'!$L$59</f>
        <v>0</v>
      </c>
      <c r="CF42" s="55">
        <f>-CF$19*'Single Project Assumptions'!$L$59</f>
        <v>0</v>
      </c>
      <c r="CG42" s="55">
        <f>-CG$19*'Single Project Assumptions'!$L$59</f>
        <v>0</v>
      </c>
      <c r="CH42" s="55">
        <f>-CH$19*'Single Project Assumptions'!$L$59</f>
        <v>0</v>
      </c>
      <c r="CI42" s="55">
        <f>-CI$19*'Single Project Assumptions'!$L$59</f>
        <v>0</v>
      </c>
      <c r="CJ42" s="55">
        <f>-CJ$19*'Single Project Assumptions'!$L$59</f>
        <v>0</v>
      </c>
      <c r="CK42" s="55">
        <f>-CK$19*'Single Project Assumptions'!$L$59</f>
        <v>0</v>
      </c>
      <c r="CL42" s="55">
        <f>-CL$19*'Single Project Assumptions'!$L$59</f>
        <v>0</v>
      </c>
      <c r="CM42" s="55">
        <f>-CM$19*'Single Project Assumptions'!$L$59</f>
        <v>0</v>
      </c>
      <c r="CN42" s="55">
        <f>-CN$19*'Single Project Assumptions'!$L$59</f>
        <v>0</v>
      </c>
      <c r="CO42" s="55">
        <f>-CO$19*'Single Project Assumptions'!$L$59</f>
        <v>0</v>
      </c>
      <c r="CP42" s="55">
        <f>-CP$19*'Single Project Assumptions'!$L$59</f>
        <v>0</v>
      </c>
      <c r="CQ42" s="55">
        <f>-CQ$19*'Single Project Assumptions'!$L$59</f>
        <v>0</v>
      </c>
      <c r="CR42" s="55">
        <f>-CR$19*'Single Project Assumptions'!$L$59</f>
        <v>0</v>
      </c>
      <c r="CS42" s="55">
        <f>-CS$19*'Single Project Assumptions'!$L$59</f>
        <v>0</v>
      </c>
      <c r="CT42" s="55">
        <f>-CT$19*'Single Project Assumptions'!$L$59</f>
        <v>0</v>
      </c>
      <c r="CU42" s="55">
        <f>-CU$19*'Single Project Assumptions'!$L$59</f>
        <v>0</v>
      </c>
      <c r="CV42" s="55">
        <f>-CV$19*'Single Project Assumptions'!$L$59</f>
        <v>0</v>
      </c>
      <c r="CW42" s="55">
        <f>-CW$19*'Single Project Assumptions'!$L$59</f>
        <v>0</v>
      </c>
      <c r="CX42" s="55">
        <f>-CX$19*'Single Project Assumptions'!$L$59</f>
        <v>0</v>
      </c>
      <c r="CY42" s="55">
        <f>-CY$19*'Single Project Assumptions'!$L$59</f>
        <v>0</v>
      </c>
      <c r="CZ42" s="55">
        <f>-CZ$19*'Single Project Assumptions'!$L$59</f>
        <v>0</v>
      </c>
      <c r="DA42" s="55">
        <f>-DA$19*'Single Project Assumptions'!$L$59</f>
        <v>0</v>
      </c>
      <c r="DB42" s="55">
        <f>-DB$19*'Single Project Assumptions'!$L$59</f>
        <v>0</v>
      </c>
      <c r="DC42" s="55">
        <f>-DC$19*'Single Project Assumptions'!$L$59</f>
        <v>0</v>
      </c>
      <c r="DD42" s="55">
        <f>-DD$19*'Single Project Assumptions'!$L$59</f>
        <v>0</v>
      </c>
      <c r="DE42" s="55">
        <f>-DE$19*'Single Project Assumptions'!$L$59</f>
        <v>0</v>
      </c>
      <c r="DF42" s="55">
        <f>-DF$19*'Single Project Assumptions'!$L$59</f>
        <v>0</v>
      </c>
      <c r="DG42" s="55">
        <f>-DG$19*'Single Project Assumptions'!$L$59</f>
        <v>0</v>
      </c>
      <c r="DH42" s="55">
        <f>-DH$19*'Single Project Assumptions'!$L$59</f>
        <v>0</v>
      </c>
      <c r="DI42" s="55">
        <f>-DI$19*'Single Project Assumptions'!$L$59</f>
        <v>0</v>
      </c>
      <c r="DJ42" s="55">
        <f>-DJ$19*'Single Project Assumptions'!$L$59</f>
        <v>0</v>
      </c>
      <c r="DK42" s="55">
        <f>-DK$19*'Single Project Assumptions'!$L$59</f>
        <v>0</v>
      </c>
      <c r="DL42" s="55">
        <f>-DL$19*'Single Project Assumptions'!$L$59</f>
        <v>0</v>
      </c>
      <c r="DM42" s="55">
        <f>-DM$19*'Single Project Assumptions'!$L$59</f>
        <v>0</v>
      </c>
      <c r="DN42" s="55">
        <f>-DN$19*'Single Project Assumptions'!$L$59</f>
        <v>0</v>
      </c>
      <c r="DO42" s="55">
        <f>-DO$19*'Single Project Assumptions'!$L$59</f>
        <v>0</v>
      </c>
      <c r="DP42" s="55">
        <f>-DP$19*'Single Project Assumptions'!$L$59</f>
        <v>0</v>
      </c>
      <c r="DQ42" s="55">
        <f>-DQ$19*'Single Project Assumptions'!$L$59</f>
        <v>0</v>
      </c>
      <c r="DR42" s="55">
        <f>-DR$19*'Single Project Assumptions'!$L$59</f>
        <v>0</v>
      </c>
      <c r="DS42" s="55">
        <f>-DS$19*'Single Project Assumptions'!$L$59</f>
        <v>0</v>
      </c>
      <c r="DT42" s="55">
        <f>-DT$19*'Single Project Assumptions'!$L$59</f>
        <v>0</v>
      </c>
      <c r="DU42" s="55">
        <f>-DU$19*'Single Project Assumptions'!$L$59</f>
        <v>0</v>
      </c>
    </row>
    <row r="43" spans="3:125" s="3" customFormat="1" ht="22.95" customHeight="1">
      <c r="D43" s="24"/>
    </row>
    <row r="44" spans="3:125" s="3" customFormat="1" ht="22.95" customHeight="1">
      <c r="C44" s="60" t="s">
        <v>286</v>
      </c>
      <c r="D44" s="24"/>
    </row>
    <row r="45" spans="3:125" s="3" customFormat="1" ht="22.95" customHeight="1">
      <c r="C45" s="63" t="s">
        <v>207</v>
      </c>
      <c r="D45" s="64">
        <f>SUM(E45:DU45)</f>
        <v>2399741.0569464047</v>
      </c>
      <c r="E45" s="90">
        <f t="shared" ref="E45:AJ45" si="37">SUM(E33,E37,E41)</f>
        <v>0</v>
      </c>
      <c r="F45" s="90">
        <f t="shared" si="37"/>
        <v>0</v>
      </c>
      <c r="G45" s="90">
        <f t="shared" si="37"/>
        <v>0</v>
      </c>
      <c r="H45" s="90">
        <f t="shared" si="37"/>
        <v>0</v>
      </c>
      <c r="I45" s="90">
        <f t="shared" si="37"/>
        <v>0</v>
      </c>
      <c r="J45" s="90">
        <f t="shared" si="37"/>
        <v>0</v>
      </c>
      <c r="K45" s="90">
        <f t="shared" si="37"/>
        <v>0</v>
      </c>
      <c r="L45" s="90">
        <f t="shared" si="37"/>
        <v>0</v>
      </c>
      <c r="M45" s="90">
        <f t="shared" si="37"/>
        <v>0</v>
      </c>
      <c r="N45" s="90">
        <f t="shared" si="37"/>
        <v>0</v>
      </c>
      <c r="O45" s="90">
        <f t="shared" si="37"/>
        <v>0</v>
      </c>
      <c r="P45" s="90">
        <f t="shared" si="37"/>
        <v>0</v>
      </c>
      <c r="Q45" s="90">
        <f t="shared" si="37"/>
        <v>0</v>
      </c>
      <c r="R45" s="90">
        <f t="shared" si="37"/>
        <v>0</v>
      </c>
      <c r="S45" s="90">
        <f t="shared" si="37"/>
        <v>0</v>
      </c>
      <c r="T45" s="90">
        <f t="shared" si="37"/>
        <v>0</v>
      </c>
      <c r="U45" s="90">
        <f t="shared" si="37"/>
        <v>0</v>
      </c>
      <c r="V45" s="90">
        <f t="shared" si="37"/>
        <v>0</v>
      </c>
      <c r="W45" s="90">
        <f t="shared" si="37"/>
        <v>0</v>
      </c>
      <c r="X45" s="90">
        <f t="shared" si="37"/>
        <v>0</v>
      </c>
      <c r="Y45" s="90">
        <f t="shared" si="37"/>
        <v>0</v>
      </c>
      <c r="Z45" s="90">
        <f t="shared" si="37"/>
        <v>0</v>
      </c>
      <c r="AA45" s="90">
        <f t="shared" si="37"/>
        <v>0</v>
      </c>
      <c r="AB45" s="90">
        <f t="shared" si="37"/>
        <v>0</v>
      </c>
      <c r="AC45" s="90">
        <f t="shared" si="37"/>
        <v>900000</v>
      </c>
      <c r="AD45" s="90">
        <f t="shared" si="37"/>
        <v>0</v>
      </c>
      <c r="AE45" s="90">
        <f t="shared" si="37"/>
        <v>0</v>
      </c>
      <c r="AF45" s="90">
        <f t="shared" si="37"/>
        <v>6567.578125</v>
      </c>
      <c r="AG45" s="90">
        <f t="shared" si="37"/>
        <v>6567.578125</v>
      </c>
      <c r="AH45" s="90">
        <f t="shared" si="37"/>
        <v>6567.578125</v>
      </c>
      <c r="AI45" s="90">
        <f t="shared" si="37"/>
        <v>6567.578125</v>
      </c>
      <c r="AJ45" s="90">
        <f t="shared" si="37"/>
        <v>6567.578125</v>
      </c>
      <c r="AK45" s="90">
        <f t="shared" ref="AK45:BP45" si="38">SUM(AK33,AK37,AK41)</f>
        <v>6567.578125</v>
      </c>
      <c r="AL45" s="90">
        <f t="shared" si="38"/>
        <v>6567.578125</v>
      </c>
      <c r="AM45" s="90">
        <f t="shared" si="38"/>
        <v>6567.578125</v>
      </c>
      <c r="AN45" s="90">
        <f t="shared" si="38"/>
        <v>6567.578125</v>
      </c>
      <c r="AO45" s="90">
        <f t="shared" si="38"/>
        <v>6567.578125</v>
      </c>
      <c r="AP45" s="90">
        <f t="shared" si="38"/>
        <v>6567.578125</v>
      </c>
      <c r="AQ45" s="90">
        <f t="shared" si="38"/>
        <v>6567.578125</v>
      </c>
      <c r="AR45" s="90">
        <f t="shared" si="38"/>
        <v>6567.578125</v>
      </c>
      <c r="AS45" s="90">
        <f t="shared" si="38"/>
        <v>6567.578125</v>
      </c>
      <c r="AT45" s="90">
        <f t="shared" si="38"/>
        <v>6567.578125</v>
      </c>
      <c r="AU45" s="90">
        <f t="shared" si="38"/>
        <v>6567.578125</v>
      </c>
      <c r="AV45" s="90">
        <f t="shared" si="38"/>
        <v>6567.578125</v>
      </c>
      <c r="AW45" s="90">
        <f t="shared" si="38"/>
        <v>6567.578125</v>
      </c>
      <c r="AX45" s="90">
        <f t="shared" si="38"/>
        <v>17751.90464122003</v>
      </c>
      <c r="AY45" s="90">
        <f t="shared" si="38"/>
        <v>17751.90464122003</v>
      </c>
      <c r="AZ45" s="90">
        <f t="shared" si="38"/>
        <v>17751.90464122003</v>
      </c>
      <c r="BA45" s="90">
        <f t="shared" si="38"/>
        <v>17751.90464122003</v>
      </c>
      <c r="BB45" s="90">
        <f t="shared" si="38"/>
        <v>17751.90464122003</v>
      </c>
      <c r="BC45" s="90">
        <f t="shared" si="38"/>
        <v>17751.90464122003</v>
      </c>
      <c r="BD45" s="90">
        <f t="shared" si="38"/>
        <v>454829.27832628123</v>
      </c>
      <c r="BE45" s="90">
        <f t="shared" si="38"/>
        <v>74562.176774800188</v>
      </c>
      <c r="BF45" s="90">
        <f t="shared" si="38"/>
        <v>74562.176774800188</v>
      </c>
      <c r="BG45" s="90">
        <f t="shared" si="38"/>
        <v>74562.176774800188</v>
      </c>
      <c r="BH45" s="90">
        <f t="shared" si="38"/>
        <v>74562.176774800188</v>
      </c>
      <c r="BI45" s="90">
        <f t="shared" si="38"/>
        <v>74562.176774800188</v>
      </c>
      <c r="BJ45" s="90">
        <f t="shared" si="38"/>
        <v>74562.176774800188</v>
      </c>
      <c r="BK45" s="90">
        <f t="shared" si="38"/>
        <v>74562.176774800188</v>
      </c>
      <c r="BL45" s="90">
        <f t="shared" si="38"/>
        <v>74562.176774800188</v>
      </c>
      <c r="BM45" s="90">
        <f t="shared" si="38"/>
        <v>74562.176774800188</v>
      </c>
      <c r="BN45" s="90">
        <f t="shared" si="38"/>
        <v>74562.176774800188</v>
      </c>
      <c r="BO45" s="90">
        <f t="shared" si="38"/>
        <v>74562.176774800188</v>
      </c>
      <c r="BP45" s="90">
        <f t="shared" si="38"/>
        <v>0</v>
      </c>
      <c r="BQ45" s="90">
        <f t="shared" ref="BQ45:CV45" si="39">SUM(BQ33,BQ37,BQ41)</f>
        <v>0</v>
      </c>
      <c r="BR45" s="90">
        <f t="shared" si="39"/>
        <v>0</v>
      </c>
      <c r="BS45" s="90">
        <f t="shared" si="39"/>
        <v>0</v>
      </c>
      <c r="BT45" s="90">
        <f t="shared" si="39"/>
        <v>0</v>
      </c>
      <c r="BU45" s="90">
        <f t="shared" si="39"/>
        <v>0</v>
      </c>
      <c r="BV45" s="90">
        <f t="shared" si="39"/>
        <v>0</v>
      </c>
      <c r="BW45" s="90">
        <f t="shared" si="39"/>
        <v>0</v>
      </c>
      <c r="BX45" s="90">
        <f t="shared" si="39"/>
        <v>0</v>
      </c>
      <c r="BY45" s="90">
        <f t="shared" si="39"/>
        <v>0</v>
      </c>
      <c r="BZ45" s="90">
        <f t="shared" si="39"/>
        <v>0</v>
      </c>
      <c r="CA45" s="90">
        <f t="shared" si="39"/>
        <v>0</v>
      </c>
      <c r="CB45" s="90">
        <f t="shared" si="39"/>
        <v>0</v>
      </c>
      <c r="CC45" s="90">
        <f t="shared" si="39"/>
        <v>0</v>
      </c>
      <c r="CD45" s="90">
        <f t="shared" si="39"/>
        <v>0</v>
      </c>
      <c r="CE45" s="90">
        <f t="shared" si="39"/>
        <v>0</v>
      </c>
      <c r="CF45" s="90">
        <f t="shared" si="39"/>
        <v>0</v>
      </c>
      <c r="CG45" s="90">
        <f t="shared" si="39"/>
        <v>0</v>
      </c>
      <c r="CH45" s="90">
        <f t="shared" si="39"/>
        <v>0</v>
      </c>
      <c r="CI45" s="90">
        <f t="shared" si="39"/>
        <v>0</v>
      </c>
      <c r="CJ45" s="90">
        <f t="shared" si="39"/>
        <v>0</v>
      </c>
      <c r="CK45" s="90">
        <f t="shared" si="39"/>
        <v>0</v>
      </c>
      <c r="CL45" s="90">
        <f t="shared" si="39"/>
        <v>0</v>
      </c>
      <c r="CM45" s="90">
        <f t="shared" si="39"/>
        <v>0</v>
      </c>
      <c r="CN45" s="90">
        <f t="shared" si="39"/>
        <v>0</v>
      </c>
      <c r="CO45" s="90">
        <f t="shared" si="39"/>
        <v>0</v>
      </c>
      <c r="CP45" s="90">
        <f t="shared" si="39"/>
        <v>0</v>
      </c>
      <c r="CQ45" s="90">
        <f t="shared" si="39"/>
        <v>0</v>
      </c>
      <c r="CR45" s="90">
        <f t="shared" si="39"/>
        <v>0</v>
      </c>
      <c r="CS45" s="90">
        <f t="shared" si="39"/>
        <v>0</v>
      </c>
      <c r="CT45" s="90">
        <f t="shared" si="39"/>
        <v>0</v>
      </c>
      <c r="CU45" s="90">
        <f t="shared" si="39"/>
        <v>0</v>
      </c>
      <c r="CV45" s="90">
        <f t="shared" si="39"/>
        <v>0</v>
      </c>
      <c r="CW45" s="90">
        <f t="shared" ref="CW45:DU45" si="40">SUM(CW33,CW37,CW41)</f>
        <v>0</v>
      </c>
      <c r="CX45" s="90">
        <f t="shared" si="40"/>
        <v>0</v>
      </c>
      <c r="CY45" s="90">
        <f t="shared" si="40"/>
        <v>0</v>
      </c>
      <c r="CZ45" s="90">
        <f t="shared" si="40"/>
        <v>0</v>
      </c>
      <c r="DA45" s="90">
        <f t="shared" si="40"/>
        <v>0</v>
      </c>
      <c r="DB45" s="90">
        <f t="shared" si="40"/>
        <v>0</v>
      </c>
      <c r="DC45" s="90">
        <f t="shared" si="40"/>
        <v>0</v>
      </c>
      <c r="DD45" s="90">
        <f t="shared" si="40"/>
        <v>0</v>
      </c>
      <c r="DE45" s="90">
        <f t="shared" si="40"/>
        <v>0</v>
      </c>
      <c r="DF45" s="90">
        <f t="shared" si="40"/>
        <v>0</v>
      </c>
      <c r="DG45" s="90">
        <f t="shared" si="40"/>
        <v>0</v>
      </c>
      <c r="DH45" s="90">
        <f t="shared" si="40"/>
        <v>0</v>
      </c>
      <c r="DI45" s="90">
        <f t="shared" si="40"/>
        <v>0</v>
      </c>
      <c r="DJ45" s="90">
        <f t="shared" si="40"/>
        <v>0</v>
      </c>
      <c r="DK45" s="90">
        <f t="shared" si="40"/>
        <v>0</v>
      </c>
      <c r="DL45" s="90">
        <f t="shared" si="40"/>
        <v>0</v>
      </c>
      <c r="DM45" s="90">
        <f t="shared" si="40"/>
        <v>0</v>
      </c>
      <c r="DN45" s="90">
        <f t="shared" si="40"/>
        <v>0</v>
      </c>
      <c r="DO45" s="90">
        <f t="shared" si="40"/>
        <v>0</v>
      </c>
      <c r="DP45" s="90">
        <f t="shared" si="40"/>
        <v>0</v>
      </c>
      <c r="DQ45" s="90">
        <f t="shared" si="40"/>
        <v>0</v>
      </c>
      <c r="DR45" s="90">
        <f t="shared" si="40"/>
        <v>0</v>
      </c>
      <c r="DS45" s="90">
        <f t="shared" si="40"/>
        <v>0</v>
      </c>
      <c r="DT45" s="90">
        <f t="shared" si="40"/>
        <v>0</v>
      </c>
      <c r="DU45" s="90">
        <f t="shared" si="40"/>
        <v>0</v>
      </c>
    </row>
    <row r="46" spans="3:125" s="3" customFormat="1" ht="22.95" customHeight="1">
      <c r="C46" s="70" t="s">
        <v>202</v>
      </c>
      <c r="D46" s="71">
        <f>SUM(E46:DU46)</f>
        <v>2928551.9944464052</v>
      </c>
      <c r="E46" s="72">
        <f t="shared" ref="E46:AJ46" si="41">SUM(E34,E38,E42)</f>
        <v>0</v>
      </c>
      <c r="F46" s="72">
        <f t="shared" si="41"/>
        <v>0</v>
      </c>
      <c r="G46" s="72">
        <f t="shared" si="41"/>
        <v>0</v>
      </c>
      <c r="H46" s="72">
        <f t="shared" si="41"/>
        <v>0</v>
      </c>
      <c r="I46" s="72">
        <f t="shared" si="41"/>
        <v>0</v>
      </c>
      <c r="J46" s="72">
        <f t="shared" si="41"/>
        <v>0</v>
      </c>
      <c r="K46" s="72">
        <f t="shared" si="41"/>
        <v>0</v>
      </c>
      <c r="L46" s="72">
        <f t="shared" si="41"/>
        <v>0</v>
      </c>
      <c r="M46" s="72">
        <f t="shared" si="41"/>
        <v>0</v>
      </c>
      <c r="N46" s="72">
        <f t="shared" si="41"/>
        <v>0</v>
      </c>
      <c r="O46" s="72">
        <f t="shared" si="41"/>
        <v>0</v>
      </c>
      <c r="P46" s="72">
        <f t="shared" si="41"/>
        <v>0</v>
      </c>
      <c r="Q46" s="72">
        <f t="shared" si="41"/>
        <v>0</v>
      </c>
      <c r="R46" s="72">
        <f t="shared" si="41"/>
        <v>0</v>
      </c>
      <c r="S46" s="72">
        <f t="shared" si="41"/>
        <v>0</v>
      </c>
      <c r="T46" s="72">
        <f t="shared" si="41"/>
        <v>0</v>
      </c>
      <c r="U46" s="72">
        <f t="shared" si="41"/>
        <v>0</v>
      </c>
      <c r="V46" s="72">
        <f t="shared" si="41"/>
        <v>0</v>
      </c>
      <c r="W46" s="72">
        <f t="shared" si="41"/>
        <v>0</v>
      </c>
      <c r="X46" s="72">
        <f t="shared" si="41"/>
        <v>0</v>
      </c>
      <c r="Y46" s="72">
        <f t="shared" si="41"/>
        <v>0</v>
      </c>
      <c r="Z46" s="72">
        <f t="shared" si="41"/>
        <v>0</v>
      </c>
      <c r="AA46" s="72">
        <f t="shared" si="41"/>
        <v>0</v>
      </c>
      <c r="AB46" s="72">
        <f t="shared" si="41"/>
        <v>0</v>
      </c>
      <c r="AC46" s="72">
        <f t="shared" si="41"/>
        <v>1350000</v>
      </c>
      <c r="AD46" s="72">
        <f t="shared" si="41"/>
        <v>0</v>
      </c>
      <c r="AE46" s="72">
        <f t="shared" si="41"/>
        <v>0</v>
      </c>
      <c r="AF46" s="72">
        <f t="shared" si="41"/>
        <v>9851.3671875</v>
      </c>
      <c r="AG46" s="72">
        <f t="shared" si="41"/>
        <v>9851.3671875</v>
      </c>
      <c r="AH46" s="72">
        <f t="shared" si="41"/>
        <v>9851.3671875</v>
      </c>
      <c r="AI46" s="72">
        <f t="shared" si="41"/>
        <v>9851.3671875</v>
      </c>
      <c r="AJ46" s="72">
        <f t="shared" si="41"/>
        <v>9851.3671875</v>
      </c>
      <c r="AK46" s="72">
        <f t="shared" ref="AK46:BP46" si="42">SUM(AK34,AK38,AK42)</f>
        <v>9851.3671875</v>
      </c>
      <c r="AL46" s="72">
        <f t="shared" si="42"/>
        <v>9851.3671875</v>
      </c>
      <c r="AM46" s="72">
        <f t="shared" si="42"/>
        <v>9851.3671875</v>
      </c>
      <c r="AN46" s="72">
        <f t="shared" si="42"/>
        <v>9851.3671875</v>
      </c>
      <c r="AO46" s="72">
        <f t="shared" si="42"/>
        <v>9851.3671875</v>
      </c>
      <c r="AP46" s="72">
        <f t="shared" si="42"/>
        <v>9851.3671875</v>
      </c>
      <c r="AQ46" s="72">
        <f t="shared" si="42"/>
        <v>9851.3671875</v>
      </c>
      <c r="AR46" s="72">
        <f t="shared" si="42"/>
        <v>9851.3671875</v>
      </c>
      <c r="AS46" s="72">
        <f t="shared" si="42"/>
        <v>9851.3671875</v>
      </c>
      <c r="AT46" s="72">
        <f t="shared" si="42"/>
        <v>9851.3671875</v>
      </c>
      <c r="AU46" s="72">
        <f t="shared" si="42"/>
        <v>9851.3671875</v>
      </c>
      <c r="AV46" s="72">
        <f t="shared" si="42"/>
        <v>9851.3671875</v>
      </c>
      <c r="AW46" s="72">
        <f t="shared" si="42"/>
        <v>9851.3671875</v>
      </c>
      <c r="AX46" s="72">
        <f t="shared" si="42"/>
        <v>21035.69370372003</v>
      </c>
      <c r="AY46" s="72">
        <f t="shared" si="42"/>
        <v>21035.69370372003</v>
      </c>
      <c r="AZ46" s="72">
        <f t="shared" si="42"/>
        <v>21035.69370372003</v>
      </c>
      <c r="BA46" s="72">
        <f t="shared" si="42"/>
        <v>21035.69370372003</v>
      </c>
      <c r="BB46" s="72">
        <f t="shared" si="42"/>
        <v>21035.69370372003</v>
      </c>
      <c r="BC46" s="72">
        <f t="shared" si="42"/>
        <v>21035.69370372003</v>
      </c>
      <c r="BD46" s="72">
        <f t="shared" si="42"/>
        <v>454829.27832628123</v>
      </c>
      <c r="BE46" s="72">
        <f t="shared" si="42"/>
        <v>74562.176774800188</v>
      </c>
      <c r="BF46" s="72">
        <f t="shared" si="42"/>
        <v>74562.176774800188</v>
      </c>
      <c r="BG46" s="72">
        <f t="shared" si="42"/>
        <v>74562.176774800188</v>
      </c>
      <c r="BH46" s="72">
        <f t="shared" si="42"/>
        <v>74562.176774800188</v>
      </c>
      <c r="BI46" s="72">
        <f t="shared" si="42"/>
        <v>74562.176774800188</v>
      </c>
      <c r="BJ46" s="72">
        <f t="shared" si="42"/>
        <v>74562.176774800188</v>
      </c>
      <c r="BK46" s="72">
        <f t="shared" si="42"/>
        <v>74562.176774800188</v>
      </c>
      <c r="BL46" s="72">
        <f t="shared" si="42"/>
        <v>74562.176774800188</v>
      </c>
      <c r="BM46" s="72">
        <f t="shared" si="42"/>
        <v>74562.176774800188</v>
      </c>
      <c r="BN46" s="72">
        <f t="shared" si="42"/>
        <v>74562.176774800188</v>
      </c>
      <c r="BO46" s="72">
        <f t="shared" si="42"/>
        <v>74562.176774800188</v>
      </c>
      <c r="BP46" s="72">
        <f t="shared" si="42"/>
        <v>0</v>
      </c>
      <c r="BQ46" s="72">
        <f t="shared" ref="BQ46:CV46" si="43">SUM(BQ34,BQ38,BQ42)</f>
        <v>0</v>
      </c>
      <c r="BR46" s="72">
        <f t="shared" si="43"/>
        <v>0</v>
      </c>
      <c r="BS46" s="72">
        <f t="shared" si="43"/>
        <v>0</v>
      </c>
      <c r="BT46" s="72">
        <f t="shared" si="43"/>
        <v>0</v>
      </c>
      <c r="BU46" s="72">
        <f t="shared" si="43"/>
        <v>0</v>
      </c>
      <c r="BV46" s="72">
        <f t="shared" si="43"/>
        <v>0</v>
      </c>
      <c r="BW46" s="72">
        <f t="shared" si="43"/>
        <v>0</v>
      </c>
      <c r="BX46" s="72">
        <f t="shared" si="43"/>
        <v>0</v>
      </c>
      <c r="BY46" s="72">
        <f t="shared" si="43"/>
        <v>0</v>
      </c>
      <c r="BZ46" s="72">
        <f t="shared" si="43"/>
        <v>0</v>
      </c>
      <c r="CA46" s="72">
        <f t="shared" si="43"/>
        <v>0</v>
      </c>
      <c r="CB46" s="72">
        <f t="shared" si="43"/>
        <v>0</v>
      </c>
      <c r="CC46" s="72">
        <f t="shared" si="43"/>
        <v>0</v>
      </c>
      <c r="CD46" s="72">
        <f t="shared" si="43"/>
        <v>0</v>
      </c>
      <c r="CE46" s="72">
        <f t="shared" si="43"/>
        <v>0</v>
      </c>
      <c r="CF46" s="72">
        <f t="shared" si="43"/>
        <v>0</v>
      </c>
      <c r="CG46" s="72">
        <f t="shared" si="43"/>
        <v>0</v>
      </c>
      <c r="CH46" s="72">
        <f t="shared" si="43"/>
        <v>0</v>
      </c>
      <c r="CI46" s="72">
        <f t="shared" si="43"/>
        <v>0</v>
      </c>
      <c r="CJ46" s="72">
        <f t="shared" si="43"/>
        <v>0</v>
      </c>
      <c r="CK46" s="72">
        <f t="shared" si="43"/>
        <v>0</v>
      </c>
      <c r="CL46" s="72">
        <f t="shared" si="43"/>
        <v>0</v>
      </c>
      <c r="CM46" s="72">
        <f t="shared" si="43"/>
        <v>0</v>
      </c>
      <c r="CN46" s="72">
        <f t="shared" si="43"/>
        <v>0</v>
      </c>
      <c r="CO46" s="72">
        <f t="shared" si="43"/>
        <v>0</v>
      </c>
      <c r="CP46" s="72">
        <f t="shared" si="43"/>
        <v>0</v>
      </c>
      <c r="CQ46" s="72">
        <f t="shared" si="43"/>
        <v>0</v>
      </c>
      <c r="CR46" s="72">
        <f t="shared" si="43"/>
        <v>0</v>
      </c>
      <c r="CS46" s="72">
        <f t="shared" si="43"/>
        <v>0</v>
      </c>
      <c r="CT46" s="72">
        <f t="shared" si="43"/>
        <v>0</v>
      </c>
      <c r="CU46" s="72">
        <f t="shared" si="43"/>
        <v>0</v>
      </c>
      <c r="CV46" s="72">
        <f t="shared" si="43"/>
        <v>0</v>
      </c>
      <c r="CW46" s="72">
        <f t="shared" ref="CW46:DU46" si="44">SUM(CW34,CW38,CW42)</f>
        <v>0</v>
      </c>
      <c r="CX46" s="72">
        <f t="shared" si="44"/>
        <v>0</v>
      </c>
      <c r="CY46" s="72">
        <f t="shared" si="44"/>
        <v>0</v>
      </c>
      <c r="CZ46" s="72">
        <f t="shared" si="44"/>
        <v>0</v>
      </c>
      <c r="DA46" s="72">
        <f t="shared" si="44"/>
        <v>0</v>
      </c>
      <c r="DB46" s="72">
        <f t="shared" si="44"/>
        <v>0</v>
      </c>
      <c r="DC46" s="72">
        <f t="shared" si="44"/>
        <v>0</v>
      </c>
      <c r="DD46" s="72">
        <f t="shared" si="44"/>
        <v>0</v>
      </c>
      <c r="DE46" s="72">
        <f t="shared" si="44"/>
        <v>0</v>
      </c>
      <c r="DF46" s="72">
        <f t="shared" si="44"/>
        <v>0</v>
      </c>
      <c r="DG46" s="72">
        <f t="shared" si="44"/>
        <v>0</v>
      </c>
      <c r="DH46" s="72">
        <f t="shared" si="44"/>
        <v>0</v>
      </c>
      <c r="DI46" s="72">
        <f t="shared" si="44"/>
        <v>0</v>
      </c>
      <c r="DJ46" s="72">
        <f t="shared" si="44"/>
        <v>0</v>
      </c>
      <c r="DK46" s="72">
        <f t="shared" si="44"/>
        <v>0</v>
      </c>
      <c r="DL46" s="72">
        <f t="shared" si="44"/>
        <v>0</v>
      </c>
      <c r="DM46" s="72">
        <f t="shared" si="44"/>
        <v>0</v>
      </c>
      <c r="DN46" s="72">
        <f t="shared" si="44"/>
        <v>0</v>
      </c>
      <c r="DO46" s="72">
        <f t="shared" si="44"/>
        <v>0</v>
      </c>
      <c r="DP46" s="72">
        <f t="shared" si="44"/>
        <v>0</v>
      </c>
      <c r="DQ46" s="72">
        <f t="shared" si="44"/>
        <v>0</v>
      </c>
      <c r="DR46" s="72">
        <f t="shared" si="44"/>
        <v>0</v>
      </c>
      <c r="DS46" s="72">
        <f t="shared" si="44"/>
        <v>0</v>
      </c>
      <c r="DT46" s="72">
        <f t="shared" si="44"/>
        <v>0</v>
      </c>
      <c r="DU46" s="72">
        <f t="shared" si="44"/>
        <v>0</v>
      </c>
    </row>
    <row r="47" spans="3:125" s="3" customFormat="1" ht="22.95" customHeight="1"/>
    <row r="48" spans="3:125" s="3" customFormat="1" ht="22.95" customHeight="1"/>
    <row r="49" s="3" customFormat="1" ht="22.95" customHeight="1"/>
    <row r="50" s="3" customFormat="1" ht="22.95" customHeight="1"/>
    <row r="51" s="3" customFormat="1" ht="22.95" customHeight="1"/>
    <row r="52" s="3" customFormat="1" ht="22.95" customHeight="1"/>
    <row r="53" s="3" customFormat="1" ht="22.95" customHeight="1"/>
    <row r="54" s="3" customFormat="1" ht="22.95" customHeight="1"/>
    <row r="55" s="3" customFormat="1" ht="22.95" customHeight="1"/>
    <row r="56" s="3" customFormat="1" ht="22.95" customHeight="1"/>
    <row r="57" s="3" customFormat="1" ht="22.95" customHeight="1"/>
    <row r="58" s="3" customFormat="1" ht="22.95" customHeight="1"/>
    <row r="59" s="3" customFormat="1" ht="22.95" customHeight="1"/>
    <row r="60" s="3" customFormat="1" ht="22.95" customHeight="1"/>
    <row r="61" s="3" customFormat="1" ht="22.95" customHeight="1"/>
    <row r="62" s="3" customFormat="1" ht="22.95" customHeight="1"/>
    <row r="63" s="3" customFormat="1" ht="22.95" customHeight="1"/>
    <row r="64" s="3" customFormat="1" ht="22.95" customHeight="1"/>
    <row r="65" s="3" customFormat="1" ht="22.95" customHeight="1"/>
    <row r="66" s="3" customFormat="1" ht="22.95" customHeight="1"/>
    <row r="67" s="3" customFormat="1" ht="22.95" customHeight="1"/>
    <row r="68" s="3" customFormat="1" ht="22.95" customHeight="1"/>
    <row r="69" s="3" customFormat="1" ht="22.95" customHeight="1"/>
    <row r="70" s="3" customFormat="1" ht="22.95" customHeight="1"/>
    <row r="71" s="3" customFormat="1" ht="22.95" customHeight="1"/>
    <row r="72" s="3" customFormat="1" ht="22.95" customHeight="1"/>
    <row r="73" s="3" customFormat="1" ht="22.95" customHeight="1"/>
    <row r="74" s="3" customFormat="1" ht="22.95" customHeight="1"/>
    <row r="75" s="3" customFormat="1" ht="22.95" customHeight="1"/>
    <row r="76" s="3" customFormat="1" ht="22.95" customHeight="1"/>
    <row r="77" s="3" customFormat="1" ht="22.95" customHeight="1"/>
    <row r="78" s="3" customFormat="1" ht="22.95" customHeight="1"/>
    <row r="79" s="3" customFormat="1" ht="22.95" customHeight="1"/>
    <row r="80" s="3" customFormat="1" ht="22.95" customHeight="1"/>
    <row r="81" s="3" customFormat="1" ht="22.95" customHeight="1"/>
    <row r="82" s="3" customFormat="1" ht="22.95" customHeight="1"/>
    <row r="83" s="3" customFormat="1" ht="22.95" customHeight="1"/>
    <row r="84" s="3" customFormat="1" ht="22.95" customHeight="1"/>
    <row r="85" s="3" customFormat="1" ht="22.95" customHeight="1"/>
    <row r="86" s="3" customFormat="1" ht="22.95" customHeight="1"/>
    <row r="87" s="3" customFormat="1" ht="22.95" customHeight="1"/>
    <row r="88" s="3" customFormat="1" ht="22.95" customHeight="1"/>
    <row r="89" s="3" customFormat="1" ht="22.95" customHeight="1"/>
    <row r="90" s="3" customFormat="1" ht="22.95" customHeight="1"/>
    <row r="91" s="3" customFormat="1" ht="22.95" customHeight="1"/>
    <row r="92" s="3" customFormat="1" ht="22.95" customHeight="1"/>
    <row r="93" s="3" customFormat="1" ht="22.95" customHeight="1"/>
    <row r="94" s="3" customFormat="1" ht="22.95" customHeight="1"/>
    <row r="95" s="3" customFormat="1" ht="22.95" customHeight="1"/>
    <row r="96" s="3" customFormat="1" ht="22.95" customHeight="1"/>
    <row r="97" s="3" customFormat="1" ht="22.95" customHeight="1"/>
    <row r="98" s="3" customFormat="1" ht="22.95" customHeight="1"/>
    <row r="99" s="3" customFormat="1" ht="22.95" customHeight="1"/>
    <row r="100" s="3" customFormat="1" ht="22.95" customHeight="1"/>
    <row r="101" s="3" customFormat="1" ht="22.95" customHeight="1"/>
    <row r="102" s="3" customFormat="1" ht="22.95" customHeight="1"/>
    <row r="103" s="3" customFormat="1" ht="22.95" customHeight="1"/>
    <row r="104" s="3" customFormat="1" ht="22.95" customHeight="1"/>
    <row r="105" s="3" customFormat="1" ht="22.95" customHeight="1"/>
    <row r="106" s="3" customFormat="1" ht="22.95" customHeight="1"/>
    <row r="107" s="3" customFormat="1" ht="22.95" customHeight="1"/>
    <row r="108" s="3" customFormat="1" ht="22.95" customHeight="1"/>
    <row r="109" s="3" customFormat="1" ht="22.95" customHeight="1"/>
    <row r="110" s="3" customFormat="1" ht="22.95" customHeight="1"/>
    <row r="111" s="3" customFormat="1" ht="22.95" customHeight="1"/>
    <row r="112" s="3" customFormat="1" ht="22.95" customHeight="1"/>
    <row r="113" s="3" customFormat="1" ht="22.95" customHeight="1"/>
    <row r="114" s="3" customFormat="1" ht="22.95" customHeight="1"/>
    <row r="115" s="3" customFormat="1" ht="22.95" customHeight="1"/>
    <row r="116" s="3" customFormat="1" ht="22.95" customHeight="1"/>
    <row r="117" s="3" customFormat="1" ht="22.95" customHeight="1"/>
    <row r="118" s="3" customFormat="1" ht="22.95" customHeight="1"/>
    <row r="119" s="3" customFormat="1" ht="22.95" customHeight="1"/>
    <row r="120" s="3" customFormat="1" ht="22.95" customHeight="1"/>
    <row r="121" s="3" customFormat="1" ht="22.95" customHeight="1"/>
    <row r="122" s="3" customFormat="1" ht="22.95" customHeight="1"/>
    <row r="123" s="3" customFormat="1" ht="22.95" customHeight="1"/>
    <row r="124" s="3" customFormat="1" ht="22.95" customHeight="1"/>
    <row r="125" s="3" customFormat="1" ht="22.95" customHeight="1"/>
    <row r="126" s="3" customFormat="1" ht="22.95" customHeight="1"/>
    <row r="127" s="3" customFormat="1" ht="22.95" customHeight="1"/>
    <row r="128" s="3" customFormat="1" ht="22.95" customHeight="1"/>
    <row r="129" s="3" customFormat="1" ht="22.95" customHeight="1"/>
    <row r="130" s="3" customFormat="1" ht="22.95" customHeight="1"/>
    <row r="131" s="3" customFormat="1" ht="22.95" customHeight="1"/>
    <row r="132" s="3" customFormat="1" ht="22.95" customHeight="1"/>
    <row r="133" s="3" customFormat="1" ht="22.95" customHeight="1"/>
    <row r="134" s="3" customFormat="1" ht="22.95" customHeight="1"/>
    <row r="135" s="3" customFormat="1" ht="22.95" customHeight="1"/>
    <row r="136" s="3" customFormat="1" ht="22.95" customHeight="1"/>
    <row r="137" s="3" customFormat="1" ht="22.95" customHeight="1"/>
    <row r="138" s="3" customFormat="1" ht="22.95" customHeight="1"/>
    <row r="139" s="3" customFormat="1" ht="22.95" customHeight="1"/>
    <row r="140" s="3" customFormat="1" ht="22.95" customHeight="1"/>
    <row r="141" s="3" customFormat="1" ht="22.95" customHeight="1"/>
    <row r="142" s="3" customFormat="1" ht="22.95" customHeight="1"/>
    <row r="143" s="3" customFormat="1" ht="22.95" customHeight="1"/>
    <row r="144" s="3" customFormat="1" ht="22.95" customHeight="1"/>
    <row r="145" s="3" customFormat="1" ht="22.95" customHeight="1"/>
    <row r="146" s="3" customFormat="1" ht="22.95" customHeight="1"/>
    <row r="147" s="3" customFormat="1" ht="22.95" customHeight="1"/>
    <row r="148" s="3" customFormat="1" ht="22.95" customHeight="1"/>
    <row r="149" s="3" customFormat="1" ht="22.95" customHeight="1"/>
    <row r="150" s="3" customFormat="1" ht="22.95" customHeight="1"/>
    <row r="151" s="3" customFormat="1" ht="22.95" customHeight="1"/>
    <row r="152" s="3" customFormat="1" ht="22.95" customHeight="1"/>
    <row r="153" s="3" customFormat="1" ht="22.95" customHeight="1"/>
    <row r="154" s="3" customFormat="1" ht="22.95" customHeight="1"/>
    <row r="155" s="3" customFormat="1" ht="22.95" customHeight="1"/>
    <row r="156" s="3" customFormat="1" ht="22.95" customHeight="1"/>
    <row r="157" s="3" customFormat="1" ht="22.95" customHeight="1"/>
    <row r="158" s="3" customFormat="1" ht="22.95" customHeight="1"/>
    <row r="159" s="3" customFormat="1" ht="22.95" customHeight="1"/>
    <row r="160" s="3" customFormat="1" ht="22.95" customHeight="1"/>
    <row r="161" s="3" customFormat="1" ht="22.95" customHeight="1"/>
    <row r="162" s="3" customFormat="1" ht="22.95" customHeight="1"/>
    <row r="163" s="3" customFormat="1" ht="22.95" customHeight="1"/>
    <row r="164" s="3" customFormat="1" ht="22.95" customHeight="1"/>
    <row r="165" s="3" customFormat="1" ht="22.95" customHeight="1"/>
    <row r="166" s="3" customFormat="1" ht="22.95" customHeight="1"/>
    <row r="167" s="3" customFormat="1" ht="22.95" customHeight="1"/>
    <row r="168" s="3" customFormat="1" ht="22.95" customHeight="1"/>
    <row r="169" s="3" customFormat="1" ht="22.95" customHeight="1"/>
    <row r="170" s="3" customFormat="1" ht="22.95" customHeight="1"/>
    <row r="171" s="3" customFormat="1" ht="22.95" customHeight="1"/>
    <row r="172" s="3" customFormat="1" ht="22.95" customHeight="1"/>
    <row r="173" s="3" customFormat="1" ht="22.95" customHeight="1"/>
    <row r="174" s="3" customFormat="1" ht="22.95" customHeight="1"/>
    <row r="175" s="3" customFormat="1" ht="22.95" customHeight="1"/>
    <row r="176" s="3" customFormat="1" ht="22.95" customHeight="1"/>
    <row r="177" s="3" customFormat="1" ht="22.95" customHeight="1"/>
    <row r="178" s="3" customFormat="1" ht="22.95" customHeight="1"/>
    <row r="179" s="3" customFormat="1" ht="22.95" customHeight="1"/>
    <row r="180" s="3" customFormat="1" ht="22.95" customHeight="1"/>
    <row r="181" s="3" customFormat="1" ht="22.95" customHeight="1"/>
    <row r="182" s="3" customFormat="1" ht="22.95" customHeight="1"/>
    <row r="183" s="3" customFormat="1" ht="22.95" customHeight="1"/>
    <row r="184" s="3" customFormat="1" ht="22.95" customHeight="1"/>
    <row r="185" s="3" customFormat="1" ht="22.95" customHeight="1"/>
    <row r="186" s="3" customFormat="1" ht="22.95" customHeight="1"/>
    <row r="187" s="3" customFormat="1" ht="22.95" customHeight="1"/>
    <row r="188" s="3" customFormat="1" ht="22.95" customHeight="1"/>
    <row r="189" s="3" customFormat="1" ht="22.95" customHeight="1"/>
    <row r="190" s="3" customFormat="1" ht="22.95" customHeight="1"/>
    <row r="191" s="3" customFormat="1" ht="22.95" customHeight="1"/>
    <row r="192" s="3" customFormat="1" ht="22.95" customHeight="1"/>
    <row r="193" s="3" customFormat="1" ht="22.95" customHeight="1"/>
    <row r="194" s="3" customFormat="1" ht="22.95" customHeight="1"/>
    <row r="195" s="3" customFormat="1" ht="22.95" customHeight="1"/>
    <row r="196" s="3" customFormat="1" ht="22.95" customHeight="1"/>
    <row r="197" s="3" customFormat="1" ht="22.95" customHeight="1"/>
    <row r="198" s="3" customFormat="1" ht="22.95" customHeight="1"/>
    <row r="199" s="3" customFormat="1" ht="22.95" customHeight="1"/>
    <row r="200" s="3" customFormat="1" ht="22.95" customHeight="1"/>
    <row r="201" s="3" customFormat="1" ht="22.95" customHeight="1"/>
    <row r="202" s="3" customFormat="1" ht="22.95" customHeight="1"/>
    <row r="203" s="3" customFormat="1" ht="22.95" customHeight="1"/>
    <row r="204" s="3" customFormat="1" ht="22.95" customHeight="1"/>
    <row r="205" s="3" customFormat="1" ht="22.95" customHeight="1"/>
    <row r="206" s="3" customFormat="1" ht="22.95" customHeight="1"/>
    <row r="207" s="3" customFormat="1" ht="22.95" customHeight="1"/>
    <row r="208" s="3" customFormat="1" ht="22.95" customHeight="1"/>
    <row r="209" s="3" customFormat="1" ht="22.95" customHeight="1"/>
    <row r="210" s="3" customFormat="1" ht="22.95" customHeight="1"/>
    <row r="211" s="3" customFormat="1" ht="22.95" customHeight="1"/>
    <row r="212" s="3" customFormat="1" ht="22.95" customHeight="1"/>
    <row r="213" s="3" customFormat="1" ht="22.95" customHeight="1"/>
    <row r="214" s="3" customFormat="1" ht="22.95" customHeight="1"/>
    <row r="215" s="3" customFormat="1" ht="22.95" customHeight="1"/>
    <row r="216" s="3" customFormat="1" ht="22.95" customHeight="1"/>
    <row r="217" s="3" customFormat="1" ht="22.95" customHeight="1"/>
    <row r="218" s="3" customFormat="1" ht="22.95" customHeight="1"/>
    <row r="219" s="3" customFormat="1" ht="22.95" customHeight="1"/>
    <row r="220" s="3" customFormat="1" ht="22.95" customHeight="1"/>
    <row r="221" s="3" customFormat="1" ht="22.95" customHeight="1"/>
    <row r="222" s="3" customFormat="1" ht="22.95" customHeight="1"/>
    <row r="223" s="3" customFormat="1" ht="22.95" customHeight="1"/>
    <row r="224" s="3" customFormat="1" ht="22.95" customHeight="1"/>
    <row r="225" s="3" customFormat="1" ht="22.95" customHeight="1"/>
    <row r="226" s="3" customFormat="1" ht="22.95" customHeight="1"/>
    <row r="227" s="3" customFormat="1" ht="22.95" customHeight="1"/>
    <row r="228" s="3" customFormat="1" ht="22.95" customHeight="1"/>
    <row r="229" s="3" customFormat="1" ht="22.95" customHeight="1"/>
    <row r="230" s="3" customFormat="1" ht="22.95" customHeight="1"/>
    <row r="231" s="3" customFormat="1" ht="22.95" customHeight="1"/>
    <row r="232" s="3" customFormat="1" ht="22.95" customHeight="1"/>
    <row r="233" s="3" customFormat="1" ht="22.95" customHeight="1"/>
    <row r="234" s="3" customFormat="1" ht="22.95" customHeight="1"/>
    <row r="235" s="3" customFormat="1" ht="22.95" customHeight="1"/>
    <row r="236" s="3" customFormat="1" ht="22.95" customHeight="1"/>
    <row r="237" s="3" customFormat="1" ht="22.95" customHeight="1"/>
    <row r="238" s="3" customFormat="1" ht="22.95" customHeight="1"/>
    <row r="239" s="3" customFormat="1" ht="22.95" customHeight="1"/>
    <row r="240" s="3" customFormat="1" ht="22.95" customHeight="1"/>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89996032593768116"/>
  </sheetPr>
  <dimension ref="C1:DU222"/>
  <sheetViews>
    <sheetView workbookViewId="0"/>
  </sheetViews>
  <sheetFormatPr baseColWidth="10" defaultColWidth="10.796875" defaultRowHeight="13.8"/>
  <cols>
    <col min="1" max="2" width="2.5" style="2" customWidth="1"/>
    <col min="3" max="3" width="36.69921875" style="2" customWidth="1"/>
    <col min="4" max="4" width="14.69921875" style="2" customWidth="1"/>
    <col min="5" max="7" width="13.19921875" style="2" customWidth="1"/>
    <col min="8" max="21" width="14.19921875" style="2" customWidth="1"/>
    <col min="22" max="31" width="15.296875" style="2" customWidth="1"/>
    <col min="32" max="37" width="14.19921875" style="2" customWidth="1"/>
    <col min="38" max="38" width="13.19921875" style="2" customWidth="1"/>
    <col min="39" max="39" width="12.796875" style="2" customWidth="1"/>
    <col min="40" max="44" width="13.5" style="2" customWidth="1"/>
    <col min="45" max="125" width="11" style="2" customWidth="1"/>
    <col min="126" max="129" width="10.796875" style="2" customWidth="1"/>
    <col min="130" max="16384" width="10.796875" style="2"/>
  </cols>
  <sheetData>
    <row r="1" spans="3:125" s="3" customFormat="1" ht="22.95" customHeight="1"/>
    <row r="2" spans="3:125" s="3" customFormat="1" ht="22.95" customHeight="1"/>
    <row r="3" spans="3:125" s="3" customFormat="1" ht="22.95" customHeight="1">
      <c r="D3" s="57" t="s">
        <v>83</v>
      </c>
      <c r="E3" s="3">
        <f t="shared" ref="E3:AJ3" si="0">YEAR(E4)</f>
        <v>2026</v>
      </c>
      <c r="F3" s="3">
        <f t="shared" si="0"/>
        <v>2027</v>
      </c>
      <c r="G3" s="3">
        <f t="shared" si="0"/>
        <v>2027</v>
      </c>
      <c r="H3" s="3">
        <f t="shared" si="0"/>
        <v>2027</v>
      </c>
      <c r="I3" s="3">
        <f t="shared" si="0"/>
        <v>2027</v>
      </c>
      <c r="J3" s="3">
        <f t="shared" si="0"/>
        <v>2027</v>
      </c>
      <c r="K3" s="3">
        <f t="shared" si="0"/>
        <v>2027</v>
      </c>
      <c r="L3" s="3">
        <f t="shared" si="0"/>
        <v>2027</v>
      </c>
      <c r="M3" s="3">
        <f t="shared" si="0"/>
        <v>2027</v>
      </c>
      <c r="N3" s="3">
        <f t="shared" si="0"/>
        <v>2027</v>
      </c>
      <c r="O3" s="3">
        <f t="shared" si="0"/>
        <v>2027</v>
      </c>
      <c r="P3" s="3">
        <f t="shared" si="0"/>
        <v>2027</v>
      </c>
      <c r="Q3" s="3">
        <f t="shared" si="0"/>
        <v>2027</v>
      </c>
      <c r="R3" s="3">
        <f t="shared" si="0"/>
        <v>2028</v>
      </c>
      <c r="S3" s="3">
        <f t="shared" si="0"/>
        <v>2028</v>
      </c>
      <c r="T3" s="3">
        <f t="shared" si="0"/>
        <v>2028</v>
      </c>
      <c r="U3" s="3">
        <f t="shared" si="0"/>
        <v>2028</v>
      </c>
      <c r="V3" s="3">
        <f t="shared" si="0"/>
        <v>2028</v>
      </c>
      <c r="W3" s="3">
        <f t="shared" si="0"/>
        <v>2028</v>
      </c>
      <c r="X3" s="3">
        <f t="shared" si="0"/>
        <v>2028</v>
      </c>
      <c r="Y3" s="3">
        <f t="shared" si="0"/>
        <v>2028</v>
      </c>
      <c r="Z3" s="3">
        <f t="shared" si="0"/>
        <v>2028</v>
      </c>
      <c r="AA3" s="3">
        <f t="shared" si="0"/>
        <v>2028</v>
      </c>
      <c r="AB3" s="3">
        <f t="shared" si="0"/>
        <v>2028</v>
      </c>
      <c r="AC3" s="3">
        <f t="shared" si="0"/>
        <v>2028</v>
      </c>
      <c r="AD3" s="3">
        <f t="shared" si="0"/>
        <v>2029</v>
      </c>
      <c r="AE3" s="3">
        <f t="shared" si="0"/>
        <v>2029</v>
      </c>
      <c r="AF3" s="3">
        <f t="shared" si="0"/>
        <v>2029</v>
      </c>
      <c r="AG3" s="3">
        <f t="shared" si="0"/>
        <v>2029</v>
      </c>
      <c r="AH3" s="3">
        <f t="shared" si="0"/>
        <v>2029</v>
      </c>
      <c r="AI3" s="3">
        <f t="shared" si="0"/>
        <v>2029</v>
      </c>
      <c r="AJ3" s="3">
        <f t="shared" si="0"/>
        <v>2029</v>
      </c>
      <c r="AK3" s="3">
        <f t="shared" ref="AK3:BP3" si="1">YEAR(AK4)</f>
        <v>2029</v>
      </c>
      <c r="AL3" s="3">
        <f t="shared" si="1"/>
        <v>2029</v>
      </c>
      <c r="AM3" s="3">
        <f t="shared" si="1"/>
        <v>2029</v>
      </c>
      <c r="AN3" s="3">
        <f t="shared" si="1"/>
        <v>2029</v>
      </c>
      <c r="AO3" s="3">
        <f t="shared" si="1"/>
        <v>2029</v>
      </c>
      <c r="AP3" s="3">
        <f t="shared" si="1"/>
        <v>2030</v>
      </c>
      <c r="AQ3" s="3">
        <f t="shared" si="1"/>
        <v>2030</v>
      </c>
      <c r="AR3" s="3">
        <f t="shared" si="1"/>
        <v>2030</v>
      </c>
      <c r="AS3" s="3">
        <f t="shared" si="1"/>
        <v>2030</v>
      </c>
      <c r="AT3" s="3">
        <f t="shared" si="1"/>
        <v>2030</v>
      </c>
      <c r="AU3" s="3">
        <f t="shared" si="1"/>
        <v>2030</v>
      </c>
      <c r="AV3" s="3">
        <f t="shared" si="1"/>
        <v>2030</v>
      </c>
      <c r="AW3" s="3">
        <f t="shared" si="1"/>
        <v>2030</v>
      </c>
      <c r="AX3" s="3">
        <f t="shared" si="1"/>
        <v>2030</v>
      </c>
      <c r="AY3" s="3">
        <f t="shared" si="1"/>
        <v>2030</v>
      </c>
      <c r="AZ3" s="3">
        <f t="shared" si="1"/>
        <v>2030</v>
      </c>
      <c r="BA3" s="3">
        <f t="shared" si="1"/>
        <v>2030</v>
      </c>
      <c r="BB3" s="3">
        <f t="shared" si="1"/>
        <v>2031</v>
      </c>
      <c r="BC3" s="3">
        <f t="shared" si="1"/>
        <v>2031</v>
      </c>
      <c r="BD3" s="3">
        <f t="shared" si="1"/>
        <v>2031</v>
      </c>
      <c r="BE3" s="3">
        <f t="shared" si="1"/>
        <v>2031</v>
      </c>
      <c r="BF3" s="3">
        <f t="shared" si="1"/>
        <v>2031</v>
      </c>
      <c r="BG3" s="3">
        <f t="shared" si="1"/>
        <v>2031</v>
      </c>
      <c r="BH3" s="3">
        <f t="shared" si="1"/>
        <v>2031</v>
      </c>
      <c r="BI3" s="3">
        <f t="shared" si="1"/>
        <v>2031</v>
      </c>
      <c r="BJ3" s="3">
        <f t="shared" si="1"/>
        <v>2031</v>
      </c>
      <c r="BK3" s="3">
        <f t="shared" si="1"/>
        <v>2031</v>
      </c>
      <c r="BL3" s="3">
        <f t="shared" si="1"/>
        <v>2031</v>
      </c>
      <c r="BM3" s="3">
        <f t="shared" si="1"/>
        <v>2031</v>
      </c>
      <c r="BN3" s="3">
        <f t="shared" si="1"/>
        <v>2032</v>
      </c>
      <c r="BO3" s="3">
        <f t="shared" si="1"/>
        <v>2032</v>
      </c>
      <c r="BP3" s="3">
        <f t="shared" si="1"/>
        <v>2032</v>
      </c>
      <c r="BQ3" s="3">
        <f t="shared" ref="BQ3:CV3" si="2">YEAR(BQ4)</f>
        <v>2032</v>
      </c>
      <c r="BR3" s="3">
        <f t="shared" si="2"/>
        <v>2032</v>
      </c>
      <c r="BS3" s="3">
        <f t="shared" si="2"/>
        <v>2032</v>
      </c>
      <c r="BT3" s="3">
        <f t="shared" si="2"/>
        <v>2032</v>
      </c>
      <c r="BU3" s="3">
        <f t="shared" si="2"/>
        <v>2032</v>
      </c>
      <c r="BV3" s="3">
        <f t="shared" si="2"/>
        <v>2032</v>
      </c>
      <c r="BW3" s="3">
        <f t="shared" si="2"/>
        <v>2032</v>
      </c>
      <c r="BX3" s="3">
        <f t="shared" si="2"/>
        <v>2032</v>
      </c>
      <c r="BY3" s="3">
        <f t="shared" si="2"/>
        <v>2032</v>
      </c>
      <c r="BZ3" s="3">
        <f t="shared" si="2"/>
        <v>2033</v>
      </c>
      <c r="CA3" s="3">
        <f t="shared" si="2"/>
        <v>2033</v>
      </c>
      <c r="CB3" s="3">
        <f t="shared" si="2"/>
        <v>2033</v>
      </c>
      <c r="CC3" s="3">
        <f t="shared" si="2"/>
        <v>2033</v>
      </c>
      <c r="CD3" s="3">
        <f t="shared" si="2"/>
        <v>2033</v>
      </c>
      <c r="CE3" s="3">
        <f t="shared" si="2"/>
        <v>2033</v>
      </c>
      <c r="CF3" s="3">
        <f t="shared" si="2"/>
        <v>2033</v>
      </c>
      <c r="CG3" s="3">
        <f t="shared" si="2"/>
        <v>2033</v>
      </c>
      <c r="CH3" s="3">
        <f t="shared" si="2"/>
        <v>2033</v>
      </c>
      <c r="CI3" s="3">
        <f t="shared" si="2"/>
        <v>2033</v>
      </c>
      <c r="CJ3" s="3">
        <f t="shared" si="2"/>
        <v>2033</v>
      </c>
      <c r="CK3" s="3">
        <f t="shared" si="2"/>
        <v>2033</v>
      </c>
      <c r="CL3" s="3">
        <f t="shared" si="2"/>
        <v>2034</v>
      </c>
      <c r="CM3" s="3">
        <f t="shared" si="2"/>
        <v>2034</v>
      </c>
      <c r="CN3" s="3">
        <f t="shared" si="2"/>
        <v>2034</v>
      </c>
      <c r="CO3" s="3">
        <f t="shared" si="2"/>
        <v>2034</v>
      </c>
      <c r="CP3" s="3">
        <f t="shared" si="2"/>
        <v>2034</v>
      </c>
      <c r="CQ3" s="3">
        <f t="shared" si="2"/>
        <v>2034</v>
      </c>
      <c r="CR3" s="3">
        <f t="shared" si="2"/>
        <v>2034</v>
      </c>
      <c r="CS3" s="3">
        <f t="shared" si="2"/>
        <v>2034</v>
      </c>
      <c r="CT3" s="3">
        <f t="shared" si="2"/>
        <v>2034</v>
      </c>
      <c r="CU3" s="3">
        <f t="shared" si="2"/>
        <v>2034</v>
      </c>
      <c r="CV3" s="3">
        <f t="shared" si="2"/>
        <v>2034</v>
      </c>
      <c r="CW3" s="3">
        <f t="shared" ref="CW3:DU3" si="3">YEAR(CW4)</f>
        <v>2034</v>
      </c>
      <c r="CX3" s="3">
        <f t="shared" si="3"/>
        <v>2035</v>
      </c>
      <c r="CY3" s="3">
        <f t="shared" si="3"/>
        <v>2035</v>
      </c>
      <c r="CZ3" s="3">
        <f t="shared" si="3"/>
        <v>2035</v>
      </c>
      <c r="DA3" s="3">
        <f t="shared" si="3"/>
        <v>2035</v>
      </c>
      <c r="DB3" s="3">
        <f t="shared" si="3"/>
        <v>2035</v>
      </c>
      <c r="DC3" s="3">
        <f t="shared" si="3"/>
        <v>2035</v>
      </c>
      <c r="DD3" s="3">
        <f t="shared" si="3"/>
        <v>2035</v>
      </c>
      <c r="DE3" s="3">
        <f t="shared" si="3"/>
        <v>2035</v>
      </c>
      <c r="DF3" s="3">
        <f t="shared" si="3"/>
        <v>2035</v>
      </c>
      <c r="DG3" s="3">
        <f t="shared" si="3"/>
        <v>2035</v>
      </c>
      <c r="DH3" s="3">
        <f t="shared" si="3"/>
        <v>2035</v>
      </c>
      <c r="DI3" s="3">
        <f t="shared" si="3"/>
        <v>2035</v>
      </c>
      <c r="DJ3" s="3">
        <f t="shared" si="3"/>
        <v>2036</v>
      </c>
      <c r="DK3" s="3">
        <f t="shared" si="3"/>
        <v>2036</v>
      </c>
      <c r="DL3" s="3">
        <f t="shared" si="3"/>
        <v>2036</v>
      </c>
      <c r="DM3" s="3">
        <f t="shared" si="3"/>
        <v>2036</v>
      </c>
      <c r="DN3" s="3">
        <f t="shared" si="3"/>
        <v>2036</v>
      </c>
      <c r="DO3" s="3">
        <f t="shared" si="3"/>
        <v>2036</v>
      </c>
      <c r="DP3" s="3">
        <f t="shared" si="3"/>
        <v>2036</v>
      </c>
      <c r="DQ3" s="3">
        <f t="shared" si="3"/>
        <v>2036</v>
      </c>
      <c r="DR3" s="3">
        <f t="shared" si="3"/>
        <v>2036</v>
      </c>
      <c r="DS3" s="3">
        <f t="shared" si="3"/>
        <v>2036</v>
      </c>
      <c r="DT3" s="3">
        <f t="shared" si="3"/>
        <v>2036</v>
      </c>
      <c r="DU3" s="3">
        <f t="shared" si="3"/>
        <v>2036</v>
      </c>
    </row>
    <row r="4" spans="3:125" s="3" customFormat="1" ht="22.95" customHeight="1">
      <c r="C4" s="5" t="s">
        <v>287</v>
      </c>
      <c r="D4" s="23" t="s">
        <v>72</v>
      </c>
      <c r="E4" s="20">
        <f>'Single Project Assumptions'!D6</f>
        <v>46387</v>
      </c>
      <c r="F4" s="20">
        <f t="shared" ref="F4:AK4" si="4">EOMONTH(E4,1)</f>
        <v>46418</v>
      </c>
      <c r="G4" s="20">
        <f t="shared" si="4"/>
        <v>46446</v>
      </c>
      <c r="H4" s="20">
        <f t="shared" si="4"/>
        <v>46477</v>
      </c>
      <c r="I4" s="20">
        <f t="shared" si="4"/>
        <v>46507</v>
      </c>
      <c r="J4" s="20">
        <f t="shared" si="4"/>
        <v>46538</v>
      </c>
      <c r="K4" s="20">
        <f t="shared" si="4"/>
        <v>46568</v>
      </c>
      <c r="L4" s="20">
        <f t="shared" si="4"/>
        <v>46599</v>
      </c>
      <c r="M4" s="20">
        <f t="shared" si="4"/>
        <v>46630</v>
      </c>
      <c r="N4" s="20">
        <f t="shared" si="4"/>
        <v>46660</v>
      </c>
      <c r="O4" s="20">
        <f t="shared" si="4"/>
        <v>46691</v>
      </c>
      <c r="P4" s="20">
        <f t="shared" si="4"/>
        <v>46721</v>
      </c>
      <c r="Q4" s="20">
        <f t="shared" si="4"/>
        <v>46752</v>
      </c>
      <c r="R4" s="20">
        <f t="shared" si="4"/>
        <v>46783</v>
      </c>
      <c r="S4" s="20">
        <f t="shared" si="4"/>
        <v>46812</v>
      </c>
      <c r="T4" s="20">
        <f t="shared" si="4"/>
        <v>46843</v>
      </c>
      <c r="U4" s="20">
        <f t="shared" si="4"/>
        <v>46873</v>
      </c>
      <c r="V4" s="20">
        <f t="shared" si="4"/>
        <v>46904</v>
      </c>
      <c r="W4" s="20">
        <f t="shared" si="4"/>
        <v>46934</v>
      </c>
      <c r="X4" s="20">
        <f t="shared" si="4"/>
        <v>46965</v>
      </c>
      <c r="Y4" s="20">
        <f t="shared" si="4"/>
        <v>46996</v>
      </c>
      <c r="Z4" s="20">
        <f t="shared" si="4"/>
        <v>47026</v>
      </c>
      <c r="AA4" s="20">
        <f t="shared" si="4"/>
        <v>47057</v>
      </c>
      <c r="AB4" s="20">
        <f t="shared" si="4"/>
        <v>47087</v>
      </c>
      <c r="AC4" s="20">
        <f t="shared" si="4"/>
        <v>47118</v>
      </c>
      <c r="AD4" s="20">
        <f t="shared" si="4"/>
        <v>47149</v>
      </c>
      <c r="AE4" s="20">
        <f t="shared" si="4"/>
        <v>47177</v>
      </c>
      <c r="AF4" s="20">
        <f t="shared" si="4"/>
        <v>47208</v>
      </c>
      <c r="AG4" s="20">
        <f t="shared" si="4"/>
        <v>47238</v>
      </c>
      <c r="AH4" s="20">
        <f t="shared" si="4"/>
        <v>47269</v>
      </c>
      <c r="AI4" s="20">
        <f t="shared" si="4"/>
        <v>47299</v>
      </c>
      <c r="AJ4" s="20">
        <f t="shared" si="4"/>
        <v>47330</v>
      </c>
      <c r="AK4" s="20">
        <f t="shared" si="4"/>
        <v>47361</v>
      </c>
      <c r="AL4" s="20">
        <f t="shared" ref="AL4:BQ4" si="5">EOMONTH(AK4,1)</f>
        <v>47391</v>
      </c>
      <c r="AM4" s="20">
        <f t="shared" si="5"/>
        <v>47422</v>
      </c>
      <c r="AN4" s="20">
        <f t="shared" si="5"/>
        <v>47452</v>
      </c>
      <c r="AO4" s="20">
        <f t="shared" si="5"/>
        <v>47483</v>
      </c>
      <c r="AP4" s="20">
        <f t="shared" si="5"/>
        <v>47514</v>
      </c>
      <c r="AQ4" s="20">
        <f t="shared" si="5"/>
        <v>47542</v>
      </c>
      <c r="AR4" s="20">
        <f t="shared" si="5"/>
        <v>47573</v>
      </c>
      <c r="AS4" s="20">
        <f t="shared" si="5"/>
        <v>47603</v>
      </c>
      <c r="AT4" s="20">
        <f t="shared" si="5"/>
        <v>47634</v>
      </c>
      <c r="AU4" s="20">
        <f t="shared" si="5"/>
        <v>47664</v>
      </c>
      <c r="AV4" s="20">
        <f t="shared" si="5"/>
        <v>47695</v>
      </c>
      <c r="AW4" s="20">
        <f t="shared" si="5"/>
        <v>47726</v>
      </c>
      <c r="AX4" s="20">
        <f t="shared" si="5"/>
        <v>47756</v>
      </c>
      <c r="AY4" s="20">
        <f t="shared" si="5"/>
        <v>47787</v>
      </c>
      <c r="AZ4" s="20">
        <f t="shared" si="5"/>
        <v>47817</v>
      </c>
      <c r="BA4" s="20">
        <f t="shared" si="5"/>
        <v>47848</v>
      </c>
      <c r="BB4" s="20">
        <f t="shared" si="5"/>
        <v>47879</v>
      </c>
      <c r="BC4" s="20">
        <f t="shared" si="5"/>
        <v>47907</v>
      </c>
      <c r="BD4" s="20">
        <f t="shared" si="5"/>
        <v>47938</v>
      </c>
      <c r="BE4" s="20">
        <f t="shared" si="5"/>
        <v>47968</v>
      </c>
      <c r="BF4" s="20">
        <f t="shared" si="5"/>
        <v>47999</v>
      </c>
      <c r="BG4" s="20">
        <f t="shared" si="5"/>
        <v>48029</v>
      </c>
      <c r="BH4" s="20">
        <f t="shared" si="5"/>
        <v>48060</v>
      </c>
      <c r="BI4" s="20">
        <f t="shared" si="5"/>
        <v>48091</v>
      </c>
      <c r="BJ4" s="20">
        <f t="shared" si="5"/>
        <v>48121</v>
      </c>
      <c r="BK4" s="20">
        <f t="shared" si="5"/>
        <v>48152</v>
      </c>
      <c r="BL4" s="20">
        <f t="shared" si="5"/>
        <v>48182</v>
      </c>
      <c r="BM4" s="20">
        <f t="shared" si="5"/>
        <v>48213</v>
      </c>
      <c r="BN4" s="20">
        <f t="shared" si="5"/>
        <v>48244</v>
      </c>
      <c r="BO4" s="20">
        <f t="shared" si="5"/>
        <v>48273</v>
      </c>
      <c r="BP4" s="20">
        <f t="shared" si="5"/>
        <v>48304</v>
      </c>
      <c r="BQ4" s="20">
        <f t="shared" si="5"/>
        <v>48334</v>
      </c>
      <c r="BR4" s="20">
        <f t="shared" ref="BR4:CW4" si="6">EOMONTH(BQ4,1)</f>
        <v>48365</v>
      </c>
      <c r="BS4" s="20">
        <f t="shared" si="6"/>
        <v>48395</v>
      </c>
      <c r="BT4" s="20">
        <f t="shared" si="6"/>
        <v>48426</v>
      </c>
      <c r="BU4" s="20">
        <f t="shared" si="6"/>
        <v>48457</v>
      </c>
      <c r="BV4" s="20">
        <f t="shared" si="6"/>
        <v>48487</v>
      </c>
      <c r="BW4" s="20">
        <f t="shared" si="6"/>
        <v>48518</v>
      </c>
      <c r="BX4" s="20">
        <f t="shared" si="6"/>
        <v>48548</v>
      </c>
      <c r="BY4" s="20">
        <f t="shared" si="6"/>
        <v>48579</v>
      </c>
      <c r="BZ4" s="20">
        <f t="shared" si="6"/>
        <v>48610</v>
      </c>
      <c r="CA4" s="20">
        <f t="shared" si="6"/>
        <v>48638</v>
      </c>
      <c r="CB4" s="20">
        <f t="shared" si="6"/>
        <v>48669</v>
      </c>
      <c r="CC4" s="20">
        <f t="shared" si="6"/>
        <v>48699</v>
      </c>
      <c r="CD4" s="20">
        <f t="shared" si="6"/>
        <v>48730</v>
      </c>
      <c r="CE4" s="20">
        <f t="shared" si="6"/>
        <v>48760</v>
      </c>
      <c r="CF4" s="20">
        <f t="shared" si="6"/>
        <v>48791</v>
      </c>
      <c r="CG4" s="20">
        <f t="shared" si="6"/>
        <v>48822</v>
      </c>
      <c r="CH4" s="20">
        <f t="shared" si="6"/>
        <v>48852</v>
      </c>
      <c r="CI4" s="20">
        <f t="shared" si="6"/>
        <v>48883</v>
      </c>
      <c r="CJ4" s="20">
        <f t="shared" si="6"/>
        <v>48913</v>
      </c>
      <c r="CK4" s="20">
        <f t="shared" si="6"/>
        <v>48944</v>
      </c>
      <c r="CL4" s="20">
        <f t="shared" si="6"/>
        <v>48975</v>
      </c>
      <c r="CM4" s="20">
        <f t="shared" si="6"/>
        <v>49003</v>
      </c>
      <c r="CN4" s="20">
        <f t="shared" si="6"/>
        <v>49034</v>
      </c>
      <c r="CO4" s="20">
        <f t="shared" si="6"/>
        <v>49064</v>
      </c>
      <c r="CP4" s="20">
        <f t="shared" si="6"/>
        <v>49095</v>
      </c>
      <c r="CQ4" s="20">
        <f t="shared" si="6"/>
        <v>49125</v>
      </c>
      <c r="CR4" s="20">
        <f t="shared" si="6"/>
        <v>49156</v>
      </c>
      <c r="CS4" s="20">
        <f t="shared" si="6"/>
        <v>49187</v>
      </c>
      <c r="CT4" s="20">
        <f t="shared" si="6"/>
        <v>49217</v>
      </c>
      <c r="CU4" s="20">
        <f t="shared" si="6"/>
        <v>49248</v>
      </c>
      <c r="CV4" s="20">
        <f t="shared" si="6"/>
        <v>49278</v>
      </c>
      <c r="CW4" s="20">
        <f t="shared" si="6"/>
        <v>49309</v>
      </c>
      <c r="CX4" s="20">
        <f t="shared" ref="CX4:DU4" si="7">EOMONTH(CW4,1)</f>
        <v>49340</v>
      </c>
      <c r="CY4" s="20">
        <f t="shared" si="7"/>
        <v>49368</v>
      </c>
      <c r="CZ4" s="20">
        <f t="shared" si="7"/>
        <v>49399</v>
      </c>
      <c r="DA4" s="20">
        <f t="shared" si="7"/>
        <v>49429</v>
      </c>
      <c r="DB4" s="20">
        <f t="shared" si="7"/>
        <v>49460</v>
      </c>
      <c r="DC4" s="20">
        <f t="shared" si="7"/>
        <v>49490</v>
      </c>
      <c r="DD4" s="20">
        <f t="shared" si="7"/>
        <v>49521</v>
      </c>
      <c r="DE4" s="20">
        <f t="shared" si="7"/>
        <v>49552</v>
      </c>
      <c r="DF4" s="20">
        <f t="shared" si="7"/>
        <v>49582</v>
      </c>
      <c r="DG4" s="20">
        <f t="shared" si="7"/>
        <v>49613</v>
      </c>
      <c r="DH4" s="20">
        <f t="shared" si="7"/>
        <v>49643</v>
      </c>
      <c r="DI4" s="20">
        <f t="shared" si="7"/>
        <v>49674</v>
      </c>
      <c r="DJ4" s="20">
        <f t="shared" si="7"/>
        <v>49705</v>
      </c>
      <c r="DK4" s="20">
        <f t="shared" si="7"/>
        <v>49734</v>
      </c>
      <c r="DL4" s="20">
        <f t="shared" si="7"/>
        <v>49765</v>
      </c>
      <c r="DM4" s="20">
        <f t="shared" si="7"/>
        <v>49795</v>
      </c>
      <c r="DN4" s="20">
        <f t="shared" si="7"/>
        <v>49826</v>
      </c>
      <c r="DO4" s="20">
        <f t="shared" si="7"/>
        <v>49856</v>
      </c>
      <c r="DP4" s="20">
        <f t="shared" si="7"/>
        <v>49887</v>
      </c>
      <c r="DQ4" s="20">
        <f t="shared" si="7"/>
        <v>49918</v>
      </c>
      <c r="DR4" s="20">
        <f t="shared" si="7"/>
        <v>49948</v>
      </c>
      <c r="DS4" s="20">
        <f t="shared" si="7"/>
        <v>49979</v>
      </c>
      <c r="DT4" s="20">
        <f t="shared" si="7"/>
        <v>50009</v>
      </c>
      <c r="DU4" s="20">
        <f t="shared" si="7"/>
        <v>50040</v>
      </c>
    </row>
    <row r="5" spans="3:125" s="3" customFormat="1" ht="22.95" customHeight="1">
      <c r="D5" s="24"/>
    </row>
    <row r="6" spans="3:125" s="3" customFormat="1" ht="22.95" customHeight="1">
      <c r="C6" s="31" t="s">
        <v>288</v>
      </c>
      <c r="D6" s="73"/>
      <c r="E6" s="74">
        <f>-SUMIF('Development Phase'!$E$4:$DU$4,"&lt;="&amp;'Operational Phase'!E$4,'Development Phase'!$E$8:$DU$8)</f>
        <v>0</v>
      </c>
      <c r="F6" s="74">
        <f>-SUMIF('Development Phase'!$E$4:$DU$4,"&lt;="&amp;'Operational Phase'!F$4,'Development Phase'!$E$8:$DU$8)</f>
        <v>0</v>
      </c>
      <c r="G6" s="74">
        <f>-SUMIF('Development Phase'!$E$4:$DU$4,"&lt;="&amp;'Operational Phase'!G$4,'Development Phase'!$E$8:$DU$8)</f>
        <v>0</v>
      </c>
      <c r="H6" s="74">
        <f>-SUMIF('Development Phase'!$E$4:$DU$4,"&lt;="&amp;'Operational Phase'!H$4,'Development Phase'!$E$8:$DU$8)</f>
        <v>0</v>
      </c>
      <c r="I6" s="74">
        <f>-SUMIF('Development Phase'!$E$4:$DU$4,"&lt;="&amp;'Operational Phase'!I$4,'Development Phase'!$E$8:$DU$8)</f>
        <v>0</v>
      </c>
      <c r="J6" s="74">
        <f>-SUMIF('Development Phase'!$E$4:$DU$4,"&lt;="&amp;'Operational Phase'!J$4,'Development Phase'!$E$8:$DU$8)</f>
        <v>0</v>
      </c>
      <c r="K6" s="74">
        <f>-SUMIF('Development Phase'!$E$4:$DU$4,"&lt;="&amp;'Operational Phase'!K$4,'Development Phase'!$E$8:$DU$8)</f>
        <v>0</v>
      </c>
      <c r="L6" s="74">
        <f>-SUMIF('Development Phase'!$E$4:$DU$4,"&lt;="&amp;'Operational Phase'!L$4,'Development Phase'!$E$8:$DU$8)</f>
        <v>0</v>
      </c>
      <c r="M6" s="74">
        <f>-SUMIF('Development Phase'!$E$4:$DU$4,"&lt;="&amp;'Operational Phase'!M$4,'Development Phase'!$E$8:$DU$8)</f>
        <v>0</v>
      </c>
      <c r="N6" s="74">
        <f>-SUMIF('Development Phase'!$E$4:$DU$4,"&lt;="&amp;'Operational Phase'!N$4,'Development Phase'!$E$8:$DU$8)</f>
        <v>0</v>
      </c>
      <c r="O6" s="74">
        <f>-SUMIF('Development Phase'!$E$4:$DU$4,"&lt;="&amp;'Operational Phase'!O$4,'Development Phase'!$E$8:$DU$8)</f>
        <v>0</v>
      </c>
      <c r="P6" s="74">
        <f>-SUMIF('Development Phase'!$E$4:$DU$4,"&lt;="&amp;'Operational Phase'!P$4,'Development Phase'!$E$8:$DU$8)</f>
        <v>0</v>
      </c>
      <c r="Q6" s="74">
        <f>-SUMIF('Development Phase'!$E$4:$DU$4,"&lt;="&amp;'Operational Phase'!Q$4,'Development Phase'!$E$8:$DU$8)</f>
        <v>0</v>
      </c>
      <c r="R6" s="74">
        <f>-SUMIF('Development Phase'!$E$4:$DU$4,"&lt;="&amp;'Operational Phase'!R$4,'Development Phase'!$E$8:$DU$8)</f>
        <v>0</v>
      </c>
      <c r="S6" s="74">
        <f>-SUMIF('Development Phase'!$E$4:$DU$4,"&lt;="&amp;'Operational Phase'!S$4,'Development Phase'!$E$8:$DU$8)</f>
        <v>0</v>
      </c>
      <c r="T6" s="74">
        <f>-SUMIF('Development Phase'!$E$4:$DU$4,"&lt;="&amp;'Operational Phase'!T$4,'Development Phase'!$E$8:$DU$8)</f>
        <v>0</v>
      </c>
      <c r="U6" s="74">
        <f>-SUMIF('Development Phase'!$E$4:$DU$4,"&lt;="&amp;'Operational Phase'!U$4,'Development Phase'!$E$8:$DU$8)</f>
        <v>0</v>
      </c>
      <c r="V6" s="74">
        <f>-SUMIF('Development Phase'!$E$4:$DU$4,"&lt;="&amp;'Operational Phase'!V$4,'Development Phase'!$E$8:$DU$8)</f>
        <v>0</v>
      </c>
      <c r="W6" s="74">
        <f>-SUMIF('Development Phase'!$E$4:$DU$4,"&lt;="&amp;'Operational Phase'!W$4,'Development Phase'!$E$8:$DU$8)</f>
        <v>0</v>
      </c>
      <c r="X6" s="74">
        <f>-SUMIF('Development Phase'!$E$4:$DU$4,"&lt;="&amp;'Operational Phase'!X$4,'Development Phase'!$E$8:$DU$8)</f>
        <v>0</v>
      </c>
      <c r="Y6" s="74">
        <f>-SUMIF('Development Phase'!$E$4:$DU$4,"&lt;="&amp;'Operational Phase'!Y$4,'Development Phase'!$E$8:$DU$8)</f>
        <v>0</v>
      </c>
      <c r="Z6" s="74">
        <f>-SUMIF('Development Phase'!$E$4:$DU$4,"&lt;="&amp;'Operational Phase'!Z$4,'Development Phase'!$E$8:$DU$8)</f>
        <v>0</v>
      </c>
      <c r="AA6" s="74">
        <f>-SUMIF('Development Phase'!$E$4:$DU$4,"&lt;="&amp;'Operational Phase'!AA$4,'Development Phase'!$E$8:$DU$8)</f>
        <v>0</v>
      </c>
      <c r="AB6" s="74">
        <f>-SUMIF('Development Phase'!$E$4:$DU$4,"&lt;="&amp;'Operational Phase'!AB$4,'Development Phase'!$E$8:$DU$8)</f>
        <v>0</v>
      </c>
      <c r="AC6" s="74">
        <f>-SUMIF('Development Phase'!$E$4:$DU$4,"&lt;="&amp;'Operational Phase'!AC$4,'Development Phase'!$E$8:$DU$8)</f>
        <v>0</v>
      </c>
      <c r="AD6" s="74">
        <f>-SUMIF('Development Phase'!$E$4:$DU$4,"&lt;="&amp;'Operational Phase'!AD$4,'Development Phase'!$E$8:$DU$8)</f>
        <v>0</v>
      </c>
      <c r="AE6" s="74">
        <f>-SUMIF('Development Phase'!$E$4:$DU$4,"&lt;="&amp;'Operational Phase'!AE$4,'Development Phase'!$E$8:$DU$8)</f>
        <v>0</v>
      </c>
      <c r="AF6" s="74">
        <f>-SUMIF('Development Phase'!$E$4:$DU$4,"&lt;="&amp;'Operational Phase'!AF$4,'Development Phase'!$E$8:$DU$8)</f>
        <v>0</v>
      </c>
      <c r="AG6" s="74">
        <f>-SUMIF('Development Phase'!$E$4:$DU$4,"&lt;="&amp;'Operational Phase'!AG$4,'Development Phase'!$E$8:$DU$8)</f>
        <v>0</v>
      </c>
      <c r="AH6" s="74">
        <f>-SUMIF('Development Phase'!$E$4:$DU$4,"&lt;="&amp;'Operational Phase'!AH$4,'Development Phase'!$E$8:$DU$8)</f>
        <v>0</v>
      </c>
      <c r="AI6" s="74">
        <f>-SUMIF('Development Phase'!$E$4:$DU$4,"&lt;="&amp;'Operational Phase'!AI$4,'Development Phase'!$E$8:$DU$8)</f>
        <v>0</v>
      </c>
      <c r="AJ6" s="74">
        <f>-SUMIF('Development Phase'!$E$4:$DU$4,"&lt;="&amp;'Operational Phase'!AJ$4,'Development Phase'!$E$8:$DU$8)</f>
        <v>0</v>
      </c>
      <c r="AK6" s="74">
        <f>-SUMIF('Development Phase'!$E$4:$DU$4,"&lt;="&amp;'Operational Phase'!AK$4,'Development Phase'!$E$8:$DU$8)</f>
        <v>0</v>
      </c>
      <c r="AL6" s="74">
        <f>-SUMIF('Development Phase'!$E$4:$DU$4,"&lt;="&amp;'Operational Phase'!AL$4,'Development Phase'!$E$8:$DU$8)</f>
        <v>0</v>
      </c>
      <c r="AM6" s="74">
        <f>-SUMIF('Development Phase'!$E$4:$DU$4,"&lt;="&amp;'Operational Phase'!AM$4,'Development Phase'!$E$8:$DU$8)</f>
        <v>0</v>
      </c>
      <c r="AN6" s="74">
        <f>-SUMIF('Development Phase'!$E$4:$DU$4,"&lt;="&amp;'Operational Phase'!AN$4,'Development Phase'!$E$8:$DU$8)</f>
        <v>0</v>
      </c>
      <c r="AO6" s="74">
        <f>-SUMIF('Development Phase'!$E$4:$DU$4,"&lt;="&amp;'Operational Phase'!AO$4,'Development Phase'!$E$8:$DU$8)</f>
        <v>0</v>
      </c>
      <c r="AP6" s="74">
        <f>-SUMIF('Development Phase'!$E$4:$DU$4,"&lt;="&amp;'Operational Phase'!AP$4,'Development Phase'!$E$8:$DU$8)</f>
        <v>0</v>
      </c>
      <c r="AQ6" s="74">
        <f>-SUMIF('Development Phase'!$E$4:$DU$4,"&lt;="&amp;'Operational Phase'!AQ$4,'Development Phase'!$E$8:$DU$8)</f>
        <v>0</v>
      </c>
      <c r="AR6" s="74">
        <f>-SUMIF('Development Phase'!$E$4:$DU$4,"&lt;="&amp;'Operational Phase'!AR$4,'Development Phase'!$E$8:$DU$8)</f>
        <v>0</v>
      </c>
      <c r="AS6" s="74">
        <f>-SUMIF('Development Phase'!$E$4:$DU$4,"&lt;="&amp;'Operational Phase'!AS$4,'Development Phase'!$E$8:$DU$8)</f>
        <v>0</v>
      </c>
      <c r="AT6" s="74">
        <f>-SUMIF('Development Phase'!$E$4:$DU$4,"&lt;="&amp;'Operational Phase'!AT$4,'Development Phase'!$E$8:$DU$8)</f>
        <v>0</v>
      </c>
      <c r="AU6" s="74">
        <f>-SUMIF('Development Phase'!$E$4:$DU$4,"&lt;="&amp;'Operational Phase'!AU$4,'Development Phase'!$E$8:$DU$8)</f>
        <v>0</v>
      </c>
      <c r="AV6" s="74">
        <f>-SUMIF('Development Phase'!$E$4:$DU$4,"&lt;="&amp;'Operational Phase'!AV$4,'Development Phase'!$E$8:$DU$8)</f>
        <v>0</v>
      </c>
      <c r="AW6" s="74">
        <f>-SUMIF('Development Phase'!$E$4:$DU$4,"&lt;="&amp;'Operational Phase'!AW$4,'Development Phase'!$E$8:$DU$8)</f>
        <v>0</v>
      </c>
      <c r="AX6" s="74">
        <f>-SUMIF('Development Phase'!$E$4:$DU$4,"&lt;="&amp;'Operational Phase'!AX$4,'Development Phase'!$E$8:$DU$8)</f>
        <v>0</v>
      </c>
      <c r="AY6" s="74">
        <f>-SUMIF('Development Phase'!$E$4:$DU$4,"&lt;="&amp;'Operational Phase'!AY$4,'Development Phase'!$E$8:$DU$8)</f>
        <v>0</v>
      </c>
      <c r="AZ6" s="74">
        <f>-SUMIF('Development Phase'!$E$4:$DU$4,"&lt;="&amp;'Operational Phase'!AZ$4,'Development Phase'!$E$8:$DU$8)</f>
        <v>0</v>
      </c>
      <c r="BA6" s="74">
        <f>-SUMIF('Development Phase'!$E$4:$DU$4,"&lt;="&amp;'Operational Phase'!BA$4,'Development Phase'!$E$8:$DU$8)</f>
        <v>0</v>
      </c>
      <c r="BB6" s="74">
        <f>-SUMIF('Development Phase'!$E$4:$DU$4,"&lt;="&amp;'Operational Phase'!BB$4,'Development Phase'!$E$8:$DU$8)</f>
        <v>0</v>
      </c>
      <c r="BC6" s="74">
        <f>-SUMIF('Development Phase'!$E$4:$DU$4,"&lt;="&amp;'Operational Phase'!BC$4,'Development Phase'!$E$8:$DU$8)</f>
        <v>0</v>
      </c>
      <c r="BD6" s="74">
        <f>-SUMIF('Development Phase'!$E$4:$DU$4,"&lt;="&amp;'Operational Phase'!BD$4,'Development Phase'!$E$8:$DU$8)</f>
        <v>58.333333333333343</v>
      </c>
      <c r="BE6" s="74">
        <f>-SUMIF('Development Phase'!$E$4:$DU$4,"&lt;="&amp;'Operational Phase'!BE$4,'Development Phase'!$E$8:$DU$8)</f>
        <v>66.666666666666671</v>
      </c>
      <c r="BF6" s="74">
        <f>-SUMIF('Development Phase'!$E$4:$DU$4,"&lt;="&amp;'Operational Phase'!BF$4,'Development Phase'!$E$8:$DU$8)</f>
        <v>75</v>
      </c>
      <c r="BG6" s="74">
        <f>-SUMIF('Development Phase'!$E$4:$DU$4,"&lt;="&amp;'Operational Phase'!BG$4,'Development Phase'!$E$8:$DU$8)</f>
        <v>83.333333333333329</v>
      </c>
      <c r="BH6" s="74">
        <f>-SUMIF('Development Phase'!$E$4:$DU$4,"&lt;="&amp;'Operational Phase'!BH$4,'Development Phase'!$E$8:$DU$8)</f>
        <v>91.666666666666657</v>
      </c>
      <c r="BI6" s="74">
        <f>-SUMIF('Development Phase'!$E$4:$DU$4,"&lt;="&amp;'Operational Phase'!BI$4,'Development Phase'!$E$8:$DU$8)</f>
        <v>99.999999999999986</v>
      </c>
      <c r="BJ6" s="74">
        <f>-SUMIF('Development Phase'!$E$4:$DU$4,"&lt;="&amp;'Operational Phase'!BJ$4,'Development Phase'!$E$8:$DU$8)</f>
        <v>108.33333333333331</v>
      </c>
      <c r="BK6" s="74">
        <f>-SUMIF('Development Phase'!$E$4:$DU$4,"&lt;="&amp;'Operational Phase'!BK$4,'Development Phase'!$E$8:$DU$8)</f>
        <v>116.66666666666664</v>
      </c>
      <c r="BL6" s="74">
        <f>-SUMIF('Development Phase'!$E$4:$DU$4,"&lt;="&amp;'Operational Phase'!BL$4,'Development Phase'!$E$8:$DU$8)</f>
        <v>124.99999999999997</v>
      </c>
      <c r="BM6" s="74">
        <f>-SUMIF('Development Phase'!$E$4:$DU$4,"&lt;="&amp;'Operational Phase'!BM$4,'Development Phase'!$E$8:$DU$8)</f>
        <v>133.33333333333331</v>
      </c>
      <c r="BN6" s="74">
        <f>-SUMIF('Development Phase'!$E$4:$DU$4,"&lt;="&amp;'Operational Phase'!BN$4,'Development Phase'!$E$8:$DU$8)</f>
        <v>141.66666666666666</v>
      </c>
      <c r="BO6" s="74">
        <f>-SUMIF('Development Phase'!$E$4:$DU$4,"&lt;="&amp;'Operational Phase'!BO$4,'Development Phase'!$E$8:$DU$8)</f>
        <v>150</v>
      </c>
      <c r="BP6" s="74">
        <f>-SUMIF('Development Phase'!$E$4:$DU$4,"&lt;="&amp;'Operational Phase'!BP$4,'Development Phase'!$E$8:$DU$8)</f>
        <v>150</v>
      </c>
      <c r="BQ6" s="74">
        <f>-SUMIF('Development Phase'!$E$4:$DU$4,"&lt;="&amp;'Operational Phase'!BQ$4,'Development Phase'!$E$8:$DU$8)</f>
        <v>150</v>
      </c>
      <c r="BR6" s="74">
        <f>-SUMIF('Development Phase'!$E$4:$DU$4,"&lt;="&amp;'Operational Phase'!BR$4,'Development Phase'!$E$8:$DU$8)</f>
        <v>150</v>
      </c>
      <c r="BS6" s="74">
        <f>-SUMIF('Development Phase'!$E$4:$DU$4,"&lt;="&amp;'Operational Phase'!BS$4,'Development Phase'!$E$8:$DU$8)</f>
        <v>150</v>
      </c>
      <c r="BT6" s="74">
        <f>-SUMIF('Development Phase'!$E$4:$DU$4,"&lt;="&amp;'Operational Phase'!BT$4,'Development Phase'!$E$8:$DU$8)</f>
        <v>150</v>
      </c>
      <c r="BU6" s="74">
        <f>-SUMIF('Development Phase'!$E$4:$DU$4,"&lt;="&amp;'Operational Phase'!BU$4,'Development Phase'!$E$8:$DU$8)</f>
        <v>150</v>
      </c>
      <c r="BV6" s="74">
        <f>-SUMIF('Development Phase'!$E$4:$DU$4,"&lt;="&amp;'Operational Phase'!BV$4,'Development Phase'!$E$8:$DU$8)</f>
        <v>150</v>
      </c>
      <c r="BW6" s="74">
        <f>-SUMIF('Development Phase'!$E$4:$DU$4,"&lt;="&amp;'Operational Phase'!BW$4,'Development Phase'!$E$8:$DU$8)</f>
        <v>150</v>
      </c>
      <c r="BX6" s="74">
        <f>-SUMIF('Development Phase'!$E$4:$DU$4,"&lt;="&amp;'Operational Phase'!BX$4,'Development Phase'!$E$8:$DU$8)</f>
        <v>150</v>
      </c>
      <c r="BY6" s="74">
        <f>-SUMIF('Development Phase'!$E$4:$DU$4,"&lt;="&amp;'Operational Phase'!BY$4,'Development Phase'!$E$8:$DU$8)</f>
        <v>150</v>
      </c>
      <c r="BZ6" s="74">
        <f>-SUMIF('Development Phase'!$E$4:$DU$4,"&lt;="&amp;'Operational Phase'!BZ$4,'Development Phase'!$E$8:$DU$8)</f>
        <v>150</v>
      </c>
      <c r="CA6" s="74">
        <f>-SUMIF('Development Phase'!$E$4:$DU$4,"&lt;="&amp;'Operational Phase'!CA$4,'Development Phase'!$E$8:$DU$8)</f>
        <v>150</v>
      </c>
      <c r="CB6" s="74">
        <f>-SUMIF('Development Phase'!$E$4:$DU$4,"&lt;="&amp;'Operational Phase'!CB$4,'Development Phase'!$E$8:$DU$8)</f>
        <v>150</v>
      </c>
      <c r="CC6" s="74">
        <f>-SUMIF('Development Phase'!$E$4:$DU$4,"&lt;="&amp;'Operational Phase'!CC$4,'Development Phase'!$E$8:$DU$8)</f>
        <v>150</v>
      </c>
      <c r="CD6" s="74">
        <f>-SUMIF('Development Phase'!$E$4:$DU$4,"&lt;="&amp;'Operational Phase'!CD$4,'Development Phase'!$E$8:$DU$8)</f>
        <v>150</v>
      </c>
      <c r="CE6" s="74">
        <f>-SUMIF('Development Phase'!$E$4:$DU$4,"&lt;="&amp;'Operational Phase'!CE$4,'Development Phase'!$E$8:$DU$8)</f>
        <v>150</v>
      </c>
      <c r="CF6" s="74">
        <f>-SUMIF('Development Phase'!$E$4:$DU$4,"&lt;="&amp;'Operational Phase'!CF$4,'Development Phase'!$E$8:$DU$8)</f>
        <v>150</v>
      </c>
      <c r="CG6" s="74">
        <f>-SUMIF('Development Phase'!$E$4:$DU$4,"&lt;="&amp;'Operational Phase'!CG$4,'Development Phase'!$E$8:$DU$8)</f>
        <v>150</v>
      </c>
      <c r="CH6" s="74">
        <f>-SUMIF('Development Phase'!$E$4:$DU$4,"&lt;="&amp;'Operational Phase'!CH$4,'Development Phase'!$E$8:$DU$8)</f>
        <v>150</v>
      </c>
      <c r="CI6" s="74">
        <f>-SUMIF('Development Phase'!$E$4:$DU$4,"&lt;="&amp;'Operational Phase'!CI$4,'Development Phase'!$E$8:$DU$8)</f>
        <v>150</v>
      </c>
      <c r="CJ6" s="74">
        <f>-SUMIF('Development Phase'!$E$4:$DU$4,"&lt;="&amp;'Operational Phase'!CJ$4,'Development Phase'!$E$8:$DU$8)</f>
        <v>150</v>
      </c>
      <c r="CK6" s="74">
        <f>-SUMIF('Development Phase'!$E$4:$DU$4,"&lt;="&amp;'Operational Phase'!CK$4,'Development Phase'!$E$8:$DU$8)</f>
        <v>150</v>
      </c>
      <c r="CL6" s="74">
        <f>-SUMIF('Development Phase'!$E$4:$DU$4,"&lt;="&amp;'Operational Phase'!CL$4,'Development Phase'!$E$8:$DU$8)</f>
        <v>150</v>
      </c>
      <c r="CM6" s="74">
        <f>-SUMIF('Development Phase'!$E$4:$DU$4,"&lt;="&amp;'Operational Phase'!CM$4,'Development Phase'!$E$8:$DU$8)</f>
        <v>150</v>
      </c>
      <c r="CN6" s="74">
        <f>-SUMIF('Development Phase'!$E$4:$DU$4,"&lt;="&amp;'Operational Phase'!CN$4,'Development Phase'!$E$8:$DU$8)</f>
        <v>150</v>
      </c>
      <c r="CO6" s="74">
        <f>-SUMIF('Development Phase'!$E$4:$DU$4,"&lt;="&amp;'Operational Phase'!CO$4,'Development Phase'!$E$8:$DU$8)</f>
        <v>150</v>
      </c>
      <c r="CP6" s="74">
        <f>-SUMIF('Development Phase'!$E$4:$DU$4,"&lt;="&amp;'Operational Phase'!CP$4,'Development Phase'!$E$8:$DU$8)</f>
        <v>150</v>
      </c>
      <c r="CQ6" s="74">
        <f>-SUMIF('Development Phase'!$E$4:$DU$4,"&lt;="&amp;'Operational Phase'!CQ$4,'Development Phase'!$E$8:$DU$8)</f>
        <v>150</v>
      </c>
      <c r="CR6" s="74">
        <f>-SUMIF('Development Phase'!$E$4:$DU$4,"&lt;="&amp;'Operational Phase'!CR$4,'Development Phase'!$E$8:$DU$8)</f>
        <v>150</v>
      </c>
      <c r="CS6" s="74">
        <f>-SUMIF('Development Phase'!$E$4:$DU$4,"&lt;="&amp;'Operational Phase'!CS$4,'Development Phase'!$E$8:$DU$8)</f>
        <v>150</v>
      </c>
      <c r="CT6" s="74">
        <f>-SUMIF('Development Phase'!$E$4:$DU$4,"&lt;="&amp;'Operational Phase'!CT$4,'Development Phase'!$E$8:$DU$8)</f>
        <v>150</v>
      </c>
      <c r="CU6" s="74">
        <f>-SUMIF('Development Phase'!$E$4:$DU$4,"&lt;="&amp;'Operational Phase'!CU$4,'Development Phase'!$E$8:$DU$8)</f>
        <v>150</v>
      </c>
      <c r="CV6" s="74">
        <f>-SUMIF('Development Phase'!$E$4:$DU$4,"&lt;="&amp;'Operational Phase'!CV$4,'Development Phase'!$E$8:$DU$8)</f>
        <v>150</v>
      </c>
      <c r="CW6" s="74">
        <f>-SUMIF('Development Phase'!$E$4:$DU$4,"&lt;="&amp;'Operational Phase'!CW$4,'Development Phase'!$E$8:$DU$8)</f>
        <v>150</v>
      </c>
      <c r="CX6" s="74">
        <f>-SUMIF('Development Phase'!$E$4:$DU$4,"&lt;="&amp;'Operational Phase'!CX$4,'Development Phase'!$E$8:$DU$8)</f>
        <v>150</v>
      </c>
      <c r="CY6" s="74">
        <f>-SUMIF('Development Phase'!$E$4:$DU$4,"&lt;="&amp;'Operational Phase'!CY$4,'Development Phase'!$E$8:$DU$8)</f>
        <v>150</v>
      </c>
      <c r="CZ6" s="74">
        <f>-SUMIF('Development Phase'!$E$4:$DU$4,"&lt;="&amp;'Operational Phase'!CZ$4,'Development Phase'!$E$8:$DU$8)</f>
        <v>150</v>
      </c>
      <c r="DA6" s="74">
        <f>-SUMIF('Development Phase'!$E$4:$DU$4,"&lt;="&amp;'Operational Phase'!DA$4,'Development Phase'!$E$8:$DU$8)</f>
        <v>150</v>
      </c>
      <c r="DB6" s="74">
        <f>-SUMIF('Development Phase'!$E$4:$DU$4,"&lt;="&amp;'Operational Phase'!DB$4,'Development Phase'!$E$8:$DU$8)</f>
        <v>150</v>
      </c>
      <c r="DC6" s="74">
        <f>-SUMIF('Development Phase'!$E$4:$DU$4,"&lt;="&amp;'Operational Phase'!DC$4,'Development Phase'!$E$8:$DU$8)</f>
        <v>150</v>
      </c>
      <c r="DD6" s="74">
        <f>-SUMIF('Development Phase'!$E$4:$DU$4,"&lt;="&amp;'Operational Phase'!DD$4,'Development Phase'!$E$8:$DU$8)</f>
        <v>150</v>
      </c>
      <c r="DE6" s="74">
        <f>-SUMIF('Development Phase'!$E$4:$DU$4,"&lt;="&amp;'Operational Phase'!DE$4,'Development Phase'!$E$8:$DU$8)</f>
        <v>150</v>
      </c>
      <c r="DF6" s="74">
        <f>-SUMIF('Development Phase'!$E$4:$DU$4,"&lt;="&amp;'Operational Phase'!DF$4,'Development Phase'!$E$8:$DU$8)</f>
        <v>150</v>
      </c>
      <c r="DG6" s="74">
        <f>-SUMIF('Development Phase'!$E$4:$DU$4,"&lt;="&amp;'Operational Phase'!DG$4,'Development Phase'!$E$8:$DU$8)</f>
        <v>150</v>
      </c>
      <c r="DH6" s="74">
        <f>-SUMIF('Development Phase'!$E$4:$DU$4,"&lt;="&amp;'Operational Phase'!DH$4,'Development Phase'!$E$8:$DU$8)</f>
        <v>150</v>
      </c>
      <c r="DI6" s="74">
        <f>-SUMIF('Development Phase'!$E$4:$DU$4,"&lt;="&amp;'Operational Phase'!DI$4,'Development Phase'!$E$8:$DU$8)</f>
        <v>150</v>
      </c>
      <c r="DJ6" s="74">
        <f>-SUMIF('Development Phase'!$E$4:$DU$4,"&lt;="&amp;'Operational Phase'!DJ$4,'Development Phase'!$E$8:$DU$8)</f>
        <v>150</v>
      </c>
      <c r="DK6" s="74">
        <f>-SUMIF('Development Phase'!$E$4:$DU$4,"&lt;="&amp;'Operational Phase'!DK$4,'Development Phase'!$E$8:$DU$8)</f>
        <v>150</v>
      </c>
      <c r="DL6" s="74">
        <f>-SUMIF('Development Phase'!$E$4:$DU$4,"&lt;="&amp;'Operational Phase'!DL$4,'Development Phase'!$E$8:$DU$8)</f>
        <v>150</v>
      </c>
      <c r="DM6" s="74">
        <f>-SUMIF('Development Phase'!$E$4:$DU$4,"&lt;="&amp;'Operational Phase'!DM$4,'Development Phase'!$E$8:$DU$8)</f>
        <v>150</v>
      </c>
      <c r="DN6" s="74">
        <f>-SUMIF('Development Phase'!$E$4:$DU$4,"&lt;="&amp;'Operational Phase'!DN$4,'Development Phase'!$E$8:$DU$8)</f>
        <v>150</v>
      </c>
      <c r="DO6" s="74">
        <f>-SUMIF('Development Phase'!$E$4:$DU$4,"&lt;="&amp;'Operational Phase'!DO$4,'Development Phase'!$E$8:$DU$8)</f>
        <v>150</v>
      </c>
      <c r="DP6" s="74">
        <f>-SUMIF('Development Phase'!$E$4:$DU$4,"&lt;="&amp;'Operational Phase'!DP$4,'Development Phase'!$E$8:$DU$8)</f>
        <v>150</v>
      </c>
      <c r="DQ6" s="74">
        <f>-SUMIF('Development Phase'!$E$4:$DU$4,"&lt;="&amp;'Operational Phase'!DQ$4,'Development Phase'!$E$8:$DU$8)</f>
        <v>150</v>
      </c>
      <c r="DR6" s="74">
        <f>-SUMIF('Development Phase'!$E$4:$DU$4,"&lt;="&amp;'Operational Phase'!DR$4,'Development Phase'!$E$8:$DU$8)</f>
        <v>150</v>
      </c>
      <c r="DS6" s="74">
        <f>-SUMIF('Development Phase'!$E$4:$DU$4,"&lt;="&amp;'Operational Phase'!DS$4,'Development Phase'!$E$8:$DU$8)</f>
        <v>150</v>
      </c>
      <c r="DT6" s="74">
        <f>-SUMIF('Development Phase'!$E$4:$DU$4,"&lt;="&amp;'Operational Phase'!DT$4,'Development Phase'!$E$8:$DU$8)</f>
        <v>150</v>
      </c>
      <c r="DU6" s="74">
        <f>-SUMIF('Development Phase'!$E$4:$DU$4,"&lt;="&amp;'Operational Phase'!DU$4,'Development Phase'!$E$8:$DU$8)</f>
        <v>150</v>
      </c>
    </row>
    <row r="7" spans="3:125" s="3" customFormat="1" ht="22.95" customHeight="1">
      <c r="D7" s="25"/>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row>
    <row r="8" spans="3:125" s="3" customFormat="1" ht="22.95" customHeight="1">
      <c r="C8" s="3" t="s">
        <v>289</v>
      </c>
      <c r="D8" s="25">
        <f>SUM(E8:DU8)</f>
        <v>1267500</v>
      </c>
      <c r="E8" s="21">
        <f>IF(AND(E$4&gt;='Single Project Assumptions'!$P$53,'Operational Phase'!E$4&lt;'Single Project Assumptions'!$P$54),'Single Project Assumptions'!$P$49*'Operational Phase'!E$6,0)</f>
        <v>0</v>
      </c>
      <c r="F8" s="21">
        <f>IF(AND(F$4&gt;='Single Project Assumptions'!$P$53,'Operational Phase'!F$4&lt;'Single Project Assumptions'!$P$54),'Single Project Assumptions'!$P$49*'Operational Phase'!F$6,0)</f>
        <v>0</v>
      </c>
      <c r="G8" s="21">
        <f>IF(AND(G$4&gt;='Single Project Assumptions'!$P$53,'Operational Phase'!G$4&lt;'Single Project Assumptions'!$P$54),'Single Project Assumptions'!$P$49*'Operational Phase'!G$6,0)</f>
        <v>0</v>
      </c>
      <c r="H8" s="21">
        <f>IF(AND(H$4&gt;='Single Project Assumptions'!$P$53,'Operational Phase'!H$4&lt;'Single Project Assumptions'!$P$54),'Single Project Assumptions'!$P$49*'Operational Phase'!H$6,0)</f>
        <v>0</v>
      </c>
      <c r="I8" s="21">
        <f>IF(AND(I$4&gt;='Single Project Assumptions'!$P$53,'Operational Phase'!I$4&lt;'Single Project Assumptions'!$P$54),'Single Project Assumptions'!$P$49*'Operational Phase'!I$6,0)</f>
        <v>0</v>
      </c>
      <c r="J8" s="21">
        <f>IF(AND(J$4&gt;='Single Project Assumptions'!$P$53,'Operational Phase'!J$4&lt;'Single Project Assumptions'!$P$54),'Single Project Assumptions'!$P$49*'Operational Phase'!J$6,0)</f>
        <v>0</v>
      </c>
      <c r="K8" s="21">
        <f>IF(AND(K$4&gt;='Single Project Assumptions'!$P$53,'Operational Phase'!K$4&lt;'Single Project Assumptions'!$P$54),'Single Project Assumptions'!$P$49*'Operational Phase'!K$6,0)</f>
        <v>0</v>
      </c>
      <c r="L8" s="21">
        <f>IF(AND(L$4&gt;='Single Project Assumptions'!$P$53,'Operational Phase'!L$4&lt;'Single Project Assumptions'!$P$54),'Single Project Assumptions'!$P$49*'Operational Phase'!L$6,0)</f>
        <v>0</v>
      </c>
      <c r="M8" s="21">
        <f>IF(AND(M$4&gt;='Single Project Assumptions'!$P$53,'Operational Phase'!M$4&lt;'Single Project Assumptions'!$P$54),'Single Project Assumptions'!$P$49*'Operational Phase'!M$6,0)</f>
        <v>0</v>
      </c>
      <c r="N8" s="21">
        <f>IF(AND(N$4&gt;='Single Project Assumptions'!$P$53,'Operational Phase'!N$4&lt;'Single Project Assumptions'!$P$54),'Single Project Assumptions'!$P$49*'Operational Phase'!N$6,0)</f>
        <v>0</v>
      </c>
      <c r="O8" s="21">
        <f>IF(AND(O$4&gt;='Single Project Assumptions'!$P$53,'Operational Phase'!O$4&lt;'Single Project Assumptions'!$P$54),'Single Project Assumptions'!$P$49*'Operational Phase'!O$6,0)</f>
        <v>0</v>
      </c>
      <c r="P8" s="21">
        <f>IF(AND(P$4&gt;='Single Project Assumptions'!$P$53,'Operational Phase'!P$4&lt;'Single Project Assumptions'!$P$54),'Single Project Assumptions'!$P$49*'Operational Phase'!P$6,0)</f>
        <v>0</v>
      </c>
      <c r="Q8" s="21">
        <f>IF(AND(Q$4&gt;='Single Project Assumptions'!$P$53,'Operational Phase'!Q$4&lt;'Single Project Assumptions'!$P$54),'Single Project Assumptions'!$P$49*'Operational Phase'!Q$6,0)</f>
        <v>0</v>
      </c>
      <c r="R8" s="21">
        <f>IF(AND(R$4&gt;='Single Project Assumptions'!$P$53,'Operational Phase'!R$4&lt;'Single Project Assumptions'!$P$54),'Single Project Assumptions'!$P$49*'Operational Phase'!R$6,0)</f>
        <v>0</v>
      </c>
      <c r="S8" s="21">
        <f>IF(AND(S$4&gt;='Single Project Assumptions'!$P$53,'Operational Phase'!S$4&lt;'Single Project Assumptions'!$P$54),'Single Project Assumptions'!$P$49*'Operational Phase'!S$6,0)</f>
        <v>0</v>
      </c>
      <c r="T8" s="21">
        <f>IF(AND(T$4&gt;='Single Project Assumptions'!$P$53,'Operational Phase'!T$4&lt;'Single Project Assumptions'!$P$54),'Single Project Assumptions'!$P$49*'Operational Phase'!T$6,0)</f>
        <v>0</v>
      </c>
      <c r="U8" s="21">
        <f>IF(AND(U$4&gt;='Single Project Assumptions'!$P$53,'Operational Phase'!U$4&lt;'Single Project Assumptions'!$P$54),'Single Project Assumptions'!$P$49*'Operational Phase'!U$6,0)</f>
        <v>0</v>
      </c>
      <c r="V8" s="21">
        <f>IF(AND(V$4&gt;='Single Project Assumptions'!$P$53,'Operational Phase'!V$4&lt;'Single Project Assumptions'!$P$54),'Single Project Assumptions'!$P$49*'Operational Phase'!V$6,0)</f>
        <v>0</v>
      </c>
      <c r="W8" s="21">
        <f>IF(AND(W$4&gt;='Single Project Assumptions'!$P$53,'Operational Phase'!W$4&lt;'Single Project Assumptions'!$P$54),'Single Project Assumptions'!$P$49*'Operational Phase'!W$6,0)</f>
        <v>0</v>
      </c>
      <c r="X8" s="21">
        <f>IF(AND(X$4&gt;='Single Project Assumptions'!$P$53,'Operational Phase'!X$4&lt;'Single Project Assumptions'!$P$54),'Single Project Assumptions'!$P$49*'Operational Phase'!X$6,0)</f>
        <v>0</v>
      </c>
      <c r="Y8" s="21">
        <f>IF(AND(Y$4&gt;='Single Project Assumptions'!$P$53,'Operational Phase'!Y$4&lt;'Single Project Assumptions'!$P$54),'Single Project Assumptions'!$P$49*'Operational Phase'!Y$6,0)</f>
        <v>0</v>
      </c>
      <c r="Z8" s="21">
        <f>IF(AND(Z$4&gt;='Single Project Assumptions'!$P$53,'Operational Phase'!Z$4&lt;'Single Project Assumptions'!$P$54),'Single Project Assumptions'!$P$49*'Operational Phase'!Z$6,0)</f>
        <v>0</v>
      </c>
      <c r="AA8" s="21">
        <f>IF(AND(AA$4&gt;='Single Project Assumptions'!$P$53,'Operational Phase'!AA$4&lt;'Single Project Assumptions'!$P$54),'Single Project Assumptions'!$P$49*'Operational Phase'!AA$6,0)</f>
        <v>0</v>
      </c>
      <c r="AB8" s="21">
        <f>IF(AND(AB$4&gt;='Single Project Assumptions'!$P$53,'Operational Phase'!AB$4&lt;'Single Project Assumptions'!$P$54),'Single Project Assumptions'!$P$49*'Operational Phase'!AB$6,0)</f>
        <v>0</v>
      </c>
      <c r="AC8" s="21">
        <f>IF(AND(AC$4&gt;='Single Project Assumptions'!$P$53,'Operational Phase'!AC$4&lt;'Single Project Assumptions'!$P$54),'Single Project Assumptions'!$P$49*'Operational Phase'!AC$6,0)</f>
        <v>0</v>
      </c>
      <c r="AD8" s="21">
        <f>IF(AND(AD$4&gt;='Single Project Assumptions'!$P$53,'Operational Phase'!AD$4&lt;'Single Project Assumptions'!$P$54),'Single Project Assumptions'!$P$49*'Operational Phase'!AD$6,0)</f>
        <v>0</v>
      </c>
      <c r="AE8" s="21">
        <f>IF(AND(AE$4&gt;='Single Project Assumptions'!$P$53,'Operational Phase'!AE$4&lt;'Single Project Assumptions'!$P$54),'Single Project Assumptions'!$P$49*'Operational Phase'!AE$6,0)</f>
        <v>0</v>
      </c>
      <c r="AF8" s="21">
        <f>IF(AND(AF$4&gt;='Single Project Assumptions'!$P$53,'Operational Phase'!AF$4&lt;'Single Project Assumptions'!$P$54),'Single Project Assumptions'!$P$49*'Operational Phase'!AF$6,0)</f>
        <v>0</v>
      </c>
      <c r="AG8" s="21">
        <f>IF(AND(AG$4&gt;='Single Project Assumptions'!$P$53,'Operational Phase'!AG$4&lt;'Single Project Assumptions'!$P$54),'Single Project Assumptions'!$P$49*'Operational Phase'!AG$6,0)</f>
        <v>0</v>
      </c>
      <c r="AH8" s="21">
        <f>IF(AND(AH$4&gt;='Single Project Assumptions'!$P$53,'Operational Phase'!AH$4&lt;'Single Project Assumptions'!$P$54),'Single Project Assumptions'!$P$49*'Operational Phase'!AH$6,0)</f>
        <v>0</v>
      </c>
      <c r="AI8" s="21">
        <f>IF(AND(AI$4&gt;='Single Project Assumptions'!$P$53,'Operational Phase'!AI$4&lt;'Single Project Assumptions'!$P$54),'Single Project Assumptions'!$P$49*'Operational Phase'!AI$6,0)</f>
        <v>0</v>
      </c>
      <c r="AJ8" s="21">
        <f>IF(AND(AJ$4&gt;='Single Project Assumptions'!$P$53,'Operational Phase'!AJ$4&lt;'Single Project Assumptions'!$P$54),'Single Project Assumptions'!$P$49*'Operational Phase'!AJ$6,0)</f>
        <v>0</v>
      </c>
      <c r="AK8" s="21">
        <f>IF(AND(AK$4&gt;='Single Project Assumptions'!$P$53,'Operational Phase'!AK$4&lt;'Single Project Assumptions'!$P$54),'Single Project Assumptions'!$P$49*'Operational Phase'!AK$6,0)</f>
        <v>0</v>
      </c>
      <c r="AL8" s="21">
        <f>IF(AND(AL$4&gt;='Single Project Assumptions'!$P$53,'Operational Phase'!AL$4&lt;'Single Project Assumptions'!$P$54),'Single Project Assumptions'!$P$49*'Operational Phase'!AL$6,0)</f>
        <v>0</v>
      </c>
      <c r="AM8" s="21">
        <f>IF(AND(AM$4&gt;='Single Project Assumptions'!$P$53,'Operational Phase'!AM$4&lt;'Single Project Assumptions'!$P$54),'Single Project Assumptions'!$P$49*'Operational Phase'!AM$6,0)</f>
        <v>0</v>
      </c>
      <c r="AN8" s="21">
        <f>IF(AND(AN$4&gt;='Single Project Assumptions'!$P$53,'Operational Phase'!AN$4&lt;'Single Project Assumptions'!$P$54),'Single Project Assumptions'!$P$49*'Operational Phase'!AN$6,0)</f>
        <v>0</v>
      </c>
      <c r="AO8" s="21">
        <f>IF(AND(AO$4&gt;='Single Project Assumptions'!$P$53,'Operational Phase'!AO$4&lt;'Single Project Assumptions'!$P$54),'Single Project Assumptions'!$P$49*'Operational Phase'!AO$6,0)</f>
        <v>0</v>
      </c>
      <c r="AP8" s="21">
        <f>IF(AND(AP$4&gt;='Single Project Assumptions'!$P$53,'Operational Phase'!AP$4&lt;'Single Project Assumptions'!$P$54),'Single Project Assumptions'!$P$49*'Operational Phase'!AP$6,0)</f>
        <v>0</v>
      </c>
      <c r="AQ8" s="21">
        <f>IF(AND(AQ$4&gt;='Single Project Assumptions'!$P$53,'Operational Phase'!AQ$4&lt;'Single Project Assumptions'!$P$54),'Single Project Assumptions'!$P$49*'Operational Phase'!AQ$6,0)</f>
        <v>0</v>
      </c>
      <c r="AR8" s="21">
        <f>IF(AND(AR$4&gt;='Single Project Assumptions'!$P$53,'Operational Phase'!AR$4&lt;'Single Project Assumptions'!$P$54),'Single Project Assumptions'!$P$49*'Operational Phase'!AR$6,0)</f>
        <v>0</v>
      </c>
      <c r="AS8" s="21">
        <f>IF(AND(AS$4&gt;='Single Project Assumptions'!$P$53,'Operational Phase'!AS$4&lt;'Single Project Assumptions'!$P$54),'Single Project Assumptions'!$P$49*'Operational Phase'!AS$6,0)</f>
        <v>0</v>
      </c>
      <c r="AT8" s="21">
        <f>IF(AND(AT$4&gt;='Single Project Assumptions'!$P$53,'Operational Phase'!AT$4&lt;'Single Project Assumptions'!$P$54),'Single Project Assumptions'!$P$49*'Operational Phase'!AT$6,0)</f>
        <v>0</v>
      </c>
      <c r="AU8" s="21">
        <f>IF(AND(AU$4&gt;='Single Project Assumptions'!$P$53,'Operational Phase'!AU$4&lt;'Single Project Assumptions'!$P$54),'Single Project Assumptions'!$P$49*'Operational Phase'!AU$6,0)</f>
        <v>0</v>
      </c>
      <c r="AV8" s="21">
        <f>IF(AND(AV$4&gt;='Single Project Assumptions'!$P$53,'Operational Phase'!AV$4&lt;'Single Project Assumptions'!$P$54),'Single Project Assumptions'!$P$49*'Operational Phase'!AV$6,0)</f>
        <v>0</v>
      </c>
      <c r="AW8" s="21">
        <f>IF(AND(AW$4&gt;='Single Project Assumptions'!$P$53,'Operational Phase'!AW$4&lt;'Single Project Assumptions'!$P$54),'Single Project Assumptions'!$P$49*'Operational Phase'!AW$6,0)</f>
        <v>0</v>
      </c>
      <c r="AX8" s="21">
        <f>IF(AND(AX$4&gt;='Single Project Assumptions'!$P$53,'Operational Phase'!AX$4&lt;'Single Project Assumptions'!$P$54),'Single Project Assumptions'!$P$49*'Operational Phase'!AX$6,0)</f>
        <v>0</v>
      </c>
      <c r="AY8" s="21">
        <f>IF(AND(AY$4&gt;='Single Project Assumptions'!$P$53,'Operational Phase'!AY$4&lt;'Single Project Assumptions'!$P$54),'Single Project Assumptions'!$P$49*'Operational Phase'!AY$6,0)</f>
        <v>0</v>
      </c>
      <c r="AZ8" s="21">
        <f>IF(AND(AZ$4&gt;='Single Project Assumptions'!$P$53,'Operational Phase'!AZ$4&lt;'Single Project Assumptions'!$P$54),'Single Project Assumptions'!$P$49*'Operational Phase'!AZ$6,0)</f>
        <v>0</v>
      </c>
      <c r="BA8" s="21">
        <f>IF(AND(BA$4&gt;='Single Project Assumptions'!$P$53,'Operational Phase'!BA$4&lt;'Single Project Assumptions'!$P$54),'Single Project Assumptions'!$P$49*'Operational Phase'!BA$6,0)</f>
        <v>0</v>
      </c>
      <c r="BB8" s="21">
        <f>IF(AND(BB$4&gt;='Single Project Assumptions'!$P$53,'Operational Phase'!BB$4&lt;'Single Project Assumptions'!$P$54),'Single Project Assumptions'!$P$49*'Operational Phase'!BB$6,0)</f>
        <v>0</v>
      </c>
      <c r="BC8" s="21">
        <f>IF(AND(BC$4&gt;='Single Project Assumptions'!$P$53,'Operational Phase'!BC$4&lt;'Single Project Assumptions'!$P$54),'Single Project Assumptions'!$P$49*'Operational Phase'!BC$6,0)</f>
        <v>0</v>
      </c>
      <c r="BD8" s="21">
        <f>IF(AND(BD$4&gt;='Single Project Assumptions'!$P$53,'Operational Phase'!BD$4&lt;'Single Project Assumptions'!$P$54),'Single Project Assumptions'!$P$49*'Operational Phase'!BD$6,0)</f>
        <v>8750.0000000000018</v>
      </c>
      <c r="BE8" s="21">
        <f>IF(AND(BE$4&gt;='Single Project Assumptions'!$P$53,'Operational Phase'!BE$4&lt;'Single Project Assumptions'!$P$54),'Single Project Assumptions'!$P$49*'Operational Phase'!BE$6,0)</f>
        <v>10000</v>
      </c>
      <c r="BF8" s="21">
        <f>IF(AND(BF$4&gt;='Single Project Assumptions'!$P$53,'Operational Phase'!BF$4&lt;'Single Project Assumptions'!$P$54),'Single Project Assumptions'!$P$49*'Operational Phase'!BF$6,0)</f>
        <v>11250</v>
      </c>
      <c r="BG8" s="21">
        <f>IF(AND(BG$4&gt;='Single Project Assumptions'!$P$53,'Operational Phase'!BG$4&lt;'Single Project Assumptions'!$P$54),'Single Project Assumptions'!$P$49*'Operational Phase'!BG$6,0)</f>
        <v>12500</v>
      </c>
      <c r="BH8" s="21">
        <f>IF(AND(BH$4&gt;='Single Project Assumptions'!$P$53,'Operational Phase'!BH$4&lt;'Single Project Assumptions'!$P$54),'Single Project Assumptions'!$P$49*'Operational Phase'!BH$6,0)</f>
        <v>13749.999999999998</v>
      </c>
      <c r="BI8" s="21">
        <f>IF(AND(BI$4&gt;='Single Project Assumptions'!$P$53,'Operational Phase'!BI$4&lt;'Single Project Assumptions'!$P$54),'Single Project Assumptions'!$P$49*'Operational Phase'!BI$6,0)</f>
        <v>14999.999999999998</v>
      </c>
      <c r="BJ8" s="21">
        <f>IF(AND(BJ$4&gt;='Single Project Assumptions'!$P$53,'Operational Phase'!BJ$4&lt;'Single Project Assumptions'!$P$54),'Single Project Assumptions'!$P$49*'Operational Phase'!BJ$6,0)</f>
        <v>16249.999999999996</v>
      </c>
      <c r="BK8" s="21">
        <f>IF(AND(BK$4&gt;='Single Project Assumptions'!$P$53,'Operational Phase'!BK$4&lt;'Single Project Assumptions'!$P$54),'Single Project Assumptions'!$P$49*'Operational Phase'!BK$6,0)</f>
        <v>17499.999999999996</v>
      </c>
      <c r="BL8" s="21">
        <f>IF(AND(BL$4&gt;='Single Project Assumptions'!$P$53,'Operational Phase'!BL$4&lt;'Single Project Assumptions'!$P$54),'Single Project Assumptions'!$P$49*'Operational Phase'!BL$6,0)</f>
        <v>18749.999999999996</v>
      </c>
      <c r="BM8" s="21">
        <f>IF(AND(BM$4&gt;='Single Project Assumptions'!$P$53,'Operational Phase'!BM$4&lt;'Single Project Assumptions'!$P$54),'Single Project Assumptions'!$P$49*'Operational Phase'!BM$6,0)</f>
        <v>19999.999999999996</v>
      </c>
      <c r="BN8" s="21">
        <f>IF(AND(BN$4&gt;='Single Project Assumptions'!$P$53,'Operational Phase'!BN$4&lt;'Single Project Assumptions'!$P$54),'Single Project Assumptions'!$P$49*'Operational Phase'!BN$6,0)</f>
        <v>21250</v>
      </c>
      <c r="BO8" s="21">
        <f>IF(AND(BO$4&gt;='Single Project Assumptions'!$P$53,'Operational Phase'!BO$4&lt;'Single Project Assumptions'!$P$54),'Single Project Assumptions'!$P$49*'Operational Phase'!BO$6,0)</f>
        <v>22500</v>
      </c>
      <c r="BP8" s="21">
        <f>IF(AND(BP$4&gt;='Single Project Assumptions'!$P$53,'Operational Phase'!BP$4&lt;'Single Project Assumptions'!$P$54),'Single Project Assumptions'!$P$49*'Operational Phase'!BP$6,0)</f>
        <v>22500</v>
      </c>
      <c r="BQ8" s="21">
        <f>IF(AND(BQ$4&gt;='Single Project Assumptions'!$P$53,'Operational Phase'!BQ$4&lt;'Single Project Assumptions'!$P$54),'Single Project Assumptions'!$P$49*'Operational Phase'!BQ$6,0)</f>
        <v>22500</v>
      </c>
      <c r="BR8" s="21">
        <f>IF(AND(BR$4&gt;='Single Project Assumptions'!$P$53,'Operational Phase'!BR$4&lt;'Single Project Assumptions'!$P$54),'Single Project Assumptions'!$P$49*'Operational Phase'!BR$6,0)</f>
        <v>22500</v>
      </c>
      <c r="BS8" s="21">
        <f>IF(AND(BS$4&gt;='Single Project Assumptions'!$P$53,'Operational Phase'!BS$4&lt;'Single Project Assumptions'!$P$54),'Single Project Assumptions'!$P$49*'Operational Phase'!BS$6,0)</f>
        <v>22500</v>
      </c>
      <c r="BT8" s="21">
        <f>IF(AND(BT$4&gt;='Single Project Assumptions'!$P$53,'Operational Phase'!BT$4&lt;'Single Project Assumptions'!$P$54),'Single Project Assumptions'!$P$49*'Operational Phase'!BT$6,0)</f>
        <v>22500</v>
      </c>
      <c r="BU8" s="21">
        <f>IF(AND(BU$4&gt;='Single Project Assumptions'!$P$53,'Operational Phase'!BU$4&lt;'Single Project Assumptions'!$P$54),'Single Project Assumptions'!$P$49*'Operational Phase'!BU$6,0)</f>
        <v>22500</v>
      </c>
      <c r="BV8" s="21">
        <f>IF(AND(BV$4&gt;='Single Project Assumptions'!$P$53,'Operational Phase'!BV$4&lt;'Single Project Assumptions'!$P$54),'Single Project Assumptions'!$P$49*'Operational Phase'!BV$6,0)</f>
        <v>22500</v>
      </c>
      <c r="BW8" s="21">
        <f>IF(AND(BW$4&gt;='Single Project Assumptions'!$P$53,'Operational Phase'!BW$4&lt;'Single Project Assumptions'!$P$54),'Single Project Assumptions'!$P$49*'Operational Phase'!BW$6,0)</f>
        <v>22500</v>
      </c>
      <c r="BX8" s="21">
        <f>IF(AND(BX$4&gt;='Single Project Assumptions'!$P$53,'Operational Phase'!BX$4&lt;'Single Project Assumptions'!$P$54),'Single Project Assumptions'!$P$49*'Operational Phase'!BX$6,0)</f>
        <v>22500</v>
      </c>
      <c r="BY8" s="21">
        <f>IF(AND(BY$4&gt;='Single Project Assumptions'!$P$53,'Operational Phase'!BY$4&lt;'Single Project Assumptions'!$P$54),'Single Project Assumptions'!$P$49*'Operational Phase'!BY$6,0)</f>
        <v>22500</v>
      </c>
      <c r="BZ8" s="21">
        <f>IF(AND(BZ$4&gt;='Single Project Assumptions'!$P$53,'Operational Phase'!BZ$4&lt;'Single Project Assumptions'!$P$54),'Single Project Assumptions'!$P$49*'Operational Phase'!BZ$6,0)</f>
        <v>22500</v>
      </c>
      <c r="CA8" s="21">
        <f>IF(AND(CA$4&gt;='Single Project Assumptions'!$P$53,'Operational Phase'!CA$4&lt;'Single Project Assumptions'!$P$54),'Single Project Assumptions'!$P$49*'Operational Phase'!CA$6,0)</f>
        <v>22500</v>
      </c>
      <c r="CB8" s="21">
        <f>IF(AND(CB$4&gt;='Single Project Assumptions'!$P$53,'Operational Phase'!CB$4&lt;'Single Project Assumptions'!$P$54),'Single Project Assumptions'!$P$49*'Operational Phase'!CB$6,0)</f>
        <v>22500</v>
      </c>
      <c r="CC8" s="21">
        <f>IF(AND(CC$4&gt;='Single Project Assumptions'!$P$53,'Operational Phase'!CC$4&lt;'Single Project Assumptions'!$P$54),'Single Project Assumptions'!$P$49*'Operational Phase'!CC$6,0)</f>
        <v>22500</v>
      </c>
      <c r="CD8" s="21">
        <f>IF(AND(CD$4&gt;='Single Project Assumptions'!$P$53,'Operational Phase'!CD$4&lt;'Single Project Assumptions'!$P$54),'Single Project Assumptions'!$P$49*'Operational Phase'!CD$6,0)</f>
        <v>22500</v>
      </c>
      <c r="CE8" s="21">
        <f>IF(AND(CE$4&gt;='Single Project Assumptions'!$P$53,'Operational Phase'!CE$4&lt;'Single Project Assumptions'!$P$54),'Single Project Assumptions'!$P$49*'Operational Phase'!CE$6,0)</f>
        <v>22500</v>
      </c>
      <c r="CF8" s="21">
        <f>IF(AND(CF$4&gt;='Single Project Assumptions'!$P$53,'Operational Phase'!CF$4&lt;'Single Project Assumptions'!$P$54),'Single Project Assumptions'!$P$49*'Operational Phase'!CF$6,0)</f>
        <v>22500</v>
      </c>
      <c r="CG8" s="21">
        <f>IF(AND(CG$4&gt;='Single Project Assumptions'!$P$53,'Operational Phase'!CG$4&lt;'Single Project Assumptions'!$P$54),'Single Project Assumptions'!$P$49*'Operational Phase'!CG$6,0)</f>
        <v>22500</v>
      </c>
      <c r="CH8" s="21">
        <f>IF(AND(CH$4&gt;='Single Project Assumptions'!$P$53,'Operational Phase'!CH$4&lt;'Single Project Assumptions'!$P$54),'Single Project Assumptions'!$P$49*'Operational Phase'!CH$6,0)</f>
        <v>22500</v>
      </c>
      <c r="CI8" s="21">
        <f>IF(AND(CI$4&gt;='Single Project Assumptions'!$P$53,'Operational Phase'!CI$4&lt;'Single Project Assumptions'!$P$54),'Single Project Assumptions'!$P$49*'Operational Phase'!CI$6,0)</f>
        <v>22500</v>
      </c>
      <c r="CJ8" s="21">
        <f>IF(AND(CJ$4&gt;='Single Project Assumptions'!$P$53,'Operational Phase'!CJ$4&lt;'Single Project Assumptions'!$P$54),'Single Project Assumptions'!$P$49*'Operational Phase'!CJ$6,0)</f>
        <v>22500</v>
      </c>
      <c r="CK8" s="21">
        <f>IF(AND(CK$4&gt;='Single Project Assumptions'!$P$53,'Operational Phase'!CK$4&lt;'Single Project Assumptions'!$P$54),'Single Project Assumptions'!$P$49*'Operational Phase'!CK$6,0)</f>
        <v>22500</v>
      </c>
      <c r="CL8" s="21">
        <f>IF(AND(CL$4&gt;='Single Project Assumptions'!$P$53,'Operational Phase'!CL$4&lt;'Single Project Assumptions'!$P$54),'Single Project Assumptions'!$P$49*'Operational Phase'!CL$6,0)</f>
        <v>22500</v>
      </c>
      <c r="CM8" s="21">
        <f>IF(AND(CM$4&gt;='Single Project Assumptions'!$P$53,'Operational Phase'!CM$4&lt;'Single Project Assumptions'!$P$54),'Single Project Assumptions'!$P$49*'Operational Phase'!CM$6,0)</f>
        <v>22500</v>
      </c>
      <c r="CN8" s="21">
        <f>IF(AND(CN$4&gt;='Single Project Assumptions'!$P$53,'Operational Phase'!CN$4&lt;'Single Project Assumptions'!$P$54),'Single Project Assumptions'!$P$49*'Operational Phase'!CN$6,0)</f>
        <v>22500</v>
      </c>
      <c r="CO8" s="21">
        <f>IF(AND(CO$4&gt;='Single Project Assumptions'!$P$53,'Operational Phase'!CO$4&lt;'Single Project Assumptions'!$P$54),'Single Project Assumptions'!$P$49*'Operational Phase'!CO$6,0)</f>
        <v>22500</v>
      </c>
      <c r="CP8" s="21">
        <f>IF(AND(CP$4&gt;='Single Project Assumptions'!$P$53,'Operational Phase'!CP$4&lt;'Single Project Assumptions'!$P$54),'Single Project Assumptions'!$P$49*'Operational Phase'!CP$6,0)</f>
        <v>22500</v>
      </c>
      <c r="CQ8" s="21">
        <f>IF(AND(CQ$4&gt;='Single Project Assumptions'!$P$53,'Operational Phase'!CQ$4&lt;'Single Project Assumptions'!$P$54),'Single Project Assumptions'!$P$49*'Operational Phase'!CQ$6,0)</f>
        <v>22500</v>
      </c>
      <c r="CR8" s="21">
        <f>IF(AND(CR$4&gt;='Single Project Assumptions'!$P$53,'Operational Phase'!CR$4&lt;'Single Project Assumptions'!$P$54),'Single Project Assumptions'!$P$49*'Operational Phase'!CR$6,0)</f>
        <v>22500</v>
      </c>
      <c r="CS8" s="21">
        <f>IF(AND(CS$4&gt;='Single Project Assumptions'!$P$53,'Operational Phase'!CS$4&lt;'Single Project Assumptions'!$P$54),'Single Project Assumptions'!$P$49*'Operational Phase'!CS$6,0)</f>
        <v>22500</v>
      </c>
      <c r="CT8" s="21">
        <f>IF(AND(CT$4&gt;='Single Project Assumptions'!$P$53,'Operational Phase'!CT$4&lt;'Single Project Assumptions'!$P$54),'Single Project Assumptions'!$P$49*'Operational Phase'!CT$6,0)</f>
        <v>22500</v>
      </c>
      <c r="CU8" s="21">
        <f>IF(AND(CU$4&gt;='Single Project Assumptions'!$P$53,'Operational Phase'!CU$4&lt;'Single Project Assumptions'!$P$54),'Single Project Assumptions'!$P$49*'Operational Phase'!CU$6,0)</f>
        <v>22500</v>
      </c>
      <c r="CV8" s="21">
        <f>IF(AND(CV$4&gt;='Single Project Assumptions'!$P$53,'Operational Phase'!CV$4&lt;'Single Project Assumptions'!$P$54),'Single Project Assumptions'!$P$49*'Operational Phase'!CV$6,0)</f>
        <v>22500</v>
      </c>
      <c r="CW8" s="21">
        <f>IF(AND(CW$4&gt;='Single Project Assumptions'!$P$53,'Operational Phase'!CW$4&lt;'Single Project Assumptions'!$P$54),'Single Project Assumptions'!$P$49*'Operational Phase'!CW$6,0)</f>
        <v>22500</v>
      </c>
      <c r="CX8" s="21">
        <f>IF(AND(CX$4&gt;='Single Project Assumptions'!$P$53,'Operational Phase'!CX$4&lt;'Single Project Assumptions'!$P$54),'Single Project Assumptions'!$P$49*'Operational Phase'!CX$6,0)</f>
        <v>22500</v>
      </c>
      <c r="CY8" s="21">
        <f>IF(AND(CY$4&gt;='Single Project Assumptions'!$P$53,'Operational Phase'!CY$4&lt;'Single Project Assumptions'!$P$54),'Single Project Assumptions'!$P$49*'Operational Phase'!CY$6,0)</f>
        <v>22500</v>
      </c>
      <c r="CZ8" s="21">
        <f>IF(AND(CZ$4&gt;='Single Project Assumptions'!$P$53,'Operational Phase'!CZ$4&lt;'Single Project Assumptions'!$P$54),'Single Project Assumptions'!$P$49*'Operational Phase'!CZ$6,0)</f>
        <v>22500</v>
      </c>
      <c r="DA8" s="21">
        <f>IF(AND(DA$4&gt;='Single Project Assumptions'!$P$53,'Operational Phase'!DA$4&lt;'Single Project Assumptions'!$P$54),'Single Project Assumptions'!$P$49*'Operational Phase'!DA$6,0)</f>
        <v>22500</v>
      </c>
      <c r="DB8" s="21">
        <f>IF(AND(DB$4&gt;='Single Project Assumptions'!$P$53,'Operational Phase'!DB$4&lt;'Single Project Assumptions'!$P$54),'Single Project Assumptions'!$P$49*'Operational Phase'!DB$6,0)</f>
        <v>22500</v>
      </c>
      <c r="DC8" s="21">
        <f>IF(AND(DC$4&gt;='Single Project Assumptions'!$P$53,'Operational Phase'!DC$4&lt;'Single Project Assumptions'!$P$54),'Single Project Assumptions'!$P$49*'Operational Phase'!DC$6,0)</f>
        <v>22500</v>
      </c>
      <c r="DD8" s="21">
        <f>IF(AND(DD$4&gt;='Single Project Assumptions'!$P$53,'Operational Phase'!DD$4&lt;'Single Project Assumptions'!$P$54),'Single Project Assumptions'!$P$49*'Operational Phase'!DD$6,0)</f>
        <v>22500</v>
      </c>
      <c r="DE8" s="21">
        <f>IF(AND(DE$4&gt;='Single Project Assumptions'!$P$53,'Operational Phase'!DE$4&lt;'Single Project Assumptions'!$P$54),'Single Project Assumptions'!$P$49*'Operational Phase'!DE$6,0)</f>
        <v>22500</v>
      </c>
      <c r="DF8" s="21">
        <f>IF(AND(DF$4&gt;='Single Project Assumptions'!$P$53,'Operational Phase'!DF$4&lt;'Single Project Assumptions'!$P$54),'Single Project Assumptions'!$P$49*'Operational Phase'!DF$6,0)</f>
        <v>22500</v>
      </c>
      <c r="DG8" s="21">
        <f>IF(AND(DG$4&gt;='Single Project Assumptions'!$P$53,'Operational Phase'!DG$4&lt;'Single Project Assumptions'!$P$54),'Single Project Assumptions'!$P$49*'Operational Phase'!DG$6,0)</f>
        <v>22500</v>
      </c>
      <c r="DH8" s="21">
        <f>IF(AND(DH$4&gt;='Single Project Assumptions'!$P$53,'Operational Phase'!DH$4&lt;'Single Project Assumptions'!$P$54),'Single Project Assumptions'!$P$49*'Operational Phase'!DH$6,0)</f>
        <v>22500</v>
      </c>
      <c r="DI8" s="21">
        <f>IF(AND(DI$4&gt;='Single Project Assumptions'!$P$53,'Operational Phase'!DI$4&lt;'Single Project Assumptions'!$P$54),'Single Project Assumptions'!$P$49*'Operational Phase'!DI$6,0)</f>
        <v>22500</v>
      </c>
      <c r="DJ8" s="21">
        <f>IF(AND(DJ$4&gt;='Single Project Assumptions'!$P$53,'Operational Phase'!DJ$4&lt;'Single Project Assumptions'!$P$54),'Single Project Assumptions'!$P$49*'Operational Phase'!DJ$6,0)</f>
        <v>22500</v>
      </c>
      <c r="DK8" s="21">
        <f>IF(AND(DK$4&gt;='Single Project Assumptions'!$P$53,'Operational Phase'!DK$4&lt;'Single Project Assumptions'!$P$54),'Single Project Assumptions'!$P$49*'Operational Phase'!DK$6,0)</f>
        <v>22500</v>
      </c>
      <c r="DL8" s="21">
        <f>IF(AND(DL$4&gt;='Single Project Assumptions'!$P$53,'Operational Phase'!DL$4&lt;'Single Project Assumptions'!$P$54),'Single Project Assumptions'!$P$49*'Operational Phase'!DL$6,0)</f>
        <v>0</v>
      </c>
      <c r="DM8" s="21">
        <f>IF(AND(DM$4&gt;='Single Project Assumptions'!$P$53,'Operational Phase'!DM$4&lt;'Single Project Assumptions'!$P$54),'Single Project Assumptions'!$P$49*'Operational Phase'!DM$6,0)</f>
        <v>0</v>
      </c>
      <c r="DN8" s="21">
        <f>IF(AND(DN$4&gt;='Single Project Assumptions'!$P$53,'Operational Phase'!DN$4&lt;'Single Project Assumptions'!$P$54),'Single Project Assumptions'!$P$49*'Operational Phase'!DN$6,0)</f>
        <v>0</v>
      </c>
      <c r="DO8" s="21">
        <f>IF(AND(DO$4&gt;='Single Project Assumptions'!$P$53,'Operational Phase'!DO$4&lt;'Single Project Assumptions'!$P$54),'Single Project Assumptions'!$P$49*'Operational Phase'!DO$6,0)</f>
        <v>0</v>
      </c>
      <c r="DP8" s="21">
        <f>IF(AND(DP$4&gt;='Single Project Assumptions'!$P$53,'Operational Phase'!DP$4&lt;'Single Project Assumptions'!$P$54),'Single Project Assumptions'!$P$49*'Operational Phase'!DP$6,0)</f>
        <v>0</v>
      </c>
      <c r="DQ8" s="21">
        <f>IF(AND(DQ$4&gt;='Single Project Assumptions'!$P$53,'Operational Phase'!DQ$4&lt;'Single Project Assumptions'!$P$54),'Single Project Assumptions'!$P$49*'Operational Phase'!DQ$6,0)</f>
        <v>0</v>
      </c>
      <c r="DR8" s="21">
        <f>IF(AND(DR$4&gt;='Single Project Assumptions'!$P$53,'Operational Phase'!DR$4&lt;'Single Project Assumptions'!$P$54),'Single Project Assumptions'!$P$49*'Operational Phase'!DR$6,0)</f>
        <v>0</v>
      </c>
      <c r="DS8" s="21">
        <f>IF(AND(DS$4&gt;='Single Project Assumptions'!$P$53,'Operational Phase'!DS$4&lt;'Single Project Assumptions'!$P$54),'Single Project Assumptions'!$P$49*'Operational Phase'!DS$6,0)</f>
        <v>0</v>
      </c>
      <c r="DT8" s="21">
        <f>IF(AND(DT$4&gt;='Single Project Assumptions'!$P$53,'Operational Phase'!DT$4&lt;'Single Project Assumptions'!$P$54),'Single Project Assumptions'!$P$49*'Operational Phase'!DT$6,0)</f>
        <v>0</v>
      </c>
      <c r="DU8" s="21">
        <f>IF(AND(DU$4&gt;='Single Project Assumptions'!$P$53,'Operational Phase'!DU$4&lt;'Single Project Assumptions'!$P$54),'Single Project Assumptions'!$P$49*'Operational Phase'!DU$6,0)</f>
        <v>0</v>
      </c>
    </row>
    <row r="9" spans="3:125" s="3" customFormat="1" ht="22.95" customHeight="1">
      <c r="C9" s="3" t="s">
        <v>290</v>
      </c>
      <c r="D9" s="25">
        <f>SUM(E9:DU9)</f>
        <v>704166.66666666663</v>
      </c>
      <c r="E9" s="21">
        <f>IF(AND(E$4&gt;='Single Project Assumptions'!$D$56,'Operational Phase'!E$4&lt;'Single Project Assumptions'!$D$57),'Single Project Assumptions'!$D$54*E$6,0)</f>
        <v>0</v>
      </c>
      <c r="F9" s="21">
        <f>IF(AND(F$4&gt;='Single Project Assumptions'!$D$56,'Operational Phase'!F$4&lt;'Single Project Assumptions'!$D$57),'Single Project Assumptions'!$D$54*F$6,0)</f>
        <v>0</v>
      </c>
      <c r="G9" s="21">
        <f>IF(AND(G$4&gt;='Single Project Assumptions'!$D$56,'Operational Phase'!G$4&lt;'Single Project Assumptions'!$D$57),'Single Project Assumptions'!$D$54*G$6,0)</f>
        <v>0</v>
      </c>
      <c r="H9" s="21">
        <f>IF(AND(H$4&gt;='Single Project Assumptions'!$D$56,'Operational Phase'!H$4&lt;'Single Project Assumptions'!$D$57),'Single Project Assumptions'!$D$54*H$6,0)</f>
        <v>0</v>
      </c>
      <c r="I9" s="21">
        <f>IF(AND(I$4&gt;='Single Project Assumptions'!$D$56,'Operational Phase'!I$4&lt;'Single Project Assumptions'!$D$57),'Single Project Assumptions'!$D$54*I$6,0)</f>
        <v>0</v>
      </c>
      <c r="J9" s="21">
        <f>IF(AND(J$4&gt;='Single Project Assumptions'!$D$56,'Operational Phase'!J$4&lt;'Single Project Assumptions'!$D$57),'Single Project Assumptions'!$D$54*J$6,0)</f>
        <v>0</v>
      </c>
      <c r="K9" s="21">
        <f>IF(AND(K$4&gt;='Single Project Assumptions'!$D$56,'Operational Phase'!K$4&lt;'Single Project Assumptions'!$D$57),'Single Project Assumptions'!$D$54*K$6,0)</f>
        <v>0</v>
      </c>
      <c r="L9" s="21">
        <f>IF(AND(L$4&gt;='Single Project Assumptions'!$D$56,'Operational Phase'!L$4&lt;'Single Project Assumptions'!$D$57),'Single Project Assumptions'!$D$54*L$6,0)</f>
        <v>0</v>
      </c>
      <c r="M9" s="21">
        <f>IF(AND(M$4&gt;='Single Project Assumptions'!$D$56,'Operational Phase'!M$4&lt;'Single Project Assumptions'!$D$57),'Single Project Assumptions'!$D$54*M$6,0)</f>
        <v>0</v>
      </c>
      <c r="N9" s="21">
        <f>IF(AND(N$4&gt;='Single Project Assumptions'!$D$56,'Operational Phase'!N$4&lt;'Single Project Assumptions'!$D$57),'Single Project Assumptions'!$D$54*N$6,0)</f>
        <v>0</v>
      </c>
      <c r="O9" s="21">
        <f>IF(AND(O$4&gt;='Single Project Assumptions'!$D$56,'Operational Phase'!O$4&lt;'Single Project Assumptions'!$D$57),'Single Project Assumptions'!$D$54*O$6,0)</f>
        <v>0</v>
      </c>
      <c r="P9" s="21">
        <f>IF(AND(P$4&gt;='Single Project Assumptions'!$D$56,'Operational Phase'!P$4&lt;'Single Project Assumptions'!$D$57),'Single Project Assumptions'!$D$54*P$6,0)</f>
        <v>0</v>
      </c>
      <c r="Q9" s="21">
        <f>IF(AND(Q$4&gt;='Single Project Assumptions'!$D$56,'Operational Phase'!Q$4&lt;'Single Project Assumptions'!$D$57),'Single Project Assumptions'!$D$54*Q$6,0)</f>
        <v>0</v>
      </c>
      <c r="R9" s="21">
        <f>IF(AND(R$4&gt;='Single Project Assumptions'!$D$56,'Operational Phase'!R$4&lt;'Single Project Assumptions'!$D$57),'Single Project Assumptions'!$D$54*R$6,0)</f>
        <v>0</v>
      </c>
      <c r="S9" s="21">
        <f>IF(AND(S$4&gt;='Single Project Assumptions'!$D$56,'Operational Phase'!S$4&lt;'Single Project Assumptions'!$D$57),'Single Project Assumptions'!$D$54*S$6,0)</f>
        <v>0</v>
      </c>
      <c r="T9" s="21">
        <f>IF(AND(T$4&gt;='Single Project Assumptions'!$D$56,'Operational Phase'!T$4&lt;'Single Project Assumptions'!$D$57),'Single Project Assumptions'!$D$54*T$6,0)</f>
        <v>0</v>
      </c>
      <c r="U9" s="21">
        <f>IF(AND(U$4&gt;='Single Project Assumptions'!$D$56,'Operational Phase'!U$4&lt;'Single Project Assumptions'!$D$57),'Single Project Assumptions'!$D$54*U$6,0)</f>
        <v>0</v>
      </c>
      <c r="V9" s="21">
        <f>IF(AND(V$4&gt;='Single Project Assumptions'!$D$56,'Operational Phase'!V$4&lt;'Single Project Assumptions'!$D$57),'Single Project Assumptions'!$D$54*V$6,0)</f>
        <v>0</v>
      </c>
      <c r="W9" s="21">
        <f>IF(AND(W$4&gt;='Single Project Assumptions'!$D$56,'Operational Phase'!W$4&lt;'Single Project Assumptions'!$D$57),'Single Project Assumptions'!$D$54*W$6,0)</f>
        <v>0</v>
      </c>
      <c r="X9" s="21">
        <f>IF(AND(X$4&gt;='Single Project Assumptions'!$D$56,'Operational Phase'!X$4&lt;'Single Project Assumptions'!$D$57),'Single Project Assumptions'!$D$54*X$6,0)</f>
        <v>0</v>
      </c>
      <c r="Y9" s="21">
        <f>IF(AND(Y$4&gt;='Single Project Assumptions'!$D$56,'Operational Phase'!Y$4&lt;'Single Project Assumptions'!$D$57),'Single Project Assumptions'!$D$54*Y$6,0)</f>
        <v>0</v>
      </c>
      <c r="Z9" s="21">
        <f>IF(AND(Z$4&gt;='Single Project Assumptions'!$D$56,'Operational Phase'!Z$4&lt;'Single Project Assumptions'!$D$57),'Single Project Assumptions'!$D$54*Z$6,0)</f>
        <v>0</v>
      </c>
      <c r="AA9" s="21">
        <f>IF(AND(AA$4&gt;='Single Project Assumptions'!$D$56,'Operational Phase'!AA$4&lt;'Single Project Assumptions'!$D$57),'Single Project Assumptions'!$D$54*AA$6,0)</f>
        <v>0</v>
      </c>
      <c r="AB9" s="21">
        <f>IF(AND(AB$4&gt;='Single Project Assumptions'!$D$56,'Operational Phase'!AB$4&lt;'Single Project Assumptions'!$D$57),'Single Project Assumptions'!$D$54*AB$6,0)</f>
        <v>0</v>
      </c>
      <c r="AC9" s="21">
        <f>IF(AND(AC$4&gt;='Single Project Assumptions'!$D$56,'Operational Phase'!AC$4&lt;'Single Project Assumptions'!$D$57),'Single Project Assumptions'!$D$54*AC$6,0)</f>
        <v>0</v>
      </c>
      <c r="AD9" s="21">
        <f>IF(AND(AD$4&gt;='Single Project Assumptions'!$D$56,'Operational Phase'!AD$4&lt;'Single Project Assumptions'!$D$57),'Single Project Assumptions'!$D$54*AD$6,0)</f>
        <v>0</v>
      </c>
      <c r="AE9" s="21">
        <f>IF(AND(AE$4&gt;='Single Project Assumptions'!$D$56,'Operational Phase'!AE$4&lt;'Single Project Assumptions'!$D$57),'Single Project Assumptions'!$D$54*AE$6,0)</f>
        <v>0</v>
      </c>
      <c r="AF9" s="21">
        <f>IF(AND(AF$4&gt;='Single Project Assumptions'!$D$56,'Operational Phase'!AF$4&lt;'Single Project Assumptions'!$D$57),'Single Project Assumptions'!$D$54*AF$6,0)</f>
        <v>0</v>
      </c>
      <c r="AG9" s="21">
        <f>IF(AND(AG$4&gt;='Single Project Assumptions'!$D$56,'Operational Phase'!AG$4&lt;'Single Project Assumptions'!$D$57),'Single Project Assumptions'!$D$54*AG$6,0)</f>
        <v>0</v>
      </c>
      <c r="AH9" s="21">
        <f>IF(AND(AH$4&gt;='Single Project Assumptions'!$D$56,'Operational Phase'!AH$4&lt;'Single Project Assumptions'!$D$57),'Single Project Assumptions'!$D$54*AH$6,0)</f>
        <v>0</v>
      </c>
      <c r="AI9" s="21">
        <f>IF(AND(AI$4&gt;='Single Project Assumptions'!$D$56,'Operational Phase'!AI$4&lt;'Single Project Assumptions'!$D$57),'Single Project Assumptions'!$D$54*AI$6,0)</f>
        <v>0</v>
      </c>
      <c r="AJ9" s="21">
        <f>IF(AND(AJ$4&gt;='Single Project Assumptions'!$D$56,'Operational Phase'!AJ$4&lt;'Single Project Assumptions'!$D$57),'Single Project Assumptions'!$D$54*AJ$6,0)</f>
        <v>0</v>
      </c>
      <c r="AK9" s="21">
        <f>IF(AND(AK$4&gt;='Single Project Assumptions'!$D$56,'Operational Phase'!AK$4&lt;'Single Project Assumptions'!$D$57),'Single Project Assumptions'!$D$54*AK$6,0)</f>
        <v>0</v>
      </c>
      <c r="AL9" s="21">
        <f>IF(AND(AL$4&gt;='Single Project Assumptions'!$D$56,'Operational Phase'!AL$4&lt;'Single Project Assumptions'!$D$57),'Single Project Assumptions'!$D$54*AL$6,0)</f>
        <v>0</v>
      </c>
      <c r="AM9" s="21">
        <f>IF(AND(AM$4&gt;='Single Project Assumptions'!$D$56,'Operational Phase'!AM$4&lt;'Single Project Assumptions'!$D$57),'Single Project Assumptions'!$D$54*AM$6,0)</f>
        <v>0</v>
      </c>
      <c r="AN9" s="21">
        <f>IF(AND(AN$4&gt;='Single Project Assumptions'!$D$56,'Operational Phase'!AN$4&lt;'Single Project Assumptions'!$D$57),'Single Project Assumptions'!$D$54*AN$6,0)</f>
        <v>0</v>
      </c>
      <c r="AO9" s="21">
        <f>IF(AND(AO$4&gt;='Single Project Assumptions'!$D$56,'Operational Phase'!AO$4&lt;'Single Project Assumptions'!$D$57),'Single Project Assumptions'!$D$54*AO$6,0)</f>
        <v>0</v>
      </c>
      <c r="AP9" s="21">
        <f>IF(AND(AP$4&gt;='Single Project Assumptions'!$D$56,'Operational Phase'!AP$4&lt;'Single Project Assumptions'!$D$57),'Single Project Assumptions'!$D$54*AP$6,0)</f>
        <v>0</v>
      </c>
      <c r="AQ9" s="21">
        <f>IF(AND(AQ$4&gt;='Single Project Assumptions'!$D$56,'Operational Phase'!AQ$4&lt;'Single Project Assumptions'!$D$57),'Single Project Assumptions'!$D$54*AQ$6,0)</f>
        <v>0</v>
      </c>
      <c r="AR9" s="21">
        <f>IF(AND(AR$4&gt;='Single Project Assumptions'!$D$56,'Operational Phase'!AR$4&lt;'Single Project Assumptions'!$D$57),'Single Project Assumptions'!$D$54*AR$6,0)</f>
        <v>0</v>
      </c>
      <c r="AS9" s="21">
        <f>IF(AND(AS$4&gt;='Single Project Assumptions'!$D$56,'Operational Phase'!AS$4&lt;'Single Project Assumptions'!$D$57),'Single Project Assumptions'!$D$54*AS$6,0)</f>
        <v>0</v>
      </c>
      <c r="AT9" s="21">
        <f>IF(AND(AT$4&gt;='Single Project Assumptions'!$D$56,'Operational Phase'!AT$4&lt;'Single Project Assumptions'!$D$57),'Single Project Assumptions'!$D$54*AT$6,0)</f>
        <v>0</v>
      </c>
      <c r="AU9" s="21">
        <f>IF(AND(AU$4&gt;='Single Project Assumptions'!$D$56,'Operational Phase'!AU$4&lt;'Single Project Assumptions'!$D$57),'Single Project Assumptions'!$D$54*AU$6,0)</f>
        <v>0</v>
      </c>
      <c r="AV9" s="21">
        <f>IF(AND(AV$4&gt;='Single Project Assumptions'!$D$56,'Operational Phase'!AV$4&lt;'Single Project Assumptions'!$D$57),'Single Project Assumptions'!$D$54*AV$6,0)</f>
        <v>0</v>
      </c>
      <c r="AW9" s="21">
        <f>IF(AND(AW$4&gt;='Single Project Assumptions'!$D$56,'Operational Phase'!AW$4&lt;'Single Project Assumptions'!$D$57),'Single Project Assumptions'!$D$54*AW$6,0)</f>
        <v>0</v>
      </c>
      <c r="AX9" s="21">
        <f>IF(AND(AX$4&gt;='Single Project Assumptions'!$D$56,'Operational Phase'!AX$4&lt;'Single Project Assumptions'!$D$57),'Single Project Assumptions'!$D$54*AX$6,0)</f>
        <v>0</v>
      </c>
      <c r="AY9" s="21">
        <f>IF(AND(AY$4&gt;='Single Project Assumptions'!$D$56,'Operational Phase'!AY$4&lt;'Single Project Assumptions'!$D$57),'Single Project Assumptions'!$D$54*AY$6,0)</f>
        <v>0</v>
      </c>
      <c r="AZ9" s="21">
        <f>IF(AND(AZ$4&gt;='Single Project Assumptions'!$D$56,'Operational Phase'!AZ$4&lt;'Single Project Assumptions'!$D$57),'Single Project Assumptions'!$D$54*AZ$6,0)</f>
        <v>0</v>
      </c>
      <c r="BA9" s="21">
        <f>IF(AND(BA$4&gt;='Single Project Assumptions'!$D$56,'Operational Phase'!BA$4&lt;'Single Project Assumptions'!$D$57),'Single Project Assumptions'!$D$54*BA$6,0)</f>
        <v>0</v>
      </c>
      <c r="BB9" s="21">
        <f>IF(AND(BB$4&gt;='Single Project Assumptions'!$D$56,'Operational Phase'!BB$4&lt;'Single Project Assumptions'!$D$57),'Single Project Assumptions'!$D$54*BB$6,0)</f>
        <v>0</v>
      </c>
      <c r="BC9" s="21">
        <f>IF(AND(BC$4&gt;='Single Project Assumptions'!$D$56,'Operational Phase'!BC$4&lt;'Single Project Assumptions'!$D$57),'Single Project Assumptions'!$D$54*BC$6,0)</f>
        <v>0</v>
      </c>
      <c r="BD9" s="21">
        <f>IF(AND(BD$4&gt;='Single Project Assumptions'!$D$56,'Operational Phase'!BD$4&lt;'Single Project Assumptions'!$D$57),'Single Project Assumptions'!$D$54*BD$6,0)</f>
        <v>4861.1111111111113</v>
      </c>
      <c r="BE9" s="21">
        <f>IF(AND(BE$4&gt;='Single Project Assumptions'!$D$56,'Operational Phase'!BE$4&lt;'Single Project Assumptions'!$D$57),'Single Project Assumptions'!$D$54*BE$6,0)</f>
        <v>5555.5555555555557</v>
      </c>
      <c r="BF9" s="21">
        <f>IF(AND(BF$4&gt;='Single Project Assumptions'!$D$56,'Operational Phase'!BF$4&lt;'Single Project Assumptions'!$D$57),'Single Project Assumptions'!$D$54*BF$6,0)</f>
        <v>6250</v>
      </c>
      <c r="BG9" s="21">
        <f>IF(AND(BG$4&gt;='Single Project Assumptions'!$D$56,'Operational Phase'!BG$4&lt;'Single Project Assumptions'!$D$57),'Single Project Assumptions'!$D$54*BG$6,0)</f>
        <v>6944.4444444444434</v>
      </c>
      <c r="BH9" s="21">
        <f>IF(AND(BH$4&gt;='Single Project Assumptions'!$D$56,'Operational Phase'!BH$4&lt;'Single Project Assumptions'!$D$57),'Single Project Assumptions'!$D$54*BH$6,0)</f>
        <v>7638.8888888888878</v>
      </c>
      <c r="BI9" s="21">
        <f>IF(AND(BI$4&gt;='Single Project Assumptions'!$D$56,'Operational Phase'!BI$4&lt;'Single Project Assumptions'!$D$57),'Single Project Assumptions'!$D$54*BI$6,0)</f>
        <v>8333.3333333333321</v>
      </c>
      <c r="BJ9" s="21">
        <f>IF(AND(BJ$4&gt;='Single Project Assumptions'!$D$56,'Operational Phase'!BJ$4&lt;'Single Project Assumptions'!$D$57),'Single Project Assumptions'!$D$54*BJ$6,0)</f>
        <v>9027.7777777777756</v>
      </c>
      <c r="BK9" s="21">
        <f>IF(AND(BK$4&gt;='Single Project Assumptions'!$D$56,'Operational Phase'!BK$4&lt;'Single Project Assumptions'!$D$57),'Single Project Assumptions'!$D$54*BK$6,0)</f>
        <v>9722.222222222219</v>
      </c>
      <c r="BL9" s="21">
        <f>IF(AND(BL$4&gt;='Single Project Assumptions'!$D$56,'Operational Phase'!BL$4&lt;'Single Project Assumptions'!$D$57),'Single Project Assumptions'!$D$54*BL$6,0)</f>
        <v>10416.666666666664</v>
      </c>
      <c r="BM9" s="21">
        <f>IF(AND(BM$4&gt;='Single Project Assumptions'!$D$56,'Operational Phase'!BM$4&lt;'Single Project Assumptions'!$D$57),'Single Project Assumptions'!$D$54*BM$6,0)</f>
        <v>11111.111111111109</v>
      </c>
      <c r="BN9" s="21">
        <f>IF(AND(BN$4&gt;='Single Project Assumptions'!$D$56,'Operational Phase'!BN$4&lt;'Single Project Assumptions'!$D$57),'Single Project Assumptions'!$D$54*BN$6,0)</f>
        <v>11805.555555555555</v>
      </c>
      <c r="BO9" s="21">
        <f>IF(AND(BO$4&gt;='Single Project Assumptions'!$D$56,'Operational Phase'!BO$4&lt;'Single Project Assumptions'!$D$57),'Single Project Assumptions'!$D$54*BO$6,0)</f>
        <v>12500</v>
      </c>
      <c r="BP9" s="21">
        <f>IF(AND(BP$4&gt;='Single Project Assumptions'!$D$56,'Operational Phase'!BP$4&lt;'Single Project Assumptions'!$D$57),'Single Project Assumptions'!$D$54*BP$6,0)</f>
        <v>12500</v>
      </c>
      <c r="BQ9" s="21">
        <f>IF(AND(BQ$4&gt;='Single Project Assumptions'!$D$56,'Operational Phase'!BQ$4&lt;'Single Project Assumptions'!$D$57),'Single Project Assumptions'!$D$54*BQ$6,0)</f>
        <v>12500</v>
      </c>
      <c r="BR9" s="21">
        <f>IF(AND(BR$4&gt;='Single Project Assumptions'!$D$56,'Operational Phase'!BR$4&lt;'Single Project Assumptions'!$D$57),'Single Project Assumptions'!$D$54*BR$6,0)</f>
        <v>12500</v>
      </c>
      <c r="BS9" s="21">
        <f>IF(AND(BS$4&gt;='Single Project Assumptions'!$D$56,'Operational Phase'!BS$4&lt;'Single Project Assumptions'!$D$57),'Single Project Assumptions'!$D$54*BS$6,0)</f>
        <v>12500</v>
      </c>
      <c r="BT9" s="21">
        <f>IF(AND(BT$4&gt;='Single Project Assumptions'!$D$56,'Operational Phase'!BT$4&lt;'Single Project Assumptions'!$D$57),'Single Project Assumptions'!$D$54*BT$6,0)</f>
        <v>12500</v>
      </c>
      <c r="BU9" s="21">
        <f>IF(AND(BU$4&gt;='Single Project Assumptions'!$D$56,'Operational Phase'!BU$4&lt;'Single Project Assumptions'!$D$57),'Single Project Assumptions'!$D$54*BU$6,0)</f>
        <v>12500</v>
      </c>
      <c r="BV9" s="21">
        <f>IF(AND(BV$4&gt;='Single Project Assumptions'!$D$56,'Operational Phase'!BV$4&lt;'Single Project Assumptions'!$D$57),'Single Project Assumptions'!$D$54*BV$6,0)</f>
        <v>12500</v>
      </c>
      <c r="BW9" s="21">
        <f>IF(AND(BW$4&gt;='Single Project Assumptions'!$D$56,'Operational Phase'!BW$4&lt;'Single Project Assumptions'!$D$57),'Single Project Assumptions'!$D$54*BW$6,0)</f>
        <v>12500</v>
      </c>
      <c r="BX9" s="21">
        <f>IF(AND(BX$4&gt;='Single Project Assumptions'!$D$56,'Operational Phase'!BX$4&lt;'Single Project Assumptions'!$D$57),'Single Project Assumptions'!$D$54*BX$6,0)</f>
        <v>12500</v>
      </c>
      <c r="BY9" s="21">
        <f>IF(AND(BY$4&gt;='Single Project Assumptions'!$D$56,'Operational Phase'!BY$4&lt;'Single Project Assumptions'!$D$57),'Single Project Assumptions'!$D$54*BY$6,0)</f>
        <v>12500</v>
      </c>
      <c r="BZ9" s="21">
        <f>IF(AND(BZ$4&gt;='Single Project Assumptions'!$D$56,'Operational Phase'!BZ$4&lt;'Single Project Assumptions'!$D$57),'Single Project Assumptions'!$D$54*BZ$6,0)</f>
        <v>12500</v>
      </c>
      <c r="CA9" s="21">
        <f>IF(AND(CA$4&gt;='Single Project Assumptions'!$D$56,'Operational Phase'!CA$4&lt;'Single Project Assumptions'!$D$57),'Single Project Assumptions'!$D$54*CA$6,0)</f>
        <v>12500</v>
      </c>
      <c r="CB9" s="21">
        <f>IF(AND(CB$4&gt;='Single Project Assumptions'!$D$56,'Operational Phase'!CB$4&lt;'Single Project Assumptions'!$D$57),'Single Project Assumptions'!$D$54*CB$6,0)</f>
        <v>12500</v>
      </c>
      <c r="CC9" s="21">
        <f>IF(AND(CC$4&gt;='Single Project Assumptions'!$D$56,'Operational Phase'!CC$4&lt;'Single Project Assumptions'!$D$57),'Single Project Assumptions'!$D$54*CC$6,0)</f>
        <v>12500</v>
      </c>
      <c r="CD9" s="21">
        <f>IF(AND(CD$4&gt;='Single Project Assumptions'!$D$56,'Operational Phase'!CD$4&lt;'Single Project Assumptions'!$D$57),'Single Project Assumptions'!$D$54*CD$6,0)</f>
        <v>12500</v>
      </c>
      <c r="CE9" s="21">
        <f>IF(AND(CE$4&gt;='Single Project Assumptions'!$D$56,'Operational Phase'!CE$4&lt;'Single Project Assumptions'!$D$57),'Single Project Assumptions'!$D$54*CE$6,0)</f>
        <v>12500</v>
      </c>
      <c r="CF9" s="21">
        <f>IF(AND(CF$4&gt;='Single Project Assumptions'!$D$56,'Operational Phase'!CF$4&lt;'Single Project Assumptions'!$D$57),'Single Project Assumptions'!$D$54*CF$6,0)</f>
        <v>12500</v>
      </c>
      <c r="CG9" s="21">
        <f>IF(AND(CG$4&gt;='Single Project Assumptions'!$D$56,'Operational Phase'!CG$4&lt;'Single Project Assumptions'!$D$57),'Single Project Assumptions'!$D$54*CG$6,0)</f>
        <v>12500</v>
      </c>
      <c r="CH9" s="21">
        <f>IF(AND(CH$4&gt;='Single Project Assumptions'!$D$56,'Operational Phase'!CH$4&lt;'Single Project Assumptions'!$D$57),'Single Project Assumptions'!$D$54*CH$6,0)</f>
        <v>12500</v>
      </c>
      <c r="CI9" s="21">
        <f>IF(AND(CI$4&gt;='Single Project Assumptions'!$D$56,'Operational Phase'!CI$4&lt;'Single Project Assumptions'!$D$57),'Single Project Assumptions'!$D$54*CI$6,0)</f>
        <v>12500</v>
      </c>
      <c r="CJ9" s="21">
        <f>IF(AND(CJ$4&gt;='Single Project Assumptions'!$D$56,'Operational Phase'!CJ$4&lt;'Single Project Assumptions'!$D$57),'Single Project Assumptions'!$D$54*CJ$6,0)</f>
        <v>12500</v>
      </c>
      <c r="CK9" s="21">
        <f>IF(AND(CK$4&gt;='Single Project Assumptions'!$D$56,'Operational Phase'!CK$4&lt;'Single Project Assumptions'!$D$57),'Single Project Assumptions'!$D$54*CK$6,0)</f>
        <v>12500</v>
      </c>
      <c r="CL9" s="21">
        <f>IF(AND(CL$4&gt;='Single Project Assumptions'!$D$56,'Operational Phase'!CL$4&lt;'Single Project Assumptions'!$D$57),'Single Project Assumptions'!$D$54*CL$6,0)</f>
        <v>12500</v>
      </c>
      <c r="CM9" s="21">
        <f>IF(AND(CM$4&gt;='Single Project Assumptions'!$D$56,'Operational Phase'!CM$4&lt;'Single Project Assumptions'!$D$57),'Single Project Assumptions'!$D$54*CM$6,0)</f>
        <v>12500</v>
      </c>
      <c r="CN9" s="21">
        <f>IF(AND(CN$4&gt;='Single Project Assumptions'!$D$56,'Operational Phase'!CN$4&lt;'Single Project Assumptions'!$D$57),'Single Project Assumptions'!$D$54*CN$6,0)</f>
        <v>12500</v>
      </c>
      <c r="CO9" s="21">
        <f>IF(AND(CO$4&gt;='Single Project Assumptions'!$D$56,'Operational Phase'!CO$4&lt;'Single Project Assumptions'!$D$57),'Single Project Assumptions'!$D$54*CO$6,0)</f>
        <v>12500</v>
      </c>
      <c r="CP9" s="21">
        <f>IF(AND(CP$4&gt;='Single Project Assumptions'!$D$56,'Operational Phase'!CP$4&lt;'Single Project Assumptions'!$D$57),'Single Project Assumptions'!$D$54*CP$6,0)</f>
        <v>12500</v>
      </c>
      <c r="CQ9" s="21">
        <f>IF(AND(CQ$4&gt;='Single Project Assumptions'!$D$56,'Operational Phase'!CQ$4&lt;'Single Project Assumptions'!$D$57),'Single Project Assumptions'!$D$54*CQ$6,0)</f>
        <v>12500</v>
      </c>
      <c r="CR9" s="21">
        <f>IF(AND(CR$4&gt;='Single Project Assumptions'!$D$56,'Operational Phase'!CR$4&lt;'Single Project Assumptions'!$D$57),'Single Project Assumptions'!$D$54*CR$6,0)</f>
        <v>12500</v>
      </c>
      <c r="CS9" s="21">
        <f>IF(AND(CS$4&gt;='Single Project Assumptions'!$D$56,'Operational Phase'!CS$4&lt;'Single Project Assumptions'!$D$57),'Single Project Assumptions'!$D$54*CS$6,0)</f>
        <v>12500</v>
      </c>
      <c r="CT9" s="21">
        <f>IF(AND(CT$4&gt;='Single Project Assumptions'!$D$56,'Operational Phase'!CT$4&lt;'Single Project Assumptions'!$D$57),'Single Project Assumptions'!$D$54*CT$6,0)</f>
        <v>12500</v>
      </c>
      <c r="CU9" s="21">
        <f>IF(AND(CU$4&gt;='Single Project Assumptions'!$D$56,'Operational Phase'!CU$4&lt;'Single Project Assumptions'!$D$57),'Single Project Assumptions'!$D$54*CU$6,0)</f>
        <v>12500</v>
      </c>
      <c r="CV9" s="21">
        <f>IF(AND(CV$4&gt;='Single Project Assumptions'!$D$56,'Operational Phase'!CV$4&lt;'Single Project Assumptions'!$D$57),'Single Project Assumptions'!$D$54*CV$6,0)</f>
        <v>12500</v>
      </c>
      <c r="CW9" s="21">
        <f>IF(AND(CW$4&gt;='Single Project Assumptions'!$D$56,'Operational Phase'!CW$4&lt;'Single Project Assumptions'!$D$57),'Single Project Assumptions'!$D$54*CW$6,0)</f>
        <v>12500</v>
      </c>
      <c r="CX9" s="21">
        <f>IF(AND(CX$4&gt;='Single Project Assumptions'!$D$56,'Operational Phase'!CX$4&lt;'Single Project Assumptions'!$D$57),'Single Project Assumptions'!$D$54*CX$6,0)</f>
        <v>12500</v>
      </c>
      <c r="CY9" s="21">
        <f>IF(AND(CY$4&gt;='Single Project Assumptions'!$D$56,'Operational Phase'!CY$4&lt;'Single Project Assumptions'!$D$57),'Single Project Assumptions'!$D$54*CY$6,0)</f>
        <v>12500</v>
      </c>
      <c r="CZ9" s="21">
        <f>IF(AND(CZ$4&gt;='Single Project Assumptions'!$D$56,'Operational Phase'!CZ$4&lt;'Single Project Assumptions'!$D$57),'Single Project Assumptions'!$D$54*CZ$6,0)</f>
        <v>12500</v>
      </c>
      <c r="DA9" s="21">
        <f>IF(AND(DA$4&gt;='Single Project Assumptions'!$D$56,'Operational Phase'!DA$4&lt;'Single Project Assumptions'!$D$57),'Single Project Assumptions'!$D$54*DA$6,0)</f>
        <v>12500</v>
      </c>
      <c r="DB9" s="21">
        <f>IF(AND(DB$4&gt;='Single Project Assumptions'!$D$56,'Operational Phase'!DB$4&lt;'Single Project Assumptions'!$D$57),'Single Project Assumptions'!$D$54*DB$6,0)</f>
        <v>12500</v>
      </c>
      <c r="DC9" s="21">
        <f>IF(AND(DC$4&gt;='Single Project Assumptions'!$D$56,'Operational Phase'!DC$4&lt;'Single Project Assumptions'!$D$57),'Single Project Assumptions'!$D$54*DC$6,0)</f>
        <v>12500</v>
      </c>
      <c r="DD9" s="21">
        <f>IF(AND(DD$4&gt;='Single Project Assumptions'!$D$56,'Operational Phase'!DD$4&lt;'Single Project Assumptions'!$D$57),'Single Project Assumptions'!$D$54*DD$6,0)</f>
        <v>12500</v>
      </c>
      <c r="DE9" s="21">
        <f>IF(AND(DE$4&gt;='Single Project Assumptions'!$D$56,'Operational Phase'!DE$4&lt;'Single Project Assumptions'!$D$57),'Single Project Assumptions'!$D$54*DE$6,0)</f>
        <v>12500</v>
      </c>
      <c r="DF9" s="21">
        <f>IF(AND(DF$4&gt;='Single Project Assumptions'!$D$56,'Operational Phase'!DF$4&lt;'Single Project Assumptions'!$D$57),'Single Project Assumptions'!$D$54*DF$6,0)</f>
        <v>12500</v>
      </c>
      <c r="DG9" s="21">
        <f>IF(AND(DG$4&gt;='Single Project Assumptions'!$D$56,'Operational Phase'!DG$4&lt;'Single Project Assumptions'!$D$57),'Single Project Assumptions'!$D$54*DG$6,0)</f>
        <v>12500</v>
      </c>
      <c r="DH9" s="21">
        <f>IF(AND(DH$4&gt;='Single Project Assumptions'!$D$56,'Operational Phase'!DH$4&lt;'Single Project Assumptions'!$D$57),'Single Project Assumptions'!$D$54*DH$6,0)</f>
        <v>12500</v>
      </c>
      <c r="DI9" s="21">
        <f>IF(AND(DI$4&gt;='Single Project Assumptions'!$D$56,'Operational Phase'!DI$4&lt;'Single Project Assumptions'!$D$57),'Single Project Assumptions'!$D$54*DI$6,0)</f>
        <v>12500</v>
      </c>
      <c r="DJ9" s="21">
        <f>IF(AND(DJ$4&gt;='Single Project Assumptions'!$D$56,'Operational Phase'!DJ$4&lt;'Single Project Assumptions'!$D$57),'Single Project Assumptions'!$D$54*DJ$6,0)</f>
        <v>12500</v>
      </c>
      <c r="DK9" s="21">
        <f>IF(AND(DK$4&gt;='Single Project Assumptions'!$D$56,'Operational Phase'!DK$4&lt;'Single Project Assumptions'!$D$57),'Single Project Assumptions'!$D$54*DK$6,0)</f>
        <v>12500</v>
      </c>
      <c r="DL9" s="21">
        <f>IF(AND(DL$4&gt;='Single Project Assumptions'!$D$56,'Operational Phase'!DL$4&lt;'Single Project Assumptions'!$D$57),'Single Project Assumptions'!$D$54*DL$6,0)</f>
        <v>0</v>
      </c>
      <c r="DM9" s="21">
        <f>IF(AND(DM$4&gt;='Single Project Assumptions'!$D$56,'Operational Phase'!DM$4&lt;'Single Project Assumptions'!$D$57),'Single Project Assumptions'!$D$54*DM$6,0)</f>
        <v>0</v>
      </c>
      <c r="DN9" s="21">
        <f>IF(AND(DN$4&gt;='Single Project Assumptions'!$D$56,'Operational Phase'!DN$4&lt;'Single Project Assumptions'!$D$57),'Single Project Assumptions'!$D$54*DN$6,0)</f>
        <v>0</v>
      </c>
      <c r="DO9" s="21">
        <f>IF(AND(DO$4&gt;='Single Project Assumptions'!$D$56,'Operational Phase'!DO$4&lt;'Single Project Assumptions'!$D$57),'Single Project Assumptions'!$D$54*DO$6,0)</f>
        <v>0</v>
      </c>
      <c r="DP9" s="21">
        <f>IF(AND(DP$4&gt;='Single Project Assumptions'!$D$56,'Operational Phase'!DP$4&lt;'Single Project Assumptions'!$D$57),'Single Project Assumptions'!$D$54*DP$6,0)</f>
        <v>0</v>
      </c>
      <c r="DQ9" s="21">
        <f>IF(AND(DQ$4&gt;='Single Project Assumptions'!$D$56,'Operational Phase'!DQ$4&lt;'Single Project Assumptions'!$D$57),'Single Project Assumptions'!$D$54*DQ$6,0)</f>
        <v>0</v>
      </c>
      <c r="DR9" s="21">
        <f>IF(AND(DR$4&gt;='Single Project Assumptions'!$D$56,'Operational Phase'!DR$4&lt;'Single Project Assumptions'!$D$57),'Single Project Assumptions'!$D$54*DR$6,0)</f>
        <v>0</v>
      </c>
      <c r="DS9" s="21">
        <f>IF(AND(DS$4&gt;='Single Project Assumptions'!$D$56,'Operational Phase'!DS$4&lt;'Single Project Assumptions'!$D$57),'Single Project Assumptions'!$D$54*DS$6,0)</f>
        <v>0</v>
      </c>
      <c r="DT9" s="21">
        <f>IF(AND(DT$4&gt;='Single Project Assumptions'!$D$56,'Operational Phase'!DT$4&lt;'Single Project Assumptions'!$D$57),'Single Project Assumptions'!$D$54*DT$6,0)</f>
        <v>0</v>
      </c>
      <c r="DU9" s="21">
        <f>IF(AND(DU$4&gt;='Single Project Assumptions'!$D$56,'Operational Phase'!DU$4&lt;'Single Project Assumptions'!$D$57),'Single Project Assumptions'!$D$54*DU$6,0)</f>
        <v>0</v>
      </c>
    </row>
    <row r="10" spans="3:125" s="3" customFormat="1" ht="22.95" customHeight="1">
      <c r="C10" s="3" t="s">
        <v>291</v>
      </c>
      <c r="D10" s="25">
        <f>SUM(E10:DU10)</f>
        <v>1690000</v>
      </c>
      <c r="E10" s="21">
        <f>IF(AND(E$4&gt;='Single Project Assumptions'!$T$53,'Operational Phase'!E$4&lt;'Single Project Assumptions'!$T$54),'Single Project Assumptions'!$T$49*'Operational Phase'!E$6,0)</f>
        <v>0</v>
      </c>
      <c r="F10" s="21">
        <f>IF(AND(F$4&gt;='Single Project Assumptions'!$T$53,'Operational Phase'!F$4&lt;'Single Project Assumptions'!$T$54),'Single Project Assumptions'!$T$49*'Operational Phase'!F$6,0)</f>
        <v>0</v>
      </c>
      <c r="G10" s="21">
        <f>IF(AND(G$4&gt;='Single Project Assumptions'!$T$53,'Operational Phase'!G$4&lt;'Single Project Assumptions'!$T$54),'Single Project Assumptions'!$T$49*'Operational Phase'!G$6,0)</f>
        <v>0</v>
      </c>
      <c r="H10" s="21">
        <f>IF(AND(H$4&gt;='Single Project Assumptions'!$T$53,'Operational Phase'!H$4&lt;'Single Project Assumptions'!$T$54),'Single Project Assumptions'!$T$49*'Operational Phase'!H$6,0)</f>
        <v>0</v>
      </c>
      <c r="I10" s="21">
        <f>IF(AND(I$4&gt;='Single Project Assumptions'!$T$53,'Operational Phase'!I$4&lt;'Single Project Assumptions'!$T$54),'Single Project Assumptions'!$T$49*'Operational Phase'!I$6,0)</f>
        <v>0</v>
      </c>
      <c r="J10" s="21">
        <f>IF(AND(J$4&gt;='Single Project Assumptions'!$T$53,'Operational Phase'!J$4&lt;'Single Project Assumptions'!$T$54),'Single Project Assumptions'!$T$49*'Operational Phase'!J$6,0)</f>
        <v>0</v>
      </c>
      <c r="K10" s="21">
        <f>IF(AND(K$4&gt;='Single Project Assumptions'!$T$53,'Operational Phase'!K$4&lt;'Single Project Assumptions'!$T$54),'Single Project Assumptions'!$T$49*'Operational Phase'!K$6,0)</f>
        <v>0</v>
      </c>
      <c r="L10" s="21">
        <f>IF(AND(L$4&gt;='Single Project Assumptions'!$T$53,'Operational Phase'!L$4&lt;'Single Project Assumptions'!$T$54),'Single Project Assumptions'!$T$49*'Operational Phase'!L$6,0)</f>
        <v>0</v>
      </c>
      <c r="M10" s="21">
        <f>IF(AND(M$4&gt;='Single Project Assumptions'!$T$53,'Operational Phase'!M$4&lt;'Single Project Assumptions'!$T$54),'Single Project Assumptions'!$T$49*'Operational Phase'!M$6,0)</f>
        <v>0</v>
      </c>
      <c r="N10" s="21">
        <f>IF(AND(N$4&gt;='Single Project Assumptions'!$T$53,'Operational Phase'!N$4&lt;'Single Project Assumptions'!$T$54),'Single Project Assumptions'!$T$49*'Operational Phase'!N$6,0)</f>
        <v>0</v>
      </c>
      <c r="O10" s="21">
        <f>IF(AND(O$4&gt;='Single Project Assumptions'!$T$53,'Operational Phase'!O$4&lt;'Single Project Assumptions'!$T$54),'Single Project Assumptions'!$T$49*'Operational Phase'!O$6,0)</f>
        <v>0</v>
      </c>
      <c r="P10" s="21">
        <f>IF(AND(P$4&gt;='Single Project Assumptions'!$T$53,'Operational Phase'!P$4&lt;'Single Project Assumptions'!$T$54),'Single Project Assumptions'!$T$49*'Operational Phase'!P$6,0)</f>
        <v>0</v>
      </c>
      <c r="Q10" s="21">
        <f>IF(AND(Q$4&gt;='Single Project Assumptions'!$T$53,'Operational Phase'!Q$4&lt;'Single Project Assumptions'!$T$54),'Single Project Assumptions'!$T$49*'Operational Phase'!Q$6,0)</f>
        <v>0</v>
      </c>
      <c r="R10" s="21">
        <f>IF(AND(R$4&gt;='Single Project Assumptions'!$T$53,'Operational Phase'!R$4&lt;'Single Project Assumptions'!$T$54),'Single Project Assumptions'!$T$49*'Operational Phase'!R$6,0)</f>
        <v>0</v>
      </c>
      <c r="S10" s="21">
        <f>IF(AND(S$4&gt;='Single Project Assumptions'!$T$53,'Operational Phase'!S$4&lt;'Single Project Assumptions'!$T$54),'Single Project Assumptions'!$T$49*'Operational Phase'!S$6,0)</f>
        <v>0</v>
      </c>
      <c r="T10" s="21">
        <f>IF(AND(T$4&gt;='Single Project Assumptions'!$T$53,'Operational Phase'!T$4&lt;'Single Project Assumptions'!$T$54),'Single Project Assumptions'!$T$49*'Operational Phase'!T$6,0)</f>
        <v>0</v>
      </c>
      <c r="U10" s="21">
        <f>IF(AND(U$4&gt;='Single Project Assumptions'!$T$53,'Operational Phase'!U$4&lt;'Single Project Assumptions'!$T$54),'Single Project Assumptions'!$T$49*'Operational Phase'!U$6,0)</f>
        <v>0</v>
      </c>
      <c r="V10" s="21">
        <f>IF(AND(V$4&gt;='Single Project Assumptions'!$T$53,'Operational Phase'!V$4&lt;'Single Project Assumptions'!$T$54),'Single Project Assumptions'!$T$49*'Operational Phase'!V$6,0)</f>
        <v>0</v>
      </c>
      <c r="W10" s="21">
        <f>IF(AND(W$4&gt;='Single Project Assumptions'!$T$53,'Operational Phase'!W$4&lt;'Single Project Assumptions'!$T$54),'Single Project Assumptions'!$T$49*'Operational Phase'!W$6,0)</f>
        <v>0</v>
      </c>
      <c r="X10" s="21">
        <f>IF(AND(X$4&gt;='Single Project Assumptions'!$T$53,'Operational Phase'!X$4&lt;'Single Project Assumptions'!$T$54),'Single Project Assumptions'!$T$49*'Operational Phase'!X$6,0)</f>
        <v>0</v>
      </c>
      <c r="Y10" s="21">
        <f>IF(AND(Y$4&gt;='Single Project Assumptions'!$T$53,'Operational Phase'!Y$4&lt;'Single Project Assumptions'!$T$54),'Single Project Assumptions'!$T$49*'Operational Phase'!Y$6,0)</f>
        <v>0</v>
      </c>
      <c r="Z10" s="21">
        <f>IF(AND(Z$4&gt;='Single Project Assumptions'!$T$53,'Operational Phase'!Z$4&lt;'Single Project Assumptions'!$T$54),'Single Project Assumptions'!$T$49*'Operational Phase'!Z$6,0)</f>
        <v>0</v>
      </c>
      <c r="AA10" s="21">
        <f>IF(AND(AA$4&gt;='Single Project Assumptions'!$T$53,'Operational Phase'!AA$4&lt;'Single Project Assumptions'!$T$54),'Single Project Assumptions'!$T$49*'Operational Phase'!AA$6,0)</f>
        <v>0</v>
      </c>
      <c r="AB10" s="21">
        <f>IF(AND(AB$4&gt;='Single Project Assumptions'!$T$53,'Operational Phase'!AB$4&lt;'Single Project Assumptions'!$T$54),'Single Project Assumptions'!$T$49*'Operational Phase'!AB$6,0)</f>
        <v>0</v>
      </c>
      <c r="AC10" s="21">
        <f>IF(AND(AC$4&gt;='Single Project Assumptions'!$T$53,'Operational Phase'!AC$4&lt;'Single Project Assumptions'!$T$54),'Single Project Assumptions'!$T$49*'Operational Phase'!AC$6,0)</f>
        <v>0</v>
      </c>
      <c r="AD10" s="21">
        <f>IF(AND(AD$4&gt;='Single Project Assumptions'!$T$53,'Operational Phase'!AD$4&lt;'Single Project Assumptions'!$T$54),'Single Project Assumptions'!$T$49*'Operational Phase'!AD$6,0)</f>
        <v>0</v>
      </c>
      <c r="AE10" s="21">
        <f>IF(AND(AE$4&gt;='Single Project Assumptions'!$T$53,'Operational Phase'!AE$4&lt;'Single Project Assumptions'!$T$54),'Single Project Assumptions'!$T$49*'Operational Phase'!AE$6,0)</f>
        <v>0</v>
      </c>
      <c r="AF10" s="21">
        <f>IF(AND(AF$4&gt;='Single Project Assumptions'!$T$53,'Operational Phase'!AF$4&lt;'Single Project Assumptions'!$T$54),'Single Project Assumptions'!$T$49*'Operational Phase'!AF$6,0)</f>
        <v>0</v>
      </c>
      <c r="AG10" s="21">
        <f>IF(AND(AG$4&gt;='Single Project Assumptions'!$T$53,'Operational Phase'!AG$4&lt;'Single Project Assumptions'!$T$54),'Single Project Assumptions'!$T$49*'Operational Phase'!AG$6,0)</f>
        <v>0</v>
      </c>
      <c r="AH10" s="21">
        <f>IF(AND(AH$4&gt;='Single Project Assumptions'!$T$53,'Operational Phase'!AH$4&lt;'Single Project Assumptions'!$T$54),'Single Project Assumptions'!$T$49*'Operational Phase'!AH$6,0)</f>
        <v>0</v>
      </c>
      <c r="AI10" s="21">
        <f>IF(AND(AI$4&gt;='Single Project Assumptions'!$T$53,'Operational Phase'!AI$4&lt;'Single Project Assumptions'!$T$54),'Single Project Assumptions'!$T$49*'Operational Phase'!AI$6,0)</f>
        <v>0</v>
      </c>
      <c r="AJ10" s="21">
        <f>IF(AND(AJ$4&gt;='Single Project Assumptions'!$T$53,'Operational Phase'!AJ$4&lt;'Single Project Assumptions'!$T$54),'Single Project Assumptions'!$T$49*'Operational Phase'!AJ$6,0)</f>
        <v>0</v>
      </c>
      <c r="AK10" s="21">
        <f>IF(AND(AK$4&gt;='Single Project Assumptions'!$T$53,'Operational Phase'!AK$4&lt;'Single Project Assumptions'!$T$54),'Single Project Assumptions'!$T$49*'Operational Phase'!AK$6,0)</f>
        <v>0</v>
      </c>
      <c r="AL10" s="21">
        <f>IF(AND(AL$4&gt;='Single Project Assumptions'!$T$53,'Operational Phase'!AL$4&lt;'Single Project Assumptions'!$T$54),'Single Project Assumptions'!$T$49*'Operational Phase'!AL$6,0)</f>
        <v>0</v>
      </c>
      <c r="AM10" s="21">
        <f>IF(AND(AM$4&gt;='Single Project Assumptions'!$T$53,'Operational Phase'!AM$4&lt;'Single Project Assumptions'!$T$54),'Single Project Assumptions'!$T$49*'Operational Phase'!AM$6,0)</f>
        <v>0</v>
      </c>
      <c r="AN10" s="21">
        <f>IF(AND(AN$4&gt;='Single Project Assumptions'!$T$53,'Operational Phase'!AN$4&lt;'Single Project Assumptions'!$T$54),'Single Project Assumptions'!$T$49*'Operational Phase'!AN$6,0)</f>
        <v>0</v>
      </c>
      <c r="AO10" s="21">
        <f>IF(AND(AO$4&gt;='Single Project Assumptions'!$T$53,'Operational Phase'!AO$4&lt;'Single Project Assumptions'!$T$54),'Single Project Assumptions'!$T$49*'Operational Phase'!AO$6,0)</f>
        <v>0</v>
      </c>
      <c r="AP10" s="21">
        <f>IF(AND(AP$4&gt;='Single Project Assumptions'!$T$53,'Operational Phase'!AP$4&lt;'Single Project Assumptions'!$T$54),'Single Project Assumptions'!$T$49*'Operational Phase'!AP$6,0)</f>
        <v>0</v>
      </c>
      <c r="AQ10" s="21">
        <f>IF(AND(AQ$4&gt;='Single Project Assumptions'!$T$53,'Operational Phase'!AQ$4&lt;'Single Project Assumptions'!$T$54),'Single Project Assumptions'!$T$49*'Operational Phase'!AQ$6,0)</f>
        <v>0</v>
      </c>
      <c r="AR10" s="21">
        <f>IF(AND(AR$4&gt;='Single Project Assumptions'!$T$53,'Operational Phase'!AR$4&lt;'Single Project Assumptions'!$T$54),'Single Project Assumptions'!$T$49*'Operational Phase'!AR$6,0)</f>
        <v>0</v>
      </c>
      <c r="AS10" s="21">
        <f>IF(AND(AS$4&gt;='Single Project Assumptions'!$T$53,'Operational Phase'!AS$4&lt;'Single Project Assumptions'!$T$54),'Single Project Assumptions'!$T$49*'Operational Phase'!AS$6,0)</f>
        <v>0</v>
      </c>
      <c r="AT10" s="21">
        <f>IF(AND(AT$4&gt;='Single Project Assumptions'!$T$53,'Operational Phase'!AT$4&lt;'Single Project Assumptions'!$T$54),'Single Project Assumptions'!$T$49*'Operational Phase'!AT$6,0)</f>
        <v>0</v>
      </c>
      <c r="AU10" s="21">
        <f>IF(AND(AU$4&gt;='Single Project Assumptions'!$T$53,'Operational Phase'!AU$4&lt;'Single Project Assumptions'!$T$54),'Single Project Assumptions'!$T$49*'Operational Phase'!AU$6,0)</f>
        <v>0</v>
      </c>
      <c r="AV10" s="21">
        <f>IF(AND(AV$4&gt;='Single Project Assumptions'!$T$53,'Operational Phase'!AV$4&lt;'Single Project Assumptions'!$T$54),'Single Project Assumptions'!$T$49*'Operational Phase'!AV$6,0)</f>
        <v>0</v>
      </c>
      <c r="AW10" s="21">
        <f>IF(AND(AW$4&gt;='Single Project Assumptions'!$T$53,'Operational Phase'!AW$4&lt;'Single Project Assumptions'!$T$54),'Single Project Assumptions'!$T$49*'Operational Phase'!AW$6,0)</f>
        <v>0</v>
      </c>
      <c r="AX10" s="21">
        <f>IF(AND(AX$4&gt;='Single Project Assumptions'!$T$53,'Operational Phase'!AX$4&lt;'Single Project Assumptions'!$T$54),'Single Project Assumptions'!$T$49*'Operational Phase'!AX$6,0)</f>
        <v>0</v>
      </c>
      <c r="AY10" s="21">
        <f>IF(AND(AY$4&gt;='Single Project Assumptions'!$T$53,'Operational Phase'!AY$4&lt;'Single Project Assumptions'!$T$54),'Single Project Assumptions'!$T$49*'Operational Phase'!AY$6,0)</f>
        <v>0</v>
      </c>
      <c r="AZ10" s="21">
        <f>IF(AND(AZ$4&gt;='Single Project Assumptions'!$T$53,'Operational Phase'!AZ$4&lt;'Single Project Assumptions'!$T$54),'Single Project Assumptions'!$T$49*'Operational Phase'!AZ$6,0)</f>
        <v>0</v>
      </c>
      <c r="BA10" s="21">
        <f>IF(AND(BA$4&gt;='Single Project Assumptions'!$T$53,'Operational Phase'!BA$4&lt;'Single Project Assumptions'!$T$54),'Single Project Assumptions'!$T$49*'Operational Phase'!BA$6,0)</f>
        <v>0</v>
      </c>
      <c r="BB10" s="21">
        <f>IF(AND(BB$4&gt;='Single Project Assumptions'!$T$53,'Operational Phase'!BB$4&lt;'Single Project Assumptions'!$T$54),'Single Project Assumptions'!$T$49*'Operational Phase'!BB$6,0)</f>
        <v>0</v>
      </c>
      <c r="BC10" s="21">
        <f>IF(AND(BC$4&gt;='Single Project Assumptions'!$T$53,'Operational Phase'!BC$4&lt;'Single Project Assumptions'!$T$54),'Single Project Assumptions'!$T$49*'Operational Phase'!BC$6,0)</f>
        <v>0</v>
      </c>
      <c r="BD10" s="21">
        <f>IF(AND(BD$4&gt;='Single Project Assumptions'!$T$53,'Operational Phase'!BD$4&lt;'Single Project Assumptions'!$T$54),'Single Project Assumptions'!$T$49*'Operational Phase'!BD$6,0)</f>
        <v>11666.666666666668</v>
      </c>
      <c r="BE10" s="21">
        <f>IF(AND(BE$4&gt;='Single Project Assumptions'!$T$53,'Operational Phase'!BE$4&lt;'Single Project Assumptions'!$T$54),'Single Project Assumptions'!$T$49*'Operational Phase'!BE$6,0)</f>
        <v>13333.333333333334</v>
      </c>
      <c r="BF10" s="21">
        <f>IF(AND(BF$4&gt;='Single Project Assumptions'!$T$53,'Operational Phase'!BF$4&lt;'Single Project Assumptions'!$T$54),'Single Project Assumptions'!$T$49*'Operational Phase'!BF$6,0)</f>
        <v>15000</v>
      </c>
      <c r="BG10" s="21">
        <f>IF(AND(BG$4&gt;='Single Project Assumptions'!$T$53,'Operational Phase'!BG$4&lt;'Single Project Assumptions'!$T$54),'Single Project Assumptions'!$T$49*'Operational Phase'!BG$6,0)</f>
        <v>16666.666666666664</v>
      </c>
      <c r="BH10" s="21">
        <f>IF(AND(BH$4&gt;='Single Project Assumptions'!$T$53,'Operational Phase'!BH$4&lt;'Single Project Assumptions'!$T$54),'Single Project Assumptions'!$T$49*'Operational Phase'!BH$6,0)</f>
        <v>18333.333333333332</v>
      </c>
      <c r="BI10" s="21">
        <f>IF(AND(BI$4&gt;='Single Project Assumptions'!$T$53,'Operational Phase'!BI$4&lt;'Single Project Assumptions'!$T$54),'Single Project Assumptions'!$T$49*'Operational Phase'!BI$6,0)</f>
        <v>19999.999999999996</v>
      </c>
      <c r="BJ10" s="21">
        <f>IF(AND(BJ$4&gt;='Single Project Assumptions'!$T$53,'Operational Phase'!BJ$4&lt;'Single Project Assumptions'!$T$54),'Single Project Assumptions'!$T$49*'Operational Phase'!BJ$6,0)</f>
        <v>21666.666666666664</v>
      </c>
      <c r="BK10" s="21">
        <f>IF(AND(BK$4&gt;='Single Project Assumptions'!$T$53,'Operational Phase'!BK$4&lt;'Single Project Assumptions'!$T$54),'Single Project Assumptions'!$T$49*'Operational Phase'!BK$6,0)</f>
        <v>23333.333333333328</v>
      </c>
      <c r="BL10" s="21">
        <f>IF(AND(BL$4&gt;='Single Project Assumptions'!$T$53,'Operational Phase'!BL$4&lt;'Single Project Assumptions'!$T$54),'Single Project Assumptions'!$T$49*'Operational Phase'!BL$6,0)</f>
        <v>24999.999999999993</v>
      </c>
      <c r="BM10" s="21">
        <f>IF(AND(BM$4&gt;='Single Project Assumptions'!$T$53,'Operational Phase'!BM$4&lt;'Single Project Assumptions'!$T$54),'Single Project Assumptions'!$T$49*'Operational Phase'!BM$6,0)</f>
        <v>26666.666666666664</v>
      </c>
      <c r="BN10" s="21">
        <f>IF(AND(BN$4&gt;='Single Project Assumptions'!$T$53,'Operational Phase'!BN$4&lt;'Single Project Assumptions'!$T$54),'Single Project Assumptions'!$T$49*'Operational Phase'!BN$6,0)</f>
        <v>28333.333333333332</v>
      </c>
      <c r="BO10" s="21">
        <f>IF(AND(BO$4&gt;='Single Project Assumptions'!$T$53,'Operational Phase'!BO$4&lt;'Single Project Assumptions'!$T$54),'Single Project Assumptions'!$T$49*'Operational Phase'!BO$6,0)</f>
        <v>30000</v>
      </c>
      <c r="BP10" s="21">
        <f>IF(AND(BP$4&gt;='Single Project Assumptions'!$T$53,'Operational Phase'!BP$4&lt;'Single Project Assumptions'!$T$54),'Single Project Assumptions'!$T$49*'Operational Phase'!BP$6,0)</f>
        <v>30000</v>
      </c>
      <c r="BQ10" s="21">
        <f>IF(AND(BQ$4&gt;='Single Project Assumptions'!$T$53,'Operational Phase'!BQ$4&lt;'Single Project Assumptions'!$T$54),'Single Project Assumptions'!$T$49*'Operational Phase'!BQ$6,0)</f>
        <v>30000</v>
      </c>
      <c r="BR10" s="21">
        <f>IF(AND(BR$4&gt;='Single Project Assumptions'!$T$53,'Operational Phase'!BR$4&lt;'Single Project Assumptions'!$T$54),'Single Project Assumptions'!$T$49*'Operational Phase'!BR$6,0)</f>
        <v>30000</v>
      </c>
      <c r="BS10" s="21">
        <f>IF(AND(BS$4&gt;='Single Project Assumptions'!$T$53,'Operational Phase'!BS$4&lt;'Single Project Assumptions'!$T$54),'Single Project Assumptions'!$T$49*'Operational Phase'!BS$6,0)</f>
        <v>30000</v>
      </c>
      <c r="BT10" s="21">
        <f>IF(AND(BT$4&gt;='Single Project Assumptions'!$T$53,'Operational Phase'!BT$4&lt;'Single Project Assumptions'!$T$54),'Single Project Assumptions'!$T$49*'Operational Phase'!BT$6,0)</f>
        <v>30000</v>
      </c>
      <c r="BU10" s="21">
        <f>IF(AND(BU$4&gt;='Single Project Assumptions'!$T$53,'Operational Phase'!BU$4&lt;'Single Project Assumptions'!$T$54),'Single Project Assumptions'!$T$49*'Operational Phase'!BU$6,0)</f>
        <v>30000</v>
      </c>
      <c r="BV10" s="21">
        <f>IF(AND(BV$4&gt;='Single Project Assumptions'!$T$53,'Operational Phase'!BV$4&lt;'Single Project Assumptions'!$T$54),'Single Project Assumptions'!$T$49*'Operational Phase'!BV$6,0)</f>
        <v>30000</v>
      </c>
      <c r="BW10" s="21">
        <f>IF(AND(BW$4&gt;='Single Project Assumptions'!$T$53,'Operational Phase'!BW$4&lt;'Single Project Assumptions'!$T$54),'Single Project Assumptions'!$T$49*'Operational Phase'!BW$6,0)</f>
        <v>30000</v>
      </c>
      <c r="BX10" s="21">
        <f>IF(AND(BX$4&gt;='Single Project Assumptions'!$T$53,'Operational Phase'!BX$4&lt;'Single Project Assumptions'!$T$54),'Single Project Assumptions'!$T$49*'Operational Phase'!BX$6,0)</f>
        <v>30000</v>
      </c>
      <c r="BY10" s="21">
        <f>IF(AND(BY$4&gt;='Single Project Assumptions'!$T$53,'Operational Phase'!BY$4&lt;'Single Project Assumptions'!$T$54),'Single Project Assumptions'!$T$49*'Operational Phase'!BY$6,0)</f>
        <v>30000</v>
      </c>
      <c r="BZ10" s="21">
        <f>IF(AND(BZ$4&gt;='Single Project Assumptions'!$T$53,'Operational Phase'!BZ$4&lt;'Single Project Assumptions'!$T$54),'Single Project Assumptions'!$T$49*'Operational Phase'!BZ$6,0)</f>
        <v>30000</v>
      </c>
      <c r="CA10" s="21">
        <f>IF(AND(CA$4&gt;='Single Project Assumptions'!$T$53,'Operational Phase'!CA$4&lt;'Single Project Assumptions'!$T$54),'Single Project Assumptions'!$T$49*'Operational Phase'!CA$6,0)</f>
        <v>30000</v>
      </c>
      <c r="CB10" s="21">
        <f>IF(AND(CB$4&gt;='Single Project Assumptions'!$T$53,'Operational Phase'!CB$4&lt;'Single Project Assumptions'!$T$54),'Single Project Assumptions'!$T$49*'Operational Phase'!CB$6,0)</f>
        <v>30000</v>
      </c>
      <c r="CC10" s="21">
        <f>IF(AND(CC$4&gt;='Single Project Assumptions'!$T$53,'Operational Phase'!CC$4&lt;'Single Project Assumptions'!$T$54),'Single Project Assumptions'!$T$49*'Operational Phase'!CC$6,0)</f>
        <v>30000</v>
      </c>
      <c r="CD10" s="21">
        <f>IF(AND(CD$4&gt;='Single Project Assumptions'!$T$53,'Operational Phase'!CD$4&lt;'Single Project Assumptions'!$T$54),'Single Project Assumptions'!$T$49*'Operational Phase'!CD$6,0)</f>
        <v>30000</v>
      </c>
      <c r="CE10" s="21">
        <f>IF(AND(CE$4&gt;='Single Project Assumptions'!$T$53,'Operational Phase'!CE$4&lt;'Single Project Assumptions'!$T$54),'Single Project Assumptions'!$T$49*'Operational Phase'!CE$6,0)</f>
        <v>30000</v>
      </c>
      <c r="CF10" s="21">
        <f>IF(AND(CF$4&gt;='Single Project Assumptions'!$T$53,'Operational Phase'!CF$4&lt;'Single Project Assumptions'!$T$54),'Single Project Assumptions'!$T$49*'Operational Phase'!CF$6,0)</f>
        <v>30000</v>
      </c>
      <c r="CG10" s="21">
        <f>IF(AND(CG$4&gt;='Single Project Assumptions'!$T$53,'Operational Phase'!CG$4&lt;'Single Project Assumptions'!$T$54),'Single Project Assumptions'!$T$49*'Operational Phase'!CG$6,0)</f>
        <v>30000</v>
      </c>
      <c r="CH10" s="21">
        <f>IF(AND(CH$4&gt;='Single Project Assumptions'!$T$53,'Operational Phase'!CH$4&lt;'Single Project Assumptions'!$T$54),'Single Project Assumptions'!$T$49*'Operational Phase'!CH$6,0)</f>
        <v>30000</v>
      </c>
      <c r="CI10" s="21">
        <f>IF(AND(CI$4&gt;='Single Project Assumptions'!$T$53,'Operational Phase'!CI$4&lt;'Single Project Assumptions'!$T$54),'Single Project Assumptions'!$T$49*'Operational Phase'!CI$6,0)</f>
        <v>30000</v>
      </c>
      <c r="CJ10" s="21">
        <f>IF(AND(CJ$4&gt;='Single Project Assumptions'!$T$53,'Operational Phase'!CJ$4&lt;'Single Project Assumptions'!$T$54),'Single Project Assumptions'!$T$49*'Operational Phase'!CJ$6,0)</f>
        <v>30000</v>
      </c>
      <c r="CK10" s="21">
        <f>IF(AND(CK$4&gt;='Single Project Assumptions'!$T$53,'Operational Phase'!CK$4&lt;'Single Project Assumptions'!$T$54),'Single Project Assumptions'!$T$49*'Operational Phase'!CK$6,0)</f>
        <v>30000</v>
      </c>
      <c r="CL10" s="21">
        <f>IF(AND(CL$4&gt;='Single Project Assumptions'!$T$53,'Operational Phase'!CL$4&lt;'Single Project Assumptions'!$T$54),'Single Project Assumptions'!$T$49*'Operational Phase'!CL$6,0)</f>
        <v>30000</v>
      </c>
      <c r="CM10" s="21">
        <f>IF(AND(CM$4&gt;='Single Project Assumptions'!$T$53,'Operational Phase'!CM$4&lt;'Single Project Assumptions'!$T$54),'Single Project Assumptions'!$T$49*'Operational Phase'!CM$6,0)</f>
        <v>30000</v>
      </c>
      <c r="CN10" s="21">
        <f>IF(AND(CN$4&gt;='Single Project Assumptions'!$T$53,'Operational Phase'!CN$4&lt;'Single Project Assumptions'!$T$54),'Single Project Assumptions'!$T$49*'Operational Phase'!CN$6,0)</f>
        <v>30000</v>
      </c>
      <c r="CO10" s="21">
        <f>IF(AND(CO$4&gt;='Single Project Assumptions'!$T$53,'Operational Phase'!CO$4&lt;'Single Project Assumptions'!$T$54),'Single Project Assumptions'!$T$49*'Operational Phase'!CO$6,0)</f>
        <v>30000</v>
      </c>
      <c r="CP10" s="21">
        <f>IF(AND(CP$4&gt;='Single Project Assumptions'!$T$53,'Operational Phase'!CP$4&lt;'Single Project Assumptions'!$T$54),'Single Project Assumptions'!$T$49*'Operational Phase'!CP$6,0)</f>
        <v>30000</v>
      </c>
      <c r="CQ10" s="21">
        <f>IF(AND(CQ$4&gt;='Single Project Assumptions'!$T$53,'Operational Phase'!CQ$4&lt;'Single Project Assumptions'!$T$54),'Single Project Assumptions'!$T$49*'Operational Phase'!CQ$6,0)</f>
        <v>30000</v>
      </c>
      <c r="CR10" s="21">
        <f>IF(AND(CR$4&gt;='Single Project Assumptions'!$T$53,'Operational Phase'!CR$4&lt;'Single Project Assumptions'!$T$54),'Single Project Assumptions'!$T$49*'Operational Phase'!CR$6,0)</f>
        <v>30000</v>
      </c>
      <c r="CS10" s="21">
        <f>IF(AND(CS$4&gt;='Single Project Assumptions'!$T$53,'Operational Phase'!CS$4&lt;'Single Project Assumptions'!$T$54),'Single Project Assumptions'!$T$49*'Operational Phase'!CS$6,0)</f>
        <v>30000</v>
      </c>
      <c r="CT10" s="21">
        <f>IF(AND(CT$4&gt;='Single Project Assumptions'!$T$53,'Operational Phase'!CT$4&lt;'Single Project Assumptions'!$T$54),'Single Project Assumptions'!$T$49*'Operational Phase'!CT$6,0)</f>
        <v>30000</v>
      </c>
      <c r="CU10" s="21">
        <f>IF(AND(CU$4&gt;='Single Project Assumptions'!$T$53,'Operational Phase'!CU$4&lt;'Single Project Assumptions'!$T$54),'Single Project Assumptions'!$T$49*'Operational Phase'!CU$6,0)</f>
        <v>30000</v>
      </c>
      <c r="CV10" s="21">
        <f>IF(AND(CV$4&gt;='Single Project Assumptions'!$T$53,'Operational Phase'!CV$4&lt;'Single Project Assumptions'!$T$54),'Single Project Assumptions'!$T$49*'Operational Phase'!CV$6,0)</f>
        <v>30000</v>
      </c>
      <c r="CW10" s="21">
        <f>IF(AND(CW$4&gt;='Single Project Assumptions'!$T$53,'Operational Phase'!CW$4&lt;'Single Project Assumptions'!$T$54),'Single Project Assumptions'!$T$49*'Operational Phase'!CW$6,0)</f>
        <v>30000</v>
      </c>
      <c r="CX10" s="21">
        <f>IF(AND(CX$4&gt;='Single Project Assumptions'!$T$53,'Operational Phase'!CX$4&lt;'Single Project Assumptions'!$T$54),'Single Project Assumptions'!$T$49*'Operational Phase'!CX$6,0)</f>
        <v>30000</v>
      </c>
      <c r="CY10" s="21">
        <f>IF(AND(CY$4&gt;='Single Project Assumptions'!$T$53,'Operational Phase'!CY$4&lt;'Single Project Assumptions'!$T$54),'Single Project Assumptions'!$T$49*'Operational Phase'!CY$6,0)</f>
        <v>30000</v>
      </c>
      <c r="CZ10" s="21">
        <f>IF(AND(CZ$4&gt;='Single Project Assumptions'!$T$53,'Operational Phase'!CZ$4&lt;'Single Project Assumptions'!$T$54),'Single Project Assumptions'!$T$49*'Operational Phase'!CZ$6,0)</f>
        <v>30000</v>
      </c>
      <c r="DA10" s="21">
        <f>IF(AND(DA$4&gt;='Single Project Assumptions'!$T$53,'Operational Phase'!DA$4&lt;'Single Project Assumptions'!$T$54),'Single Project Assumptions'!$T$49*'Operational Phase'!DA$6,0)</f>
        <v>30000</v>
      </c>
      <c r="DB10" s="21">
        <f>IF(AND(DB$4&gt;='Single Project Assumptions'!$T$53,'Operational Phase'!DB$4&lt;'Single Project Assumptions'!$T$54),'Single Project Assumptions'!$T$49*'Operational Phase'!DB$6,0)</f>
        <v>30000</v>
      </c>
      <c r="DC10" s="21">
        <f>IF(AND(DC$4&gt;='Single Project Assumptions'!$T$53,'Operational Phase'!DC$4&lt;'Single Project Assumptions'!$T$54),'Single Project Assumptions'!$T$49*'Operational Phase'!DC$6,0)</f>
        <v>30000</v>
      </c>
      <c r="DD10" s="21">
        <f>IF(AND(DD$4&gt;='Single Project Assumptions'!$T$53,'Operational Phase'!DD$4&lt;'Single Project Assumptions'!$T$54),'Single Project Assumptions'!$T$49*'Operational Phase'!DD$6,0)</f>
        <v>30000</v>
      </c>
      <c r="DE10" s="21">
        <f>IF(AND(DE$4&gt;='Single Project Assumptions'!$T$53,'Operational Phase'!DE$4&lt;'Single Project Assumptions'!$T$54),'Single Project Assumptions'!$T$49*'Operational Phase'!DE$6,0)</f>
        <v>30000</v>
      </c>
      <c r="DF10" s="21">
        <f>IF(AND(DF$4&gt;='Single Project Assumptions'!$T$53,'Operational Phase'!DF$4&lt;'Single Project Assumptions'!$T$54),'Single Project Assumptions'!$T$49*'Operational Phase'!DF$6,0)</f>
        <v>30000</v>
      </c>
      <c r="DG10" s="21">
        <f>IF(AND(DG$4&gt;='Single Project Assumptions'!$T$53,'Operational Phase'!DG$4&lt;'Single Project Assumptions'!$T$54),'Single Project Assumptions'!$T$49*'Operational Phase'!DG$6,0)</f>
        <v>30000</v>
      </c>
      <c r="DH10" s="21">
        <f>IF(AND(DH$4&gt;='Single Project Assumptions'!$T$53,'Operational Phase'!DH$4&lt;'Single Project Assumptions'!$T$54),'Single Project Assumptions'!$T$49*'Operational Phase'!DH$6,0)</f>
        <v>30000</v>
      </c>
      <c r="DI10" s="21">
        <f>IF(AND(DI$4&gt;='Single Project Assumptions'!$T$53,'Operational Phase'!DI$4&lt;'Single Project Assumptions'!$T$54),'Single Project Assumptions'!$T$49*'Operational Phase'!DI$6,0)</f>
        <v>30000</v>
      </c>
      <c r="DJ10" s="21">
        <f>IF(AND(DJ$4&gt;='Single Project Assumptions'!$T$53,'Operational Phase'!DJ$4&lt;'Single Project Assumptions'!$T$54),'Single Project Assumptions'!$T$49*'Operational Phase'!DJ$6,0)</f>
        <v>30000</v>
      </c>
      <c r="DK10" s="21">
        <f>IF(AND(DK$4&gt;='Single Project Assumptions'!$T$53,'Operational Phase'!DK$4&lt;'Single Project Assumptions'!$T$54),'Single Project Assumptions'!$T$49*'Operational Phase'!DK$6,0)</f>
        <v>30000</v>
      </c>
      <c r="DL10" s="21">
        <f>IF(AND(DL$4&gt;='Single Project Assumptions'!$T$53,'Operational Phase'!DL$4&lt;'Single Project Assumptions'!$T$54),'Single Project Assumptions'!$T$49*'Operational Phase'!DL$6,0)</f>
        <v>0</v>
      </c>
      <c r="DM10" s="21">
        <f>IF(AND(DM$4&gt;='Single Project Assumptions'!$T$53,'Operational Phase'!DM$4&lt;'Single Project Assumptions'!$T$54),'Single Project Assumptions'!$T$49*'Operational Phase'!DM$6,0)</f>
        <v>0</v>
      </c>
      <c r="DN10" s="21">
        <f>IF(AND(DN$4&gt;='Single Project Assumptions'!$T$53,'Operational Phase'!DN$4&lt;'Single Project Assumptions'!$T$54),'Single Project Assumptions'!$T$49*'Operational Phase'!DN$6,0)</f>
        <v>0</v>
      </c>
      <c r="DO10" s="21">
        <f>IF(AND(DO$4&gt;='Single Project Assumptions'!$T$53,'Operational Phase'!DO$4&lt;'Single Project Assumptions'!$T$54),'Single Project Assumptions'!$T$49*'Operational Phase'!DO$6,0)</f>
        <v>0</v>
      </c>
      <c r="DP10" s="21">
        <f>IF(AND(DP$4&gt;='Single Project Assumptions'!$T$53,'Operational Phase'!DP$4&lt;'Single Project Assumptions'!$T$54),'Single Project Assumptions'!$T$49*'Operational Phase'!DP$6,0)</f>
        <v>0</v>
      </c>
      <c r="DQ10" s="21">
        <f>IF(AND(DQ$4&gt;='Single Project Assumptions'!$T$53,'Operational Phase'!DQ$4&lt;'Single Project Assumptions'!$T$54),'Single Project Assumptions'!$T$49*'Operational Phase'!DQ$6,0)</f>
        <v>0</v>
      </c>
      <c r="DR10" s="21">
        <f>IF(AND(DR$4&gt;='Single Project Assumptions'!$T$53,'Operational Phase'!DR$4&lt;'Single Project Assumptions'!$T$54),'Single Project Assumptions'!$T$49*'Operational Phase'!DR$6,0)</f>
        <v>0</v>
      </c>
      <c r="DS10" s="21">
        <f>IF(AND(DS$4&gt;='Single Project Assumptions'!$T$53,'Operational Phase'!DS$4&lt;'Single Project Assumptions'!$T$54),'Single Project Assumptions'!$T$49*'Operational Phase'!DS$6,0)</f>
        <v>0</v>
      </c>
      <c r="DT10" s="21">
        <f>IF(AND(DT$4&gt;='Single Project Assumptions'!$T$53,'Operational Phase'!DT$4&lt;'Single Project Assumptions'!$T$54),'Single Project Assumptions'!$T$49*'Operational Phase'!DT$6,0)</f>
        <v>0</v>
      </c>
      <c r="DU10" s="21">
        <f>IF(AND(DU$4&gt;='Single Project Assumptions'!$T$53,'Operational Phase'!DU$4&lt;'Single Project Assumptions'!$T$54),'Single Project Assumptions'!$T$49*'Operational Phase'!DU$6,0)</f>
        <v>0</v>
      </c>
    </row>
    <row r="11" spans="3:125" s="3" customFormat="1" ht="22.95" customHeight="1">
      <c r="C11" s="26" t="s">
        <v>292</v>
      </c>
      <c r="D11" s="27">
        <f>SUM(E11:DU11)</f>
        <v>3661666.6666666665</v>
      </c>
      <c r="E11" s="46">
        <f t="shared" ref="E11:AJ11" si="8">SUM(E8:E10)</f>
        <v>0</v>
      </c>
      <c r="F11" s="46">
        <f t="shared" si="8"/>
        <v>0</v>
      </c>
      <c r="G11" s="46">
        <f t="shared" si="8"/>
        <v>0</v>
      </c>
      <c r="H11" s="46">
        <f t="shared" si="8"/>
        <v>0</v>
      </c>
      <c r="I11" s="46">
        <f t="shared" si="8"/>
        <v>0</v>
      </c>
      <c r="J11" s="46">
        <f t="shared" si="8"/>
        <v>0</v>
      </c>
      <c r="K11" s="46">
        <f t="shared" si="8"/>
        <v>0</v>
      </c>
      <c r="L11" s="46">
        <f t="shared" si="8"/>
        <v>0</v>
      </c>
      <c r="M11" s="46">
        <f t="shared" si="8"/>
        <v>0</v>
      </c>
      <c r="N11" s="46">
        <f t="shared" si="8"/>
        <v>0</v>
      </c>
      <c r="O11" s="46">
        <f t="shared" si="8"/>
        <v>0</v>
      </c>
      <c r="P11" s="46">
        <f t="shared" si="8"/>
        <v>0</v>
      </c>
      <c r="Q11" s="46">
        <f t="shared" si="8"/>
        <v>0</v>
      </c>
      <c r="R11" s="46">
        <f t="shared" si="8"/>
        <v>0</v>
      </c>
      <c r="S11" s="46">
        <f t="shared" si="8"/>
        <v>0</v>
      </c>
      <c r="T11" s="46">
        <f t="shared" si="8"/>
        <v>0</v>
      </c>
      <c r="U11" s="46">
        <f t="shared" si="8"/>
        <v>0</v>
      </c>
      <c r="V11" s="46">
        <f t="shared" si="8"/>
        <v>0</v>
      </c>
      <c r="W11" s="46">
        <f t="shared" si="8"/>
        <v>0</v>
      </c>
      <c r="X11" s="46">
        <f t="shared" si="8"/>
        <v>0</v>
      </c>
      <c r="Y11" s="46">
        <f t="shared" si="8"/>
        <v>0</v>
      </c>
      <c r="Z11" s="46">
        <f t="shared" si="8"/>
        <v>0</v>
      </c>
      <c r="AA11" s="46">
        <f t="shared" si="8"/>
        <v>0</v>
      </c>
      <c r="AB11" s="46">
        <f t="shared" si="8"/>
        <v>0</v>
      </c>
      <c r="AC11" s="46">
        <f t="shared" si="8"/>
        <v>0</v>
      </c>
      <c r="AD11" s="46">
        <f t="shared" si="8"/>
        <v>0</v>
      </c>
      <c r="AE11" s="46">
        <f t="shared" si="8"/>
        <v>0</v>
      </c>
      <c r="AF11" s="46">
        <f t="shared" si="8"/>
        <v>0</v>
      </c>
      <c r="AG11" s="46">
        <f t="shared" si="8"/>
        <v>0</v>
      </c>
      <c r="AH11" s="46">
        <f t="shared" si="8"/>
        <v>0</v>
      </c>
      <c r="AI11" s="46">
        <f t="shared" si="8"/>
        <v>0</v>
      </c>
      <c r="AJ11" s="46">
        <f t="shared" si="8"/>
        <v>0</v>
      </c>
      <c r="AK11" s="46">
        <f t="shared" ref="AK11:BP11" si="9">SUM(AK8:AK10)</f>
        <v>0</v>
      </c>
      <c r="AL11" s="46">
        <f t="shared" si="9"/>
        <v>0</v>
      </c>
      <c r="AM11" s="46">
        <f t="shared" si="9"/>
        <v>0</v>
      </c>
      <c r="AN11" s="46">
        <f t="shared" si="9"/>
        <v>0</v>
      </c>
      <c r="AO11" s="46">
        <f t="shared" si="9"/>
        <v>0</v>
      </c>
      <c r="AP11" s="46">
        <f t="shared" si="9"/>
        <v>0</v>
      </c>
      <c r="AQ11" s="46">
        <f t="shared" si="9"/>
        <v>0</v>
      </c>
      <c r="AR11" s="46">
        <f t="shared" si="9"/>
        <v>0</v>
      </c>
      <c r="AS11" s="46">
        <f t="shared" si="9"/>
        <v>0</v>
      </c>
      <c r="AT11" s="46">
        <f t="shared" si="9"/>
        <v>0</v>
      </c>
      <c r="AU11" s="46">
        <f t="shared" si="9"/>
        <v>0</v>
      </c>
      <c r="AV11" s="46">
        <f t="shared" si="9"/>
        <v>0</v>
      </c>
      <c r="AW11" s="46">
        <f t="shared" si="9"/>
        <v>0</v>
      </c>
      <c r="AX11" s="46">
        <f t="shared" si="9"/>
        <v>0</v>
      </c>
      <c r="AY11" s="46">
        <f t="shared" si="9"/>
        <v>0</v>
      </c>
      <c r="AZ11" s="46">
        <f t="shared" si="9"/>
        <v>0</v>
      </c>
      <c r="BA11" s="46">
        <f t="shared" si="9"/>
        <v>0</v>
      </c>
      <c r="BB11" s="46">
        <f t="shared" si="9"/>
        <v>0</v>
      </c>
      <c r="BC11" s="46">
        <f t="shared" si="9"/>
        <v>0</v>
      </c>
      <c r="BD11" s="46">
        <f t="shared" si="9"/>
        <v>25277.777777777781</v>
      </c>
      <c r="BE11" s="46">
        <f t="shared" si="9"/>
        <v>28888.888888888891</v>
      </c>
      <c r="BF11" s="46">
        <f t="shared" si="9"/>
        <v>32500</v>
      </c>
      <c r="BG11" s="46">
        <f t="shared" si="9"/>
        <v>36111.111111111109</v>
      </c>
      <c r="BH11" s="46">
        <f t="shared" si="9"/>
        <v>39722.222222222219</v>
      </c>
      <c r="BI11" s="46">
        <f t="shared" si="9"/>
        <v>43333.333333333328</v>
      </c>
      <c r="BJ11" s="46">
        <f t="shared" si="9"/>
        <v>46944.444444444438</v>
      </c>
      <c r="BK11" s="46">
        <f t="shared" si="9"/>
        <v>50555.555555555547</v>
      </c>
      <c r="BL11" s="46">
        <f t="shared" si="9"/>
        <v>54166.666666666657</v>
      </c>
      <c r="BM11" s="46">
        <f t="shared" si="9"/>
        <v>57777.777777777766</v>
      </c>
      <c r="BN11" s="46">
        <f t="shared" si="9"/>
        <v>61388.888888888891</v>
      </c>
      <c r="BO11" s="46">
        <f t="shared" si="9"/>
        <v>65000</v>
      </c>
      <c r="BP11" s="46">
        <f t="shared" si="9"/>
        <v>65000</v>
      </c>
      <c r="BQ11" s="46">
        <f t="shared" ref="BQ11:CV11" si="10">SUM(BQ8:BQ10)</f>
        <v>65000</v>
      </c>
      <c r="BR11" s="46">
        <f t="shared" si="10"/>
        <v>65000</v>
      </c>
      <c r="BS11" s="46">
        <f t="shared" si="10"/>
        <v>65000</v>
      </c>
      <c r="BT11" s="46">
        <f t="shared" si="10"/>
        <v>65000</v>
      </c>
      <c r="BU11" s="46">
        <f t="shared" si="10"/>
        <v>65000</v>
      </c>
      <c r="BV11" s="46">
        <f t="shared" si="10"/>
        <v>65000</v>
      </c>
      <c r="BW11" s="46">
        <f t="shared" si="10"/>
        <v>65000</v>
      </c>
      <c r="BX11" s="46">
        <f t="shared" si="10"/>
        <v>65000</v>
      </c>
      <c r="BY11" s="46">
        <f t="shared" si="10"/>
        <v>65000</v>
      </c>
      <c r="BZ11" s="46">
        <f t="shared" si="10"/>
        <v>65000</v>
      </c>
      <c r="CA11" s="46">
        <f t="shared" si="10"/>
        <v>65000</v>
      </c>
      <c r="CB11" s="46">
        <f t="shared" si="10"/>
        <v>65000</v>
      </c>
      <c r="CC11" s="46">
        <f t="shared" si="10"/>
        <v>65000</v>
      </c>
      <c r="CD11" s="46">
        <f t="shared" si="10"/>
        <v>65000</v>
      </c>
      <c r="CE11" s="46">
        <f t="shared" si="10"/>
        <v>65000</v>
      </c>
      <c r="CF11" s="46">
        <f t="shared" si="10"/>
        <v>65000</v>
      </c>
      <c r="CG11" s="46">
        <f t="shared" si="10"/>
        <v>65000</v>
      </c>
      <c r="CH11" s="46">
        <f t="shared" si="10"/>
        <v>65000</v>
      </c>
      <c r="CI11" s="46">
        <f t="shared" si="10"/>
        <v>65000</v>
      </c>
      <c r="CJ11" s="46">
        <f t="shared" si="10"/>
        <v>65000</v>
      </c>
      <c r="CK11" s="46">
        <f t="shared" si="10"/>
        <v>65000</v>
      </c>
      <c r="CL11" s="46">
        <f t="shared" si="10"/>
        <v>65000</v>
      </c>
      <c r="CM11" s="46">
        <f t="shared" si="10"/>
        <v>65000</v>
      </c>
      <c r="CN11" s="46">
        <f t="shared" si="10"/>
        <v>65000</v>
      </c>
      <c r="CO11" s="46">
        <f t="shared" si="10"/>
        <v>65000</v>
      </c>
      <c r="CP11" s="46">
        <f t="shared" si="10"/>
        <v>65000</v>
      </c>
      <c r="CQ11" s="46">
        <f t="shared" si="10"/>
        <v>65000</v>
      </c>
      <c r="CR11" s="46">
        <f t="shared" si="10"/>
        <v>65000</v>
      </c>
      <c r="CS11" s="46">
        <f t="shared" si="10"/>
        <v>65000</v>
      </c>
      <c r="CT11" s="46">
        <f t="shared" si="10"/>
        <v>65000</v>
      </c>
      <c r="CU11" s="46">
        <f t="shared" si="10"/>
        <v>65000</v>
      </c>
      <c r="CV11" s="46">
        <f t="shared" si="10"/>
        <v>65000</v>
      </c>
      <c r="CW11" s="46">
        <f t="shared" ref="CW11:DU11" si="11">SUM(CW8:CW10)</f>
        <v>65000</v>
      </c>
      <c r="CX11" s="46">
        <f t="shared" si="11"/>
        <v>65000</v>
      </c>
      <c r="CY11" s="46">
        <f t="shared" si="11"/>
        <v>65000</v>
      </c>
      <c r="CZ11" s="46">
        <f t="shared" si="11"/>
        <v>65000</v>
      </c>
      <c r="DA11" s="46">
        <f t="shared" si="11"/>
        <v>65000</v>
      </c>
      <c r="DB11" s="46">
        <f t="shared" si="11"/>
        <v>65000</v>
      </c>
      <c r="DC11" s="46">
        <f t="shared" si="11"/>
        <v>65000</v>
      </c>
      <c r="DD11" s="46">
        <f t="shared" si="11"/>
        <v>65000</v>
      </c>
      <c r="DE11" s="46">
        <f t="shared" si="11"/>
        <v>65000</v>
      </c>
      <c r="DF11" s="46">
        <f t="shared" si="11"/>
        <v>65000</v>
      </c>
      <c r="DG11" s="46">
        <f t="shared" si="11"/>
        <v>65000</v>
      </c>
      <c r="DH11" s="46">
        <f t="shared" si="11"/>
        <v>65000</v>
      </c>
      <c r="DI11" s="46">
        <f t="shared" si="11"/>
        <v>65000</v>
      </c>
      <c r="DJ11" s="46">
        <f t="shared" si="11"/>
        <v>65000</v>
      </c>
      <c r="DK11" s="46">
        <f t="shared" si="11"/>
        <v>65000</v>
      </c>
      <c r="DL11" s="46">
        <f t="shared" si="11"/>
        <v>0</v>
      </c>
      <c r="DM11" s="46">
        <f t="shared" si="11"/>
        <v>0</v>
      </c>
      <c r="DN11" s="46">
        <f t="shared" si="11"/>
        <v>0</v>
      </c>
      <c r="DO11" s="46">
        <f t="shared" si="11"/>
        <v>0</v>
      </c>
      <c r="DP11" s="46">
        <f t="shared" si="11"/>
        <v>0</v>
      </c>
      <c r="DQ11" s="46">
        <f t="shared" si="11"/>
        <v>0</v>
      </c>
      <c r="DR11" s="46">
        <f t="shared" si="11"/>
        <v>0</v>
      </c>
      <c r="DS11" s="46">
        <f t="shared" si="11"/>
        <v>0</v>
      </c>
      <c r="DT11" s="46">
        <f t="shared" si="11"/>
        <v>0</v>
      </c>
      <c r="DU11" s="46">
        <f t="shared" si="11"/>
        <v>0</v>
      </c>
    </row>
    <row r="12" spans="3:125" s="3" customFormat="1" ht="22.95" customHeight="1">
      <c r="C12" s="31" t="s">
        <v>293</v>
      </c>
      <c r="D12" s="73"/>
      <c r="E12" s="74">
        <f t="shared" ref="E12:AJ12" si="12">IF(ISERROR(E11/E6),0,(E11/E6))</f>
        <v>0</v>
      </c>
      <c r="F12" s="74">
        <f t="shared" si="12"/>
        <v>0</v>
      </c>
      <c r="G12" s="74">
        <f t="shared" si="12"/>
        <v>0</v>
      </c>
      <c r="H12" s="74">
        <f t="shared" si="12"/>
        <v>0</v>
      </c>
      <c r="I12" s="74">
        <f t="shared" si="12"/>
        <v>0</v>
      </c>
      <c r="J12" s="74">
        <f t="shared" si="12"/>
        <v>0</v>
      </c>
      <c r="K12" s="74">
        <f t="shared" si="12"/>
        <v>0</v>
      </c>
      <c r="L12" s="74">
        <f t="shared" si="12"/>
        <v>0</v>
      </c>
      <c r="M12" s="74">
        <f t="shared" si="12"/>
        <v>0</v>
      </c>
      <c r="N12" s="74">
        <f t="shared" si="12"/>
        <v>0</v>
      </c>
      <c r="O12" s="74">
        <f t="shared" si="12"/>
        <v>0</v>
      </c>
      <c r="P12" s="74">
        <f t="shared" si="12"/>
        <v>0</v>
      </c>
      <c r="Q12" s="74">
        <f t="shared" si="12"/>
        <v>0</v>
      </c>
      <c r="R12" s="74">
        <f t="shared" si="12"/>
        <v>0</v>
      </c>
      <c r="S12" s="74">
        <f t="shared" si="12"/>
        <v>0</v>
      </c>
      <c r="T12" s="74">
        <f t="shared" si="12"/>
        <v>0</v>
      </c>
      <c r="U12" s="74">
        <f t="shared" si="12"/>
        <v>0</v>
      </c>
      <c r="V12" s="74">
        <f t="shared" si="12"/>
        <v>0</v>
      </c>
      <c r="W12" s="74">
        <f t="shared" si="12"/>
        <v>0</v>
      </c>
      <c r="X12" s="74">
        <f t="shared" si="12"/>
        <v>0</v>
      </c>
      <c r="Y12" s="74">
        <f t="shared" si="12"/>
        <v>0</v>
      </c>
      <c r="Z12" s="74">
        <f t="shared" si="12"/>
        <v>0</v>
      </c>
      <c r="AA12" s="74">
        <f t="shared" si="12"/>
        <v>0</v>
      </c>
      <c r="AB12" s="74">
        <f t="shared" si="12"/>
        <v>0</v>
      </c>
      <c r="AC12" s="74">
        <f t="shared" si="12"/>
        <v>0</v>
      </c>
      <c r="AD12" s="74">
        <f t="shared" si="12"/>
        <v>0</v>
      </c>
      <c r="AE12" s="74">
        <f t="shared" si="12"/>
        <v>0</v>
      </c>
      <c r="AF12" s="74">
        <f t="shared" si="12"/>
        <v>0</v>
      </c>
      <c r="AG12" s="74">
        <f t="shared" si="12"/>
        <v>0</v>
      </c>
      <c r="AH12" s="74">
        <f t="shared" si="12"/>
        <v>0</v>
      </c>
      <c r="AI12" s="74">
        <f t="shared" si="12"/>
        <v>0</v>
      </c>
      <c r="AJ12" s="74">
        <f t="shared" si="12"/>
        <v>0</v>
      </c>
      <c r="AK12" s="74">
        <f t="shared" ref="AK12:BP12" si="13">IF(ISERROR(AK11/AK6),0,(AK11/AK6))</f>
        <v>0</v>
      </c>
      <c r="AL12" s="74">
        <f t="shared" si="13"/>
        <v>0</v>
      </c>
      <c r="AM12" s="74">
        <f t="shared" si="13"/>
        <v>0</v>
      </c>
      <c r="AN12" s="74">
        <f t="shared" si="13"/>
        <v>0</v>
      </c>
      <c r="AO12" s="74">
        <f t="shared" si="13"/>
        <v>0</v>
      </c>
      <c r="AP12" s="74">
        <f t="shared" si="13"/>
        <v>0</v>
      </c>
      <c r="AQ12" s="74">
        <f t="shared" si="13"/>
        <v>0</v>
      </c>
      <c r="AR12" s="74">
        <f t="shared" si="13"/>
        <v>0</v>
      </c>
      <c r="AS12" s="74">
        <f t="shared" si="13"/>
        <v>0</v>
      </c>
      <c r="AT12" s="74">
        <f t="shared" si="13"/>
        <v>0</v>
      </c>
      <c r="AU12" s="74">
        <f t="shared" si="13"/>
        <v>0</v>
      </c>
      <c r="AV12" s="74">
        <f t="shared" si="13"/>
        <v>0</v>
      </c>
      <c r="AW12" s="74">
        <f t="shared" si="13"/>
        <v>0</v>
      </c>
      <c r="AX12" s="74">
        <f t="shared" si="13"/>
        <v>0</v>
      </c>
      <c r="AY12" s="74">
        <f t="shared" si="13"/>
        <v>0</v>
      </c>
      <c r="AZ12" s="74">
        <f t="shared" si="13"/>
        <v>0</v>
      </c>
      <c r="BA12" s="74">
        <f t="shared" si="13"/>
        <v>0</v>
      </c>
      <c r="BB12" s="74">
        <f t="shared" si="13"/>
        <v>0</v>
      </c>
      <c r="BC12" s="74">
        <f t="shared" si="13"/>
        <v>0</v>
      </c>
      <c r="BD12" s="74">
        <f t="shared" si="13"/>
        <v>433.33333333333331</v>
      </c>
      <c r="BE12" s="74">
        <f t="shared" si="13"/>
        <v>433.33333333333331</v>
      </c>
      <c r="BF12" s="74">
        <f t="shared" si="13"/>
        <v>433.33333333333331</v>
      </c>
      <c r="BG12" s="74">
        <f t="shared" si="13"/>
        <v>433.33333333333331</v>
      </c>
      <c r="BH12" s="74">
        <f t="shared" si="13"/>
        <v>433.33333333333337</v>
      </c>
      <c r="BI12" s="74">
        <f t="shared" si="13"/>
        <v>433.33333333333337</v>
      </c>
      <c r="BJ12" s="74">
        <f t="shared" si="13"/>
        <v>433.33333333333337</v>
      </c>
      <c r="BK12" s="74">
        <f t="shared" si="13"/>
        <v>433.33333333333337</v>
      </c>
      <c r="BL12" s="74">
        <f t="shared" si="13"/>
        <v>433.33333333333337</v>
      </c>
      <c r="BM12" s="74">
        <f t="shared" si="13"/>
        <v>433.33333333333331</v>
      </c>
      <c r="BN12" s="74">
        <f t="shared" si="13"/>
        <v>433.33333333333337</v>
      </c>
      <c r="BO12" s="74">
        <f t="shared" si="13"/>
        <v>433.33333333333331</v>
      </c>
      <c r="BP12" s="74">
        <f t="shared" si="13"/>
        <v>433.33333333333331</v>
      </c>
      <c r="BQ12" s="74">
        <f t="shared" ref="BQ12:CV12" si="14">IF(ISERROR(BQ11/BQ6),0,(BQ11/BQ6))</f>
        <v>433.33333333333331</v>
      </c>
      <c r="BR12" s="74">
        <f t="shared" si="14"/>
        <v>433.33333333333331</v>
      </c>
      <c r="BS12" s="74">
        <f t="shared" si="14"/>
        <v>433.33333333333331</v>
      </c>
      <c r="BT12" s="74">
        <f t="shared" si="14"/>
        <v>433.33333333333331</v>
      </c>
      <c r="BU12" s="74">
        <f t="shared" si="14"/>
        <v>433.33333333333331</v>
      </c>
      <c r="BV12" s="74">
        <f t="shared" si="14"/>
        <v>433.33333333333331</v>
      </c>
      <c r="BW12" s="74">
        <f t="shared" si="14"/>
        <v>433.33333333333331</v>
      </c>
      <c r="BX12" s="74">
        <f t="shared" si="14"/>
        <v>433.33333333333331</v>
      </c>
      <c r="BY12" s="74">
        <f t="shared" si="14"/>
        <v>433.33333333333331</v>
      </c>
      <c r="BZ12" s="74">
        <f t="shared" si="14"/>
        <v>433.33333333333331</v>
      </c>
      <c r="CA12" s="74">
        <f t="shared" si="14"/>
        <v>433.33333333333331</v>
      </c>
      <c r="CB12" s="74">
        <f t="shared" si="14"/>
        <v>433.33333333333331</v>
      </c>
      <c r="CC12" s="74">
        <f t="shared" si="14"/>
        <v>433.33333333333331</v>
      </c>
      <c r="CD12" s="74">
        <f t="shared" si="14"/>
        <v>433.33333333333331</v>
      </c>
      <c r="CE12" s="74">
        <f t="shared" si="14"/>
        <v>433.33333333333331</v>
      </c>
      <c r="CF12" s="74">
        <f t="shared" si="14"/>
        <v>433.33333333333331</v>
      </c>
      <c r="CG12" s="74">
        <f t="shared" si="14"/>
        <v>433.33333333333331</v>
      </c>
      <c r="CH12" s="74">
        <f t="shared" si="14"/>
        <v>433.33333333333331</v>
      </c>
      <c r="CI12" s="74">
        <f t="shared" si="14"/>
        <v>433.33333333333331</v>
      </c>
      <c r="CJ12" s="74">
        <f t="shared" si="14"/>
        <v>433.33333333333331</v>
      </c>
      <c r="CK12" s="74">
        <f t="shared" si="14"/>
        <v>433.33333333333331</v>
      </c>
      <c r="CL12" s="74">
        <f t="shared" si="14"/>
        <v>433.33333333333331</v>
      </c>
      <c r="CM12" s="74">
        <f t="shared" si="14"/>
        <v>433.33333333333331</v>
      </c>
      <c r="CN12" s="74">
        <f t="shared" si="14"/>
        <v>433.33333333333331</v>
      </c>
      <c r="CO12" s="74">
        <f t="shared" si="14"/>
        <v>433.33333333333331</v>
      </c>
      <c r="CP12" s="74">
        <f t="shared" si="14"/>
        <v>433.33333333333331</v>
      </c>
      <c r="CQ12" s="74">
        <f t="shared" si="14"/>
        <v>433.33333333333331</v>
      </c>
      <c r="CR12" s="74">
        <f t="shared" si="14"/>
        <v>433.33333333333331</v>
      </c>
      <c r="CS12" s="74">
        <f t="shared" si="14"/>
        <v>433.33333333333331</v>
      </c>
      <c r="CT12" s="74">
        <f t="shared" si="14"/>
        <v>433.33333333333331</v>
      </c>
      <c r="CU12" s="74">
        <f t="shared" si="14"/>
        <v>433.33333333333331</v>
      </c>
      <c r="CV12" s="74">
        <f t="shared" si="14"/>
        <v>433.33333333333331</v>
      </c>
      <c r="CW12" s="74">
        <f t="shared" ref="CW12:DU12" si="15">IF(ISERROR(CW11/CW6),0,(CW11/CW6))</f>
        <v>433.33333333333331</v>
      </c>
      <c r="CX12" s="74">
        <f t="shared" si="15"/>
        <v>433.33333333333331</v>
      </c>
      <c r="CY12" s="74">
        <f t="shared" si="15"/>
        <v>433.33333333333331</v>
      </c>
      <c r="CZ12" s="74">
        <f t="shared" si="15"/>
        <v>433.33333333333331</v>
      </c>
      <c r="DA12" s="74">
        <f t="shared" si="15"/>
        <v>433.33333333333331</v>
      </c>
      <c r="DB12" s="74">
        <f t="shared" si="15"/>
        <v>433.33333333333331</v>
      </c>
      <c r="DC12" s="74">
        <f t="shared" si="15"/>
        <v>433.33333333333331</v>
      </c>
      <c r="DD12" s="74">
        <f t="shared" si="15"/>
        <v>433.33333333333331</v>
      </c>
      <c r="DE12" s="74">
        <f t="shared" si="15"/>
        <v>433.33333333333331</v>
      </c>
      <c r="DF12" s="74">
        <f t="shared" si="15"/>
        <v>433.33333333333331</v>
      </c>
      <c r="DG12" s="74">
        <f t="shared" si="15"/>
        <v>433.33333333333331</v>
      </c>
      <c r="DH12" s="74">
        <f t="shared" si="15"/>
        <v>433.33333333333331</v>
      </c>
      <c r="DI12" s="74">
        <f t="shared" si="15"/>
        <v>433.33333333333331</v>
      </c>
      <c r="DJ12" s="74">
        <f t="shared" si="15"/>
        <v>433.33333333333331</v>
      </c>
      <c r="DK12" s="74">
        <f t="shared" si="15"/>
        <v>433.33333333333331</v>
      </c>
      <c r="DL12" s="74">
        <f t="shared" si="15"/>
        <v>0</v>
      </c>
      <c r="DM12" s="74">
        <f t="shared" si="15"/>
        <v>0</v>
      </c>
      <c r="DN12" s="74">
        <f t="shared" si="15"/>
        <v>0</v>
      </c>
      <c r="DO12" s="74">
        <f t="shared" si="15"/>
        <v>0</v>
      </c>
      <c r="DP12" s="74">
        <f t="shared" si="15"/>
        <v>0</v>
      </c>
      <c r="DQ12" s="74">
        <f t="shared" si="15"/>
        <v>0</v>
      </c>
      <c r="DR12" s="74">
        <f t="shared" si="15"/>
        <v>0</v>
      </c>
      <c r="DS12" s="74">
        <f t="shared" si="15"/>
        <v>0</v>
      </c>
      <c r="DT12" s="74">
        <f t="shared" si="15"/>
        <v>0</v>
      </c>
      <c r="DU12" s="74">
        <f t="shared" si="15"/>
        <v>0</v>
      </c>
    </row>
    <row r="13" spans="3:125" s="3" customFormat="1" ht="22.95" customHeight="1">
      <c r="C13" s="31"/>
      <c r="D13" s="73"/>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4"/>
      <c r="CC13" s="74"/>
      <c r="CD13" s="74"/>
      <c r="CE13" s="74"/>
      <c r="CF13" s="74"/>
      <c r="CG13" s="74"/>
      <c r="CH13" s="74"/>
      <c r="CI13" s="74"/>
      <c r="CJ13" s="74"/>
      <c r="CK13" s="74"/>
      <c r="CL13" s="74"/>
      <c r="CM13" s="74"/>
      <c r="CN13" s="74"/>
      <c r="CO13" s="74"/>
      <c r="CP13" s="74"/>
      <c r="CQ13" s="74"/>
      <c r="CR13" s="74"/>
      <c r="CS13" s="74"/>
      <c r="CT13" s="74"/>
      <c r="CU13" s="74"/>
      <c r="CV13" s="74"/>
      <c r="CW13" s="74"/>
      <c r="CX13" s="74"/>
      <c r="CY13" s="74"/>
      <c r="CZ13" s="74"/>
      <c r="DA13" s="74"/>
      <c r="DB13" s="74"/>
      <c r="DC13" s="74"/>
      <c r="DD13" s="74"/>
      <c r="DE13" s="74"/>
      <c r="DF13" s="74"/>
      <c r="DG13" s="74"/>
      <c r="DH13" s="74"/>
      <c r="DI13" s="74"/>
      <c r="DJ13" s="74"/>
      <c r="DK13" s="74"/>
      <c r="DL13" s="74"/>
      <c r="DM13" s="74"/>
      <c r="DN13" s="74"/>
      <c r="DO13" s="74"/>
      <c r="DP13" s="74"/>
      <c r="DQ13" s="74"/>
      <c r="DR13" s="74"/>
      <c r="DS13" s="74"/>
      <c r="DT13" s="74"/>
      <c r="DU13" s="74"/>
    </row>
    <row r="14" spans="3:125" s="3" customFormat="1" ht="22.95" customHeight="1">
      <c r="C14" s="60" t="s">
        <v>294</v>
      </c>
      <c r="D14" s="73"/>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c r="BO14" s="74"/>
      <c r="BP14" s="74"/>
      <c r="BQ14" s="74"/>
      <c r="BR14" s="74"/>
      <c r="BS14" s="74"/>
      <c r="BT14" s="74"/>
      <c r="BU14" s="74"/>
      <c r="BV14" s="74"/>
      <c r="BW14" s="74"/>
      <c r="BX14" s="74"/>
      <c r="BY14" s="74"/>
      <c r="BZ14" s="74"/>
      <c r="CA14" s="74"/>
      <c r="CB14" s="74"/>
      <c r="CC14" s="74"/>
      <c r="CD14" s="74"/>
      <c r="CE14" s="74"/>
      <c r="CF14" s="74"/>
      <c r="CG14" s="74"/>
      <c r="CH14" s="74"/>
      <c r="CI14" s="74"/>
      <c r="CJ14" s="74"/>
      <c r="CK14" s="74"/>
      <c r="CL14" s="74"/>
      <c r="CM14" s="74"/>
      <c r="CN14" s="74"/>
      <c r="CO14" s="74"/>
      <c r="CP14" s="74"/>
      <c r="CQ14" s="74"/>
      <c r="CR14" s="74"/>
      <c r="CS14" s="74"/>
      <c r="CT14" s="74"/>
      <c r="CU14" s="74"/>
      <c r="CV14" s="74"/>
      <c r="CW14" s="74"/>
      <c r="CX14" s="74"/>
      <c r="CY14" s="74"/>
      <c r="CZ14" s="74"/>
      <c r="DA14" s="74"/>
      <c r="DB14" s="74"/>
      <c r="DC14" s="74"/>
      <c r="DD14" s="74"/>
      <c r="DE14" s="74"/>
      <c r="DF14" s="74"/>
      <c r="DG14" s="74"/>
      <c r="DH14" s="74"/>
      <c r="DI14" s="74"/>
      <c r="DJ14" s="74"/>
      <c r="DK14" s="74"/>
      <c r="DL14" s="74"/>
      <c r="DM14" s="74"/>
      <c r="DN14" s="74"/>
      <c r="DO14" s="74"/>
      <c r="DP14" s="74"/>
      <c r="DQ14" s="74"/>
      <c r="DR14" s="74"/>
      <c r="DS14" s="74"/>
      <c r="DT14" s="74"/>
      <c r="DU14" s="74"/>
    </row>
    <row r="15" spans="3:125" s="3" customFormat="1" ht="22.95" customHeight="1">
      <c r="C15" s="3" t="s">
        <v>289</v>
      </c>
      <c r="D15" s="25">
        <f>SUM(E15:DU15)</f>
        <v>1267500</v>
      </c>
      <c r="E15" s="21">
        <f t="shared" ref="E15:AJ15" si="16">E8</f>
        <v>0</v>
      </c>
      <c r="F15" s="21">
        <f t="shared" si="16"/>
        <v>0</v>
      </c>
      <c r="G15" s="21">
        <f t="shared" si="16"/>
        <v>0</v>
      </c>
      <c r="H15" s="21">
        <f t="shared" si="16"/>
        <v>0</v>
      </c>
      <c r="I15" s="21">
        <f t="shared" si="16"/>
        <v>0</v>
      </c>
      <c r="J15" s="21">
        <f t="shared" si="16"/>
        <v>0</v>
      </c>
      <c r="K15" s="21">
        <f t="shared" si="16"/>
        <v>0</v>
      </c>
      <c r="L15" s="21">
        <f t="shared" si="16"/>
        <v>0</v>
      </c>
      <c r="M15" s="21">
        <f t="shared" si="16"/>
        <v>0</v>
      </c>
      <c r="N15" s="21">
        <f t="shared" si="16"/>
        <v>0</v>
      </c>
      <c r="O15" s="21">
        <f t="shared" si="16"/>
        <v>0</v>
      </c>
      <c r="P15" s="21">
        <f t="shared" si="16"/>
        <v>0</v>
      </c>
      <c r="Q15" s="21">
        <f t="shared" si="16"/>
        <v>0</v>
      </c>
      <c r="R15" s="21">
        <f t="shared" si="16"/>
        <v>0</v>
      </c>
      <c r="S15" s="21">
        <f t="shared" si="16"/>
        <v>0</v>
      </c>
      <c r="T15" s="21">
        <f t="shared" si="16"/>
        <v>0</v>
      </c>
      <c r="U15" s="21">
        <f t="shared" si="16"/>
        <v>0</v>
      </c>
      <c r="V15" s="21">
        <f t="shared" si="16"/>
        <v>0</v>
      </c>
      <c r="W15" s="21">
        <f t="shared" si="16"/>
        <v>0</v>
      </c>
      <c r="X15" s="21">
        <f t="shared" si="16"/>
        <v>0</v>
      </c>
      <c r="Y15" s="21">
        <f t="shared" si="16"/>
        <v>0</v>
      </c>
      <c r="Z15" s="21">
        <f t="shared" si="16"/>
        <v>0</v>
      </c>
      <c r="AA15" s="21">
        <f t="shared" si="16"/>
        <v>0</v>
      </c>
      <c r="AB15" s="21">
        <f t="shared" si="16"/>
        <v>0</v>
      </c>
      <c r="AC15" s="21">
        <f t="shared" si="16"/>
        <v>0</v>
      </c>
      <c r="AD15" s="21">
        <f t="shared" si="16"/>
        <v>0</v>
      </c>
      <c r="AE15" s="21">
        <f t="shared" si="16"/>
        <v>0</v>
      </c>
      <c r="AF15" s="21">
        <f t="shared" si="16"/>
        <v>0</v>
      </c>
      <c r="AG15" s="21">
        <f t="shared" si="16"/>
        <v>0</v>
      </c>
      <c r="AH15" s="21">
        <f t="shared" si="16"/>
        <v>0</v>
      </c>
      <c r="AI15" s="21">
        <f t="shared" si="16"/>
        <v>0</v>
      </c>
      <c r="AJ15" s="21">
        <f t="shared" si="16"/>
        <v>0</v>
      </c>
      <c r="AK15" s="21">
        <f t="shared" ref="AK15:BP15" si="17">AK8</f>
        <v>0</v>
      </c>
      <c r="AL15" s="21">
        <f t="shared" si="17"/>
        <v>0</v>
      </c>
      <c r="AM15" s="21">
        <f t="shared" si="17"/>
        <v>0</v>
      </c>
      <c r="AN15" s="21">
        <f t="shared" si="17"/>
        <v>0</v>
      </c>
      <c r="AO15" s="21">
        <f t="shared" si="17"/>
        <v>0</v>
      </c>
      <c r="AP15" s="21">
        <f t="shared" si="17"/>
        <v>0</v>
      </c>
      <c r="AQ15" s="21">
        <f t="shared" si="17"/>
        <v>0</v>
      </c>
      <c r="AR15" s="21">
        <f t="shared" si="17"/>
        <v>0</v>
      </c>
      <c r="AS15" s="21">
        <f t="shared" si="17"/>
        <v>0</v>
      </c>
      <c r="AT15" s="21">
        <f t="shared" si="17"/>
        <v>0</v>
      </c>
      <c r="AU15" s="21">
        <f t="shared" si="17"/>
        <v>0</v>
      </c>
      <c r="AV15" s="21">
        <f t="shared" si="17"/>
        <v>0</v>
      </c>
      <c r="AW15" s="21">
        <f t="shared" si="17"/>
        <v>0</v>
      </c>
      <c r="AX15" s="21">
        <f t="shared" si="17"/>
        <v>0</v>
      </c>
      <c r="AY15" s="21">
        <f t="shared" si="17"/>
        <v>0</v>
      </c>
      <c r="AZ15" s="21">
        <f t="shared" si="17"/>
        <v>0</v>
      </c>
      <c r="BA15" s="21">
        <f t="shared" si="17"/>
        <v>0</v>
      </c>
      <c r="BB15" s="21">
        <f t="shared" si="17"/>
        <v>0</v>
      </c>
      <c r="BC15" s="21">
        <f t="shared" si="17"/>
        <v>0</v>
      </c>
      <c r="BD15" s="21">
        <f t="shared" si="17"/>
        <v>8750.0000000000018</v>
      </c>
      <c r="BE15" s="21">
        <f t="shared" si="17"/>
        <v>10000</v>
      </c>
      <c r="BF15" s="21">
        <f t="shared" si="17"/>
        <v>11250</v>
      </c>
      <c r="BG15" s="21">
        <f t="shared" si="17"/>
        <v>12500</v>
      </c>
      <c r="BH15" s="21">
        <f t="shared" si="17"/>
        <v>13749.999999999998</v>
      </c>
      <c r="BI15" s="21">
        <f t="shared" si="17"/>
        <v>14999.999999999998</v>
      </c>
      <c r="BJ15" s="21">
        <f t="shared" si="17"/>
        <v>16249.999999999996</v>
      </c>
      <c r="BK15" s="21">
        <f t="shared" si="17"/>
        <v>17499.999999999996</v>
      </c>
      <c r="BL15" s="21">
        <f t="shared" si="17"/>
        <v>18749.999999999996</v>
      </c>
      <c r="BM15" s="21">
        <f t="shared" si="17"/>
        <v>19999.999999999996</v>
      </c>
      <c r="BN15" s="21">
        <f t="shared" si="17"/>
        <v>21250</v>
      </c>
      <c r="BO15" s="21">
        <f t="shared" si="17"/>
        <v>22500</v>
      </c>
      <c r="BP15" s="21">
        <f t="shared" si="17"/>
        <v>22500</v>
      </c>
      <c r="BQ15" s="21">
        <f t="shared" ref="BQ15:CV15" si="18">BQ8</f>
        <v>22500</v>
      </c>
      <c r="BR15" s="21">
        <f t="shared" si="18"/>
        <v>22500</v>
      </c>
      <c r="BS15" s="21">
        <f t="shared" si="18"/>
        <v>22500</v>
      </c>
      <c r="BT15" s="21">
        <f t="shared" si="18"/>
        <v>22500</v>
      </c>
      <c r="BU15" s="21">
        <f t="shared" si="18"/>
        <v>22500</v>
      </c>
      <c r="BV15" s="21">
        <f t="shared" si="18"/>
        <v>22500</v>
      </c>
      <c r="BW15" s="21">
        <f t="shared" si="18"/>
        <v>22500</v>
      </c>
      <c r="BX15" s="21">
        <f t="shared" si="18"/>
        <v>22500</v>
      </c>
      <c r="BY15" s="21">
        <f t="shared" si="18"/>
        <v>22500</v>
      </c>
      <c r="BZ15" s="21">
        <f t="shared" si="18"/>
        <v>22500</v>
      </c>
      <c r="CA15" s="21">
        <f t="shared" si="18"/>
        <v>22500</v>
      </c>
      <c r="CB15" s="21">
        <f t="shared" si="18"/>
        <v>22500</v>
      </c>
      <c r="CC15" s="21">
        <f t="shared" si="18"/>
        <v>22500</v>
      </c>
      <c r="CD15" s="21">
        <f t="shared" si="18"/>
        <v>22500</v>
      </c>
      <c r="CE15" s="21">
        <f t="shared" si="18"/>
        <v>22500</v>
      </c>
      <c r="CF15" s="21">
        <f t="shared" si="18"/>
        <v>22500</v>
      </c>
      <c r="CG15" s="21">
        <f t="shared" si="18"/>
        <v>22500</v>
      </c>
      <c r="CH15" s="21">
        <f t="shared" si="18"/>
        <v>22500</v>
      </c>
      <c r="CI15" s="21">
        <f t="shared" si="18"/>
        <v>22500</v>
      </c>
      <c r="CJ15" s="21">
        <f t="shared" si="18"/>
        <v>22500</v>
      </c>
      <c r="CK15" s="21">
        <f t="shared" si="18"/>
        <v>22500</v>
      </c>
      <c r="CL15" s="21">
        <f t="shared" si="18"/>
        <v>22500</v>
      </c>
      <c r="CM15" s="21">
        <f t="shared" si="18"/>
        <v>22500</v>
      </c>
      <c r="CN15" s="21">
        <f t="shared" si="18"/>
        <v>22500</v>
      </c>
      <c r="CO15" s="21">
        <f t="shared" si="18"/>
        <v>22500</v>
      </c>
      <c r="CP15" s="21">
        <f t="shared" si="18"/>
        <v>22500</v>
      </c>
      <c r="CQ15" s="21">
        <f t="shared" si="18"/>
        <v>22500</v>
      </c>
      <c r="CR15" s="21">
        <f t="shared" si="18"/>
        <v>22500</v>
      </c>
      <c r="CS15" s="21">
        <f t="shared" si="18"/>
        <v>22500</v>
      </c>
      <c r="CT15" s="21">
        <f t="shared" si="18"/>
        <v>22500</v>
      </c>
      <c r="CU15" s="21">
        <f t="shared" si="18"/>
        <v>22500</v>
      </c>
      <c r="CV15" s="21">
        <f t="shared" si="18"/>
        <v>22500</v>
      </c>
      <c r="CW15" s="21">
        <f t="shared" ref="CW15:DU15" si="19">CW8</f>
        <v>22500</v>
      </c>
      <c r="CX15" s="21">
        <f t="shared" si="19"/>
        <v>22500</v>
      </c>
      <c r="CY15" s="21">
        <f t="shared" si="19"/>
        <v>22500</v>
      </c>
      <c r="CZ15" s="21">
        <f t="shared" si="19"/>
        <v>22500</v>
      </c>
      <c r="DA15" s="21">
        <f t="shared" si="19"/>
        <v>22500</v>
      </c>
      <c r="DB15" s="21">
        <f t="shared" si="19"/>
        <v>22500</v>
      </c>
      <c r="DC15" s="21">
        <f t="shared" si="19"/>
        <v>22500</v>
      </c>
      <c r="DD15" s="21">
        <f t="shared" si="19"/>
        <v>22500</v>
      </c>
      <c r="DE15" s="21">
        <f t="shared" si="19"/>
        <v>22500</v>
      </c>
      <c r="DF15" s="21">
        <f t="shared" si="19"/>
        <v>22500</v>
      </c>
      <c r="DG15" s="21">
        <f t="shared" si="19"/>
        <v>22500</v>
      </c>
      <c r="DH15" s="21">
        <f t="shared" si="19"/>
        <v>22500</v>
      </c>
      <c r="DI15" s="21">
        <f t="shared" si="19"/>
        <v>22500</v>
      </c>
      <c r="DJ15" s="21">
        <f t="shared" si="19"/>
        <v>22500</v>
      </c>
      <c r="DK15" s="21">
        <f t="shared" si="19"/>
        <v>22500</v>
      </c>
      <c r="DL15" s="21">
        <f t="shared" si="19"/>
        <v>0</v>
      </c>
      <c r="DM15" s="21">
        <f t="shared" si="19"/>
        <v>0</v>
      </c>
      <c r="DN15" s="21">
        <f t="shared" si="19"/>
        <v>0</v>
      </c>
      <c r="DO15" s="21">
        <f t="shared" si="19"/>
        <v>0</v>
      </c>
      <c r="DP15" s="21">
        <f t="shared" si="19"/>
        <v>0</v>
      </c>
      <c r="DQ15" s="21">
        <f t="shared" si="19"/>
        <v>0</v>
      </c>
      <c r="DR15" s="21">
        <f t="shared" si="19"/>
        <v>0</v>
      </c>
      <c r="DS15" s="21">
        <f t="shared" si="19"/>
        <v>0</v>
      </c>
      <c r="DT15" s="21">
        <f t="shared" si="19"/>
        <v>0</v>
      </c>
      <c r="DU15" s="21">
        <f t="shared" si="19"/>
        <v>0</v>
      </c>
    </row>
    <row r="16" spans="3:125" s="3" customFormat="1" ht="22.95" customHeight="1">
      <c r="C16" s="3" t="s">
        <v>295</v>
      </c>
      <c r="D16" s="25">
        <f>SUM(E16:DU16)</f>
        <v>-945000</v>
      </c>
      <c r="E16" s="21">
        <f>IF(AND(E$4&gt;='Single Project Assumptions'!$P$59,'Operational Phase'!E$4&lt;'Single Project Assumptions'!$P$60),-'Single Project Assumptions'!$P$58/12,0)</f>
        <v>0</v>
      </c>
      <c r="F16" s="21">
        <f>IF(AND(F$4&gt;='Single Project Assumptions'!$P$59,'Operational Phase'!F$4&lt;'Single Project Assumptions'!$P$60),-'Single Project Assumptions'!$P$58/12,0)</f>
        <v>0</v>
      </c>
      <c r="G16" s="21">
        <f>IF(AND(G$4&gt;='Single Project Assumptions'!$P$59,'Operational Phase'!G$4&lt;'Single Project Assumptions'!$P$60),-'Single Project Assumptions'!$P$58/12,0)</f>
        <v>0</v>
      </c>
      <c r="H16" s="21">
        <f>IF(AND(H$4&gt;='Single Project Assumptions'!$P$59,'Operational Phase'!H$4&lt;'Single Project Assumptions'!$P$60),-'Single Project Assumptions'!$P$58/12,0)</f>
        <v>0</v>
      </c>
      <c r="I16" s="21">
        <f>IF(AND(I$4&gt;='Single Project Assumptions'!$P$59,'Operational Phase'!I$4&lt;'Single Project Assumptions'!$P$60),-'Single Project Assumptions'!$P$58/12,0)</f>
        <v>0</v>
      </c>
      <c r="J16" s="21">
        <f>IF(AND(J$4&gt;='Single Project Assumptions'!$P$59,'Operational Phase'!J$4&lt;'Single Project Assumptions'!$P$60),-'Single Project Assumptions'!$P$58/12,0)</f>
        <v>0</v>
      </c>
      <c r="K16" s="21">
        <f>IF(AND(K$4&gt;='Single Project Assumptions'!$P$59,'Operational Phase'!K$4&lt;'Single Project Assumptions'!$P$60),-'Single Project Assumptions'!$P$58/12,0)</f>
        <v>0</v>
      </c>
      <c r="L16" s="21">
        <f>IF(AND(L$4&gt;='Single Project Assumptions'!$P$59,'Operational Phase'!L$4&lt;'Single Project Assumptions'!$P$60),-'Single Project Assumptions'!$P$58/12,0)</f>
        <v>0</v>
      </c>
      <c r="M16" s="21">
        <f>IF(AND(M$4&gt;='Single Project Assumptions'!$P$59,'Operational Phase'!M$4&lt;'Single Project Assumptions'!$P$60),-'Single Project Assumptions'!$P$58/12,0)</f>
        <v>0</v>
      </c>
      <c r="N16" s="21">
        <f>IF(AND(N$4&gt;='Single Project Assumptions'!$P$59,'Operational Phase'!N$4&lt;'Single Project Assumptions'!$P$60),-'Single Project Assumptions'!$P$58/12,0)</f>
        <v>0</v>
      </c>
      <c r="O16" s="21">
        <f>IF(AND(O$4&gt;='Single Project Assumptions'!$P$59,'Operational Phase'!O$4&lt;'Single Project Assumptions'!$P$60),-'Single Project Assumptions'!$P$58/12,0)</f>
        <v>0</v>
      </c>
      <c r="P16" s="21">
        <f>IF(AND(P$4&gt;='Single Project Assumptions'!$P$59,'Operational Phase'!P$4&lt;'Single Project Assumptions'!$P$60),-'Single Project Assumptions'!$P$58/12,0)</f>
        <v>0</v>
      </c>
      <c r="Q16" s="21">
        <f>IF(AND(Q$4&gt;='Single Project Assumptions'!$P$59,'Operational Phase'!Q$4&lt;'Single Project Assumptions'!$P$60),-'Single Project Assumptions'!$P$58/12,0)</f>
        <v>0</v>
      </c>
      <c r="R16" s="21">
        <f>IF(AND(R$4&gt;='Single Project Assumptions'!$P$59,'Operational Phase'!R$4&lt;'Single Project Assumptions'!$P$60),-'Single Project Assumptions'!$P$58/12,0)</f>
        <v>0</v>
      </c>
      <c r="S16" s="21">
        <f>IF(AND(S$4&gt;='Single Project Assumptions'!$P$59,'Operational Phase'!S$4&lt;'Single Project Assumptions'!$P$60),-'Single Project Assumptions'!$P$58/12,0)</f>
        <v>0</v>
      </c>
      <c r="T16" s="21">
        <f>IF(AND(T$4&gt;='Single Project Assumptions'!$P$59,'Operational Phase'!T$4&lt;'Single Project Assumptions'!$P$60),-'Single Project Assumptions'!$P$58/12,0)</f>
        <v>0</v>
      </c>
      <c r="U16" s="21">
        <f>IF(AND(U$4&gt;='Single Project Assumptions'!$P$59,'Operational Phase'!U$4&lt;'Single Project Assumptions'!$P$60),-'Single Project Assumptions'!$P$58/12,0)</f>
        <v>0</v>
      </c>
      <c r="V16" s="21">
        <f>IF(AND(V$4&gt;='Single Project Assumptions'!$P$59,'Operational Phase'!V$4&lt;'Single Project Assumptions'!$P$60),-'Single Project Assumptions'!$P$58/12,0)</f>
        <v>0</v>
      </c>
      <c r="W16" s="21">
        <f>IF(AND(W$4&gt;='Single Project Assumptions'!$P$59,'Operational Phase'!W$4&lt;'Single Project Assumptions'!$P$60),-'Single Project Assumptions'!$P$58/12,0)</f>
        <v>0</v>
      </c>
      <c r="X16" s="21">
        <f>IF(AND(X$4&gt;='Single Project Assumptions'!$P$59,'Operational Phase'!X$4&lt;'Single Project Assumptions'!$P$60),-'Single Project Assumptions'!$P$58/12,0)</f>
        <v>0</v>
      </c>
      <c r="Y16" s="21">
        <f>IF(AND(Y$4&gt;='Single Project Assumptions'!$P$59,'Operational Phase'!Y$4&lt;'Single Project Assumptions'!$P$60),-'Single Project Assumptions'!$P$58/12,0)</f>
        <v>0</v>
      </c>
      <c r="Z16" s="21">
        <f>IF(AND(Z$4&gt;='Single Project Assumptions'!$P$59,'Operational Phase'!Z$4&lt;'Single Project Assumptions'!$P$60),-'Single Project Assumptions'!$P$58/12,0)</f>
        <v>0</v>
      </c>
      <c r="AA16" s="21">
        <f>IF(AND(AA$4&gt;='Single Project Assumptions'!$P$59,'Operational Phase'!AA$4&lt;'Single Project Assumptions'!$P$60),-'Single Project Assumptions'!$P$58/12,0)</f>
        <v>0</v>
      </c>
      <c r="AB16" s="21">
        <f>IF(AND(AB$4&gt;='Single Project Assumptions'!$P$59,'Operational Phase'!AB$4&lt;'Single Project Assumptions'!$P$60),-'Single Project Assumptions'!$P$58/12,0)</f>
        <v>0</v>
      </c>
      <c r="AC16" s="21">
        <f>IF(AND(AC$4&gt;='Single Project Assumptions'!$P$59,'Operational Phase'!AC$4&lt;'Single Project Assumptions'!$P$60),-'Single Project Assumptions'!$P$58/12,0)</f>
        <v>0</v>
      </c>
      <c r="AD16" s="21">
        <f>IF(AND(AD$4&gt;='Single Project Assumptions'!$P$59,'Operational Phase'!AD$4&lt;'Single Project Assumptions'!$P$60),-'Single Project Assumptions'!$P$58/12,0)</f>
        <v>0</v>
      </c>
      <c r="AE16" s="21">
        <f>IF(AND(AE$4&gt;='Single Project Assumptions'!$P$59,'Operational Phase'!AE$4&lt;'Single Project Assumptions'!$P$60),-'Single Project Assumptions'!$P$58/12,0)</f>
        <v>0</v>
      </c>
      <c r="AF16" s="21">
        <f>IF(AND(AF$4&gt;='Single Project Assumptions'!$P$59,'Operational Phase'!AF$4&lt;'Single Project Assumptions'!$P$60),-'Single Project Assumptions'!$P$58/12,0)</f>
        <v>0</v>
      </c>
      <c r="AG16" s="21">
        <f>IF(AND(AG$4&gt;='Single Project Assumptions'!$P$59,'Operational Phase'!AG$4&lt;'Single Project Assumptions'!$P$60),-'Single Project Assumptions'!$P$58/12,0)</f>
        <v>0</v>
      </c>
      <c r="AH16" s="21">
        <f>IF(AND(AH$4&gt;='Single Project Assumptions'!$P$59,'Operational Phase'!AH$4&lt;'Single Project Assumptions'!$P$60),-'Single Project Assumptions'!$P$58/12,0)</f>
        <v>0</v>
      </c>
      <c r="AI16" s="21">
        <f>IF(AND(AI$4&gt;='Single Project Assumptions'!$P$59,'Operational Phase'!AI$4&lt;'Single Project Assumptions'!$P$60),-'Single Project Assumptions'!$P$58/12,0)</f>
        <v>0</v>
      </c>
      <c r="AJ16" s="21">
        <f>IF(AND(AJ$4&gt;='Single Project Assumptions'!$P$59,'Operational Phase'!AJ$4&lt;'Single Project Assumptions'!$P$60),-'Single Project Assumptions'!$P$58/12,0)</f>
        <v>0</v>
      </c>
      <c r="AK16" s="21">
        <f>IF(AND(AK$4&gt;='Single Project Assumptions'!$P$59,'Operational Phase'!AK$4&lt;'Single Project Assumptions'!$P$60),-'Single Project Assumptions'!$P$58/12,0)</f>
        <v>0</v>
      </c>
      <c r="AL16" s="21">
        <f>IF(AND(AL$4&gt;='Single Project Assumptions'!$P$59,'Operational Phase'!AL$4&lt;'Single Project Assumptions'!$P$60),-'Single Project Assumptions'!$P$58/12,0)</f>
        <v>0</v>
      </c>
      <c r="AM16" s="21">
        <f>IF(AND(AM$4&gt;='Single Project Assumptions'!$P$59,'Operational Phase'!AM$4&lt;'Single Project Assumptions'!$P$60),-'Single Project Assumptions'!$P$58/12,0)</f>
        <v>0</v>
      </c>
      <c r="AN16" s="21">
        <f>IF(AND(AN$4&gt;='Single Project Assumptions'!$P$59,'Operational Phase'!AN$4&lt;'Single Project Assumptions'!$P$60),-'Single Project Assumptions'!$P$58/12,0)</f>
        <v>0</v>
      </c>
      <c r="AO16" s="21">
        <f>IF(AND(AO$4&gt;='Single Project Assumptions'!$P$59,'Operational Phase'!AO$4&lt;'Single Project Assumptions'!$P$60),-'Single Project Assumptions'!$P$58/12,0)</f>
        <v>0</v>
      </c>
      <c r="AP16" s="21">
        <f>IF(AND(AP$4&gt;='Single Project Assumptions'!$P$59,'Operational Phase'!AP$4&lt;'Single Project Assumptions'!$P$60),-'Single Project Assumptions'!$P$58/12,0)</f>
        <v>0</v>
      </c>
      <c r="AQ16" s="21">
        <f>IF(AND(AQ$4&gt;='Single Project Assumptions'!$P$59,'Operational Phase'!AQ$4&lt;'Single Project Assumptions'!$P$60),-'Single Project Assumptions'!$P$58/12,0)</f>
        <v>0</v>
      </c>
      <c r="AR16" s="21">
        <f>IF(AND(AR$4&gt;='Single Project Assumptions'!$P$59,'Operational Phase'!AR$4&lt;'Single Project Assumptions'!$P$60),-'Single Project Assumptions'!$P$58/12,0)</f>
        <v>0</v>
      </c>
      <c r="AS16" s="21">
        <f>IF(AND(AS$4&gt;='Single Project Assumptions'!$P$59,'Operational Phase'!AS$4&lt;'Single Project Assumptions'!$P$60),-'Single Project Assumptions'!$P$58/12,0)</f>
        <v>0</v>
      </c>
      <c r="AT16" s="21">
        <f>IF(AND(AT$4&gt;='Single Project Assumptions'!$P$59,'Operational Phase'!AT$4&lt;'Single Project Assumptions'!$P$60),-'Single Project Assumptions'!$P$58/12,0)</f>
        <v>0</v>
      </c>
      <c r="AU16" s="21">
        <f>IF(AND(AU$4&gt;='Single Project Assumptions'!$P$59,'Operational Phase'!AU$4&lt;'Single Project Assumptions'!$P$60),-'Single Project Assumptions'!$P$58/12,0)</f>
        <v>0</v>
      </c>
      <c r="AV16" s="21">
        <f>IF(AND(AV$4&gt;='Single Project Assumptions'!$P$59,'Operational Phase'!AV$4&lt;'Single Project Assumptions'!$P$60),-'Single Project Assumptions'!$P$58/12,0)</f>
        <v>0</v>
      </c>
      <c r="AW16" s="21">
        <f>IF(AND(AW$4&gt;='Single Project Assumptions'!$P$59,'Operational Phase'!AW$4&lt;'Single Project Assumptions'!$P$60),-'Single Project Assumptions'!$P$58/12,0)</f>
        <v>0</v>
      </c>
      <c r="AX16" s="21">
        <f>IF(AND(AX$4&gt;='Single Project Assumptions'!$P$59,'Operational Phase'!AX$4&lt;'Single Project Assumptions'!$P$60),-'Single Project Assumptions'!$P$58/12,0)</f>
        <v>0</v>
      </c>
      <c r="AY16" s="21">
        <f>IF(AND(AY$4&gt;='Single Project Assumptions'!$P$59,'Operational Phase'!AY$4&lt;'Single Project Assumptions'!$P$60),-'Single Project Assumptions'!$P$58/12,0)</f>
        <v>0</v>
      </c>
      <c r="AZ16" s="21">
        <f>IF(AND(AZ$4&gt;='Single Project Assumptions'!$P$59,'Operational Phase'!AZ$4&lt;'Single Project Assumptions'!$P$60),-'Single Project Assumptions'!$P$58/12,0)</f>
        <v>0</v>
      </c>
      <c r="BA16" s="21">
        <f>IF(AND(BA$4&gt;='Single Project Assumptions'!$P$59,'Operational Phase'!BA$4&lt;'Single Project Assumptions'!$P$60),-'Single Project Assumptions'!$P$58/12,0)</f>
        <v>0</v>
      </c>
      <c r="BB16" s="21">
        <f>IF(AND(BB$4&gt;='Single Project Assumptions'!$P$59,'Operational Phase'!BB$4&lt;'Single Project Assumptions'!$P$60),-'Single Project Assumptions'!$P$58/12,0)</f>
        <v>0</v>
      </c>
      <c r="BC16" s="21">
        <f>IF(AND(BC$4&gt;='Single Project Assumptions'!$P$59,'Operational Phase'!BC$4&lt;'Single Project Assumptions'!$P$60),-'Single Project Assumptions'!$P$58/12,0)</f>
        <v>0</v>
      </c>
      <c r="BD16" s="21">
        <f>IF(AND(BD$4&gt;='Single Project Assumptions'!$P$59,'Operational Phase'!BD$4&lt;'Single Project Assumptions'!$P$60),-'Single Project Assumptions'!$P$58/12,0)</f>
        <v>-15750</v>
      </c>
      <c r="BE16" s="21">
        <f>IF(AND(BE$4&gt;='Single Project Assumptions'!$P$59,'Operational Phase'!BE$4&lt;'Single Project Assumptions'!$P$60),-'Single Project Assumptions'!$P$58/12,0)</f>
        <v>-15750</v>
      </c>
      <c r="BF16" s="21">
        <f>IF(AND(BF$4&gt;='Single Project Assumptions'!$P$59,'Operational Phase'!BF$4&lt;'Single Project Assumptions'!$P$60),-'Single Project Assumptions'!$P$58/12,0)</f>
        <v>-15750</v>
      </c>
      <c r="BG16" s="21">
        <f>IF(AND(BG$4&gt;='Single Project Assumptions'!$P$59,'Operational Phase'!BG$4&lt;'Single Project Assumptions'!$P$60),-'Single Project Assumptions'!$P$58/12,0)</f>
        <v>-15750</v>
      </c>
      <c r="BH16" s="21">
        <f>IF(AND(BH$4&gt;='Single Project Assumptions'!$P$59,'Operational Phase'!BH$4&lt;'Single Project Assumptions'!$P$60),-'Single Project Assumptions'!$P$58/12,0)</f>
        <v>-15750</v>
      </c>
      <c r="BI16" s="21">
        <f>IF(AND(BI$4&gt;='Single Project Assumptions'!$P$59,'Operational Phase'!BI$4&lt;'Single Project Assumptions'!$P$60),-'Single Project Assumptions'!$P$58/12,0)</f>
        <v>-15750</v>
      </c>
      <c r="BJ16" s="21">
        <f>IF(AND(BJ$4&gt;='Single Project Assumptions'!$P$59,'Operational Phase'!BJ$4&lt;'Single Project Assumptions'!$P$60),-'Single Project Assumptions'!$P$58/12,0)</f>
        <v>-15750</v>
      </c>
      <c r="BK16" s="21">
        <f>IF(AND(BK$4&gt;='Single Project Assumptions'!$P$59,'Operational Phase'!BK$4&lt;'Single Project Assumptions'!$P$60),-'Single Project Assumptions'!$P$58/12,0)</f>
        <v>-15750</v>
      </c>
      <c r="BL16" s="21">
        <f>IF(AND(BL$4&gt;='Single Project Assumptions'!$P$59,'Operational Phase'!BL$4&lt;'Single Project Assumptions'!$P$60),-'Single Project Assumptions'!$P$58/12,0)</f>
        <v>-15750</v>
      </c>
      <c r="BM16" s="21">
        <f>IF(AND(BM$4&gt;='Single Project Assumptions'!$P$59,'Operational Phase'!BM$4&lt;'Single Project Assumptions'!$P$60),-'Single Project Assumptions'!$P$58/12,0)</f>
        <v>-15750</v>
      </c>
      <c r="BN16" s="21">
        <f>IF(AND(BN$4&gt;='Single Project Assumptions'!$P$59,'Operational Phase'!BN$4&lt;'Single Project Assumptions'!$P$60),-'Single Project Assumptions'!$P$58/12,0)</f>
        <v>-15750</v>
      </c>
      <c r="BO16" s="21">
        <f>IF(AND(BO$4&gt;='Single Project Assumptions'!$P$59,'Operational Phase'!BO$4&lt;'Single Project Assumptions'!$P$60),-'Single Project Assumptions'!$P$58/12,0)</f>
        <v>-15750</v>
      </c>
      <c r="BP16" s="21">
        <f>IF(AND(BP$4&gt;='Single Project Assumptions'!$P$59,'Operational Phase'!BP$4&lt;'Single Project Assumptions'!$P$60),-'Single Project Assumptions'!$P$58/12,0)</f>
        <v>-15750</v>
      </c>
      <c r="BQ16" s="21">
        <f>IF(AND(BQ$4&gt;='Single Project Assumptions'!$P$59,'Operational Phase'!BQ$4&lt;'Single Project Assumptions'!$P$60),-'Single Project Assumptions'!$P$58/12,0)</f>
        <v>-15750</v>
      </c>
      <c r="BR16" s="21">
        <f>IF(AND(BR$4&gt;='Single Project Assumptions'!$P$59,'Operational Phase'!BR$4&lt;'Single Project Assumptions'!$P$60),-'Single Project Assumptions'!$P$58/12,0)</f>
        <v>-15750</v>
      </c>
      <c r="BS16" s="21">
        <f>IF(AND(BS$4&gt;='Single Project Assumptions'!$P$59,'Operational Phase'!BS$4&lt;'Single Project Assumptions'!$P$60),-'Single Project Assumptions'!$P$58/12,0)</f>
        <v>-15750</v>
      </c>
      <c r="BT16" s="21">
        <f>IF(AND(BT$4&gt;='Single Project Assumptions'!$P$59,'Operational Phase'!BT$4&lt;'Single Project Assumptions'!$P$60),-'Single Project Assumptions'!$P$58/12,0)</f>
        <v>-15750</v>
      </c>
      <c r="BU16" s="21">
        <f>IF(AND(BU$4&gt;='Single Project Assumptions'!$P$59,'Operational Phase'!BU$4&lt;'Single Project Assumptions'!$P$60),-'Single Project Assumptions'!$P$58/12,0)</f>
        <v>-15750</v>
      </c>
      <c r="BV16" s="21">
        <f>IF(AND(BV$4&gt;='Single Project Assumptions'!$P$59,'Operational Phase'!BV$4&lt;'Single Project Assumptions'!$P$60),-'Single Project Assumptions'!$P$58/12,0)</f>
        <v>-15750</v>
      </c>
      <c r="BW16" s="21">
        <f>IF(AND(BW$4&gt;='Single Project Assumptions'!$P$59,'Operational Phase'!BW$4&lt;'Single Project Assumptions'!$P$60),-'Single Project Assumptions'!$P$58/12,0)</f>
        <v>-15750</v>
      </c>
      <c r="BX16" s="21">
        <f>IF(AND(BX$4&gt;='Single Project Assumptions'!$P$59,'Operational Phase'!BX$4&lt;'Single Project Assumptions'!$P$60),-'Single Project Assumptions'!$P$58/12,0)</f>
        <v>-15750</v>
      </c>
      <c r="BY16" s="21">
        <f>IF(AND(BY$4&gt;='Single Project Assumptions'!$P$59,'Operational Phase'!BY$4&lt;'Single Project Assumptions'!$P$60),-'Single Project Assumptions'!$P$58/12,0)</f>
        <v>-15750</v>
      </c>
      <c r="BZ16" s="21">
        <f>IF(AND(BZ$4&gt;='Single Project Assumptions'!$P$59,'Operational Phase'!BZ$4&lt;'Single Project Assumptions'!$P$60),-'Single Project Assumptions'!$P$58/12,0)</f>
        <v>-15750</v>
      </c>
      <c r="CA16" s="21">
        <f>IF(AND(CA$4&gt;='Single Project Assumptions'!$P$59,'Operational Phase'!CA$4&lt;'Single Project Assumptions'!$P$60),-'Single Project Assumptions'!$P$58/12,0)</f>
        <v>-15750</v>
      </c>
      <c r="CB16" s="21">
        <f>IF(AND(CB$4&gt;='Single Project Assumptions'!$P$59,'Operational Phase'!CB$4&lt;'Single Project Assumptions'!$P$60),-'Single Project Assumptions'!$P$58/12,0)</f>
        <v>-15750</v>
      </c>
      <c r="CC16" s="21">
        <f>IF(AND(CC$4&gt;='Single Project Assumptions'!$P$59,'Operational Phase'!CC$4&lt;'Single Project Assumptions'!$P$60),-'Single Project Assumptions'!$P$58/12,0)</f>
        <v>-15750</v>
      </c>
      <c r="CD16" s="21">
        <f>IF(AND(CD$4&gt;='Single Project Assumptions'!$P$59,'Operational Phase'!CD$4&lt;'Single Project Assumptions'!$P$60),-'Single Project Assumptions'!$P$58/12,0)</f>
        <v>-15750</v>
      </c>
      <c r="CE16" s="21">
        <f>IF(AND(CE$4&gt;='Single Project Assumptions'!$P$59,'Operational Phase'!CE$4&lt;'Single Project Assumptions'!$P$60),-'Single Project Assumptions'!$P$58/12,0)</f>
        <v>-15750</v>
      </c>
      <c r="CF16" s="21">
        <f>IF(AND(CF$4&gt;='Single Project Assumptions'!$P$59,'Operational Phase'!CF$4&lt;'Single Project Assumptions'!$P$60),-'Single Project Assumptions'!$P$58/12,0)</f>
        <v>-15750</v>
      </c>
      <c r="CG16" s="21">
        <f>IF(AND(CG$4&gt;='Single Project Assumptions'!$P$59,'Operational Phase'!CG$4&lt;'Single Project Assumptions'!$P$60),-'Single Project Assumptions'!$P$58/12,0)</f>
        <v>-15750</v>
      </c>
      <c r="CH16" s="21">
        <f>IF(AND(CH$4&gt;='Single Project Assumptions'!$P$59,'Operational Phase'!CH$4&lt;'Single Project Assumptions'!$P$60),-'Single Project Assumptions'!$P$58/12,0)</f>
        <v>-15750</v>
      </c>
      <c r="CI16" s="21">
        <f>IF(AND(CI$4&gt;='Single Project Assumptions'!$P$59,'Operational Phase'!CI$4&lt;'Single Project Assumptions'!$P$60),-'Single Project Assumptions'!$P$58/12,0)</f>
        <v>-15750</v>
      </c>
      <c r="CJ16" s="21">
        <f>IF(AND(CJ$4&gt;='Single Project Assumptions'!$P$59,'Operational Phase'!CJ$4&lt;'Single Project Assumptions'!$P$60),-'Single Project Assumptions'!$P$58/12,0)</f>
        <v>-15750</v>
      </c>
      <c r="CK16" s="21">
        <f>IF(AND(CK$4&gt;='Single Project Assumptions'!$P$59,'Operational Phase'!CK$4&lt;'Single Project Assumptions'!$P$60),-'Single Project Assumptions'!$P$58/12,0)</f>
        <v>-15750</v>
      </c>
      <c r="CL16" s="21">
        <f>IF(AND(CL$4&gt;='Single Project Assumptions'!$P$59,'Operational Phase'!CL$4&lt;'Single Project Assumptions'!$P$60),-'Single Project Assumptions'!$P$58/12,0)</f>
        <v>-15750</v>
      </c>
      <c r="CM16" s="21">
        <f>IF(AND(CM$4&gt;='Single Project Assumptions'!$P$59,'Operational Phase'!CM$4&lt;'Single Project Assumptions'!$P$60),-'Single Project Assumptions'!$P$58/12,0)</f>
        <v>-15750</v>
      </c>
      <c r="CN16" s="21">
        <f>IF(AND(CN$4&gt;='Single Project Assumptions'!$P$59,'Operational Phase'!CN$4&lt;'Single Project Assumptions'!$P$60),-'Single Project Assumptions'!$P$58/12,0)</f>
        <v>-15750</v>
      </c>
      <c r="CO16" s="21">
        <f>IF(AND(CO$4&gt;='Single Project Assumptions'!$P$59,'Operational Phase'!CO$4&lt;'Single Project Assumptions'!$P$60),-'Single Project Assumptions'!$P$58/12,0)</f>
        <v>-15750</v>
      </c>
      <c r="CP16" s="21">
        <f>IF(AND(CP$4&gt;='Single Project Assumptions'!$P$59,'Operational Phase'!CP$4&lt;'Single Project Assumptions'!$P$60),-'Single Project Assumptions'!$P$58/12,0)</f>
        <v>-15750</v>
      </c>
      <c r="CQ16" s="21">
        <f>IF(AND(CQ$4&gt;='Single Project Assumptions'!$P$59,'Operational Phase'!CQ$4&lt;'Single Project Assumptions'!$P$60),-'Single Project Assumptions'!$P$58/12,0)</f>
        <v>-15750</v>
      </c>
      <c r="CR16" s="21">
        <f>IF(AND(CR$4&gt;='Single Project Assumptions'!$P$59,'Operational Phase'!CR$4&lt;'Single Project Assumptions'!$P$60),-'Single Project Assumptions'!$P$58/12,0)</f>
        <v>-15750</v>
      </c>
      <c r="CS16" s="21">
        <f>IF(AND(CS$4&gt;='Single Project Assumptions'!$P$59,'Operational Phase'!CS$4&lt;'Single Project Assumptions'!$P$60),-'Single Project Assumptions'!$P$58/12,0)</f>
        <v>-15750</v>
      </c>
      <c r="CT16" s="21">
        <f>IF(AND(CT$4&gt;='Single Project Assumptions'!$P$59,'Operational Phase'!CT$4&lt;'Single Project Assumptions'!$P$60),-'Single Project Assumptions'!$P$58/12,0)</f>
        <v>-15750</v>
      </c>
      <c r="CU16" s="21">
        <f>IF(AND(CU$4&gt;='Single Project Assumptions'!$P$59,'Operational Phase'!CU$4&lt;'Single Project Assumptions'!$P$60),-'Single Project Assumptions'!$P$58/12,0)</f>
        <v>-15750</v>
      </c>
      <c r="CV16" s="21">
        <f>IF(AND(CV$4&gt;='Single Project Assumptions'!$P$59,'Operational Phase'!CV$4&lt;'Single Project Assumptions'!$P$60),-'Single Project Assumptions'!$P$58/12,0)</f>
        <v>-15750</v>
      </c>
      <c r="CW16" s="21">
        <f>IF(AND(CW$4&gt;='Single Project Assumptions'!$P$59,'Operational Phase'!CW$4&lt;'Single Project Assumptions'!$P$60),-'Single Project Assumptions'!$P$58/12,0)</f>
        <v>-15750</v>
      </c>
      <c r="CX16" s="21">
        <f>IF(AND(CX$4&gt;='Single Project Assumptions'!$P$59,'Operational Phase'!CX$4&lt;'Single Project Assumptions'!$P$60),-'Single Project Assumptions'!$P$58/12,0)</f>
        <v>-15750</v>
      </c>
      <c r="CY16" s="21">
        <f>IF(AND(CY$4&gt;='Single Project Assumptions'!$P$59,'Operational Phase'!CY$4&lt;'Single Project Assumptions'!$P$60),-'Single Project Assumptions'!$P$58/12,0)</f>
        <v>-15750</v>
      </c>
      <c r="CZ16" s="21">
        <f>IF(AND(CZ$4&gt;='Single Project Assumptions'!$P$59,'Operational Phase'!CZ$4&lt;'Single Project Assumptions'!$P$60),-'Single Project Assumptions'!$P$58/12,0)</f>
        <v>-15750</v>
      </c>
      <c r="DA16" s="21">
        <f>IF(AND(DA$4&gt;='Single Project Assumptions'!$P$59,'Operational Phase'!DA$4&lt;'Single Project Assumptions'!$P$60),-'Single Project Assumptions'!$P$58/12,0)</f>
        <v>-15750</v>
      </c>
      <c r="DB16" s="21">
        <f>IF(AND(DB$4&gt;='Single Project Assumptions'!$P$59,'Operational Phase'!DB$4&lt;'Single Project Assumptions'!$P$60),-'Single Project Assumptions'!$P$58/12,0)</f>
        <v>-15750</v>
      </c>
      <c r="DC16" s="21">
        <f>IF(AND(DC$4&gt;='Single Project Assumptions'!$P$59,'Operational Phase'!DC$4&lt;'Single Project Assumptions'!$P$60),-'Single Project Assumptions'!$P$58/12,0)</f>
        <v>-15750</v>
      </c>
      <c r="DD16" s="21">
        <f>IF(AND(DD$4&gt;='Single Project Assumptions'!$P$59,'Operational Phase'!DD$4&lt;'Single Project Assumptions'!$P$60),-'Single Project Assumptions'!$P$58/12,0)</f>
        <v>-15750</v>
      </c>
      <c r="DE16" s="21">
        <f>IF(AND(DE$4&gt;='Single Project Assumptions'!$P$59,'Operational Phase'!DE$4&lt;'Single Project Assumptions'!$P$60),-'Single Project Assumptions'!$P$58/12,0)</f>
        <v>-15750</v>
      </c>
      <c r="DF16" s="21">
        <f>IF(AND(DF$4&gt;='Single Project Assumptions'!$P$59,'Operational Phase'!DF$4&lt;'Single Project Assumptions'!$P$60),-'Single Project Assumptions'!$P$58/12,0)</f>
        <v>-15750</v>
      </c>
      <c r="DG16" s="21">
        <f>IF(AND(DG$4&gt;='Single Project Assumptions'!$P$59,'Operational Phase'!DG$4&lt;'Single Project Assumptions'!$P$60),-'Single Project Assumptions'!$P$58/12,0)</f>
        <v>-15750</v>
      </c>
      <c r="DH16" s="21">
        <f>IF(AND(DH$4&gt;='Single Project Assumptions'!$P$59,'Operational Phase'!DH$4&lt;'Single Project Assumptions'!$P$60),-'Single Project Assumptions'!$P$58/12,0)</f>
        <v>-15750</v>
      </c>
      <c r="DI16" s="21">
        <f>IF(AND(DI$4&gt;='Single Project Assumptions'!$P$59,'Operational Phase'!DI$4&lt;'Single Project Assumptions'!$P$60),-'Single Project Assumptions'!$P$58/12,0)</f>
        <v>-15750</v>
      </c>
      <c r="DJ16" s="21">
        <f>IF(AND(DJ$4&gt;='Single Project Assumptions'!$P$59,'Operational Phase'!DJ$4&lt;'Single Project Assumptions'!$P$60),-'Single Project Assumptions'!$P$58/12,0)</f>
        <v>-15750</v>
      </c>
      <c r="DK16" s="21">
        <f>IF(AND(DK$4&gt;='Single Project Assumptions'!$P$59,'Operational Phase'!DK$4&lt;'Single Project Assumptions'!$P$60),-'Single Project Assumptions'!$P$58/12,0)</f>
        <v>-15750</v>
      </c>
      <c r="DL16" s="21">
        <f>IF(AND(DL$4&gt;='Single Project Assumptions'!$P$59,'Operational Phase'!DL$4&lt;'Single Project Assumptions'!$P$60),-'Single Project Assumptions'!$P$58/12,0)</f>
        <v>0</v>
      </c>
      <c r="DM16" s="21">
        <f>IF(AND(DM$4&gt;='Single Project Assumptions'!$P$59,'Operational Phase'!DM$4&lt;'Single Project Assumptions'!$P$60),-'Single Project Assumptions'!$P$58/12,0)</f>
        <v>0</v>
      </c>
      <c r="DN16" s="21">
        <f>IF(AND(DN$4&gt;='Single Project Assumptions'!$P$59,'Operational Phase'!DN$4&lt;'Single Project Assumptions'!$P$60),-'Single Project Assumptions'!$P$58/12,0)</f>
        <v>0</v>
      </c>
      <c r="DO16" s="21">
        <f>IF(AND(DO$4&gt;='Single Project Assumptions'!$P$59,'Operational Phase'!DO$4&lt;'Single Project Assumptions'!$P$60),-'Single Project Assumptions'!$P$58/12,0)</f>
        <v>0</v>
      </c>
      <c r="DP16" s="21">
        <f>IF(AND(DP$4&gt;='Single Project Assumptions'!$P$59,'Operational Phase'!DP$4&lt;'Single Project Assumptions'!$P$60),-'Single Project Assumptions'!$P$58/12,0)</f>
        <v>0</v>
      </c>
      <c r="DQ16" s="21">
        <f>IF(AND(DQ$4&gt;='Single Project Assumptions'!$P$59,'Operational Phase'!DQ$4&lt;'Single Project Assumptions'!$P$60),-'Single Project Assumptions'!$P$58/12,0)</f>
        <v>0</v>
      </c>
      <c r="DR16" s="21">
        <f>IF(AND(DR$4&gt;='Single Project Assumptions'!$P$59,'Operational Phase'!DR$4&lt;'Single Project Assumptions'!$P$60),-'Single Project Assumptions'!$P$58/12,0)</f>
        <v>0</v>
      </c>
      <c r="DS16" s="21">
        <f>IF(AND(DS$4&gt;='Single Project Assumptions'!$P$59,'Operational Phase'!DS$4&lt;'Single Project Assumptions'!$P$60),-'Single Project Assumptions'!$P$58/12,0)</f>
        <v>0</v>
      </c>
      <c r="DT16" s="21">
        <f>IF(AND(DT$4&gt;='Single Project Assumptions'!$P$59,'Operational Phase'!DT$4&lt;'Single Project Assumptions'!$P$60),-'Single Project Assumptions'!$P$58/12,0)</f>
        <v>0</v>
      </c>
      <c r="DU16" s="21">
        <f>IF(AND(DU$4&gt;='Single Project Assumptions'!$P$59,'Operational Phase'!DU$4&lt;'Single Project Assumptions'!$P$60),-'Single Project Assumptions'!$P$58/12,0)</f>
        <v>0</v>
      </c>
    </row>
    <row r="17" spans="3:125" s="3" customFormat="1" ht="22.95" customHeight="1">
      <c r="C17" s="26" t="s">
        <v>296</v>
      </c>
      <c r="D17" s="27">
        <f>SUM(E17:DU17)</f>
        <v>322500</v>
      </c>
      <c r="E17" s="65">
        <f t="shared" ref="E17:AJ17" si="20">SUM(E15:E16)</f>
        <v>0</v>
      </c>
      <c r="F17" s="65">
        <f t="shared" si="20"/>
        <v>0</v>
      </c>
      <c r="G17" s="65">
        <f t="shared" si="20"/>
        <v>0</v>
      </c>
      <c r="H17" s="65">
        <f t="shared" si="20"/>
        <v>0</v>
      </c>
      <c r="I17" s="65">
        <f t="shared" si="20"/>
        <v>0</v>
      </c>
      <c r="J17" s="65">
        <f t="shared" si="20"/>
        <v>0</v>
      </c>
      <c r="K17" s="65">
        <f t="shared" si="20"/>
        <v>0</v>
      </c>
      <c r="L17" s="65">
        <f t="shared" si="20"/>
        <v>0</v>
      </c>
      <c r="M17" s="65">
        <f t="shared" si="20"/>
        <v>0</v>
      </c>
      <c r="N17" s="65">
        <f t="shared" si="20"/>
        <v>0</v>
      </c>
      <c r="O17" s="65">
        <f t="shared" si="20"/>
        <v>0</v>
      </c>
      <c r="P17" s="65">
        <f t="shared" si="20"/>
        <v>0</v>
      </c>
      <c r="Q17" s="65">
        <f t="shared" si="20"/>
        <v>0</v>
      </c>
      <c r="R17" s="65">
        <f t="shared" si="20"/>
        <v>0</v>
      </c>
      <c r="S17" s="65">
        <f t="shared" si="20"/>
        <v>0</v>
      </c>
      <c r="T17" s="65">
        <f t="shared" si="20"/>
        <v>0</v>
      </c>
      <c r="U17" s="65">
        <f t="shared" si="20"/>
        <v>0</v>
      </c>
      <c r="V17" s="65">
        <f t="shared" si="20"/>
        <v>0</v>
      </c>
      <c r="W17" s="65">
        <f t="shared" si="20"/>
        <v>0</v>
      </c>
      <c r="X17" s="65">
        <f t="shared" si="20"/>
        <v>0</v>
      </c>
      <c r="Y17" s="65">
        <f t="shared" si="20"/>
        <v>0</v>
      </c>
      <c r="Z17" s="65">
        <f t="shared" si="20"/>
        <v>0</v>
      </c>
      <c r="AA17" s="65">
        <f t="shared" si="20"/>
        <v>0</v>
      </c>
      <c r="AB17" s="65">
        <f t="shared" si="20"/>
        <v>0</v>
      </c>
      <c r="AC17" s="65">
        <f t="shared" si="20"/>
        <v>0</v>
      </c>
      <c r="AD17" s="65">
        <f t="shared" si="20"/>
        <v>0</v>
      </c>
      <c r="AE17" s="65">
        <f t="shared" si="20"/>
        <v>0</v>
      </c>
      <c r="AF17" s="65">
        <f t="shared" si="20"/>
        <v>0</v>
      </c>
      <c r="AG17" s="65">
        <f t="shared" si="20"/>
        <v>0</v>
      </c>
      <c r="AH17" s="65">
        <f t="shared" si="20"/>
        <v>0</v>
      </c>
      <c r="AI17" s="65">
        <f t="shared" si="20"/>
        <v>0</v>
      </c>
      <c r="AJ17" s="65">
        <f t="shared" si="20"/>
        <v>0</v>
      </c>
      <c r="AK17" s="65">
        <f t="shared" ref="AK17:BP17" si="21">SUM(AK15:AK16)</f>
        <v>0</v>
      </c>
      <c r="AL17" s="65">
        <f t="shared" si="21"/>
        <v>0</v>
      </c>
      <c r="AM17" s="65">
        <f t="shared" si="21"/>
        <v>0</v>
      </c>
      <c r="AN17" s="65">
        <f t="shared" si="21"/>
        <v>0</v>
      </c>
      <c r="AO17" s="65">
        <f t="shared" si="21"/>
        <v>0</v>
      </c>
      <c r="AP17" s="65">
        <f t="shared" si="21"/>
        <v>0</v>
      </c>
      <c r="AQ17" s="65">
        <f t="shared" si="21"/>
        <v>0</v>
      </c>
      <c r="AR17" s="65">
        <f t="shared" si="21"/>
        <v>0</v>
      </c>
      <c r="AS17" s="65">
        <f t="shared" si="21"/>
        <v>0</v>
      </c>
      <c r="AT17" s="65">
        <f t="shared" si="21"/>
        <v>0</v>
      </c>
      <c r="AU17" s="65">
        <f t="shared" si="21"/>
        <v>0</v>
      </c>
      <c r="AV17" s="65">
        <f t="shared" si="21"/>
        <v>0</v>
      </c>
      <c r="AW17" s="65">
        <f t="shared" si="21"/>
        <v>0</v>
      </c>
      <c r="AX17" s="65">
        <f t="shared" si="21"/>
        <v>0</v>
      </c>
      <c r="AY17" s="65">
        <f t="shared" si="21"/>
        <v>0</v>
      </c>
      <c r="AZ17" s="65">
        <f t="shared" si="21"/>
        <v>0</v>
      </c>
      <c r="BA17" s="65">
        <f t="shared" si="21"/>
        <v>0</v>
      </c>
      <c r="BB17" s="65">
        <f t="shared" si="21"/>
        <v>0</v>
      </c>
      <c r="BC17" s="65">
        <f t="shared" si="21"/>
        <v>0</v>
      </c>
      <c r="BD17" s="65">
        <f t="shared" si="21"/>
        <v>-6999.9999999999982</v>
      </c>
      <c r="BE17" s="65">
        <f t="shared" si="21"/>
        <v>-5750</v>
      </c>
      <c r="BF17" s="65">
        <f t="shared" si="21"/>
        <v>-4500</v>
      </c>
      <c r="BG17" s="65">
        <f t="shared" si="21"/>
        <v>-3250</v>
      </c>
      <c r="BH17" s="65">
        <f t="shared" si="21"/>
        <v>-2000.0000000000018</v>
      </c>
      <c r="BI17" s="65">
        <f t="shared" si="21"/>
        <v>-750.00000000000182</v>
      </c>
      <c r="BJ17" s="65">
        <f t="shared" si="21"/>
        <v>499.99999999999636</v>
      </c>
      <c r="BK17" s="65">
        <f t="shared" si="21"/>
        <v>1749.9999999999964</v>
      </c>
      <c r="BL17" s="65">
        <f t="shared" si="21"/>
        <v>2999.9999999999964</v>
      </c>
      <c r="BM17" s="65">
        <f t="shared" si="21"/>
        <v>4249.9999999999964</v>
      </c>
      <c r="BN17" s="65">
        <f t="shared" si="21"/>
        <v>5500</v>
      </c>
      <c r="BO17" s="65">
        <f t="shared" si="21"/>
        <v>6750</v>
      </c>
      <c r="BP17" s="65">
        <f t="shared" si="21"/>
        <v>6750</v>
      </c>
      <c r="BQ17" s="65">
        <f t="shared" ref="BQ17:CV17" si="22">SUM(BQ15:BQ16)</f>
        <v>6750</v>
      </c>
      <c r="BR17" s="65">
        <f t="shared" si="22"/>
        <v>6750</v>
      </c>
      <c r="BS17" s="65">
        <f t="shared" si="22"/>
        <v>6750</v>
      </c>
      <c r="BT17" s="65">
        <f t="shared" si="22"/>
        <v>6750</v>
      </c>
      <c r="BU17" s="65">
        <f t="shared" si="22"/>
        <v>6750</v>
      </c>
      <c r="BV17" s="65">
        <f t="shared" si="22"/>
        <v>6750</v>
      </c>
      <c r="BW17" s="65">
        <f t="shared" si="22"/>
        <v>6750</v>
      </c>
      <c r="BX17" s="65">
        <f t="shared" si="22"/>
        <v>6750</v>
      </c>
      <c r="BY17" s="65">
        <f t="shared" si="22"/>
        <v>6750</v>
      </c>
      <c r="BZ17" s="65">
        <f t="shared" si="22"/>
        <v>6750</v>
      </c>
      <c r="CA17" s="65">
        <f t="shared" si="22"/>
        <v>6750</v>
      </c>
      <c r="CB17" s="65">
        <f t="shared" si="22"/>
        <v>6750</v>
      </c>
      <c r="CC17" s="65">
        <f t="shared" si="22"/>
        <v>6750</v>
      </c>
      <c r="CD17" s="65">
        <f t="shared" si="22"/>
        <v>6750</v>
      </c>
      <c r="CE17" s="65">
        <f t="shared" si="22"/>
        <v>6750</v>
      </c>
      <c r="CF17" s="65">
        <f t="shared" si="22"/>
        <v>6750</v>
      </c>
      <c r="CG17" s="65">
        <f t="shared" si="22"/>
        <v>6750</v>
      </c>
      <c r="CH17" s="65">
        <f t="shared" si="22"/>
        <v>6750</v>
      </c>
      <c r="CI17" s="65">
        <f t="shared" si="22"/>
        <v>6750</v>
      </c>
      <c r="CJ17" s="65">
        <f t="shared" si="22"/>
        <v>6750</v>
      </c>
      <c r="CK17" s="65">
        <f t="shared" si="22"/>
        <v>6750</v>
      </c>
      <c r="CL17" s="65">
        <f t="shared" si="22"/>
        <v>6750</v>
      </c>
      <c r="CM17" s="65">
        <f t="shared" si="22"/>
        <v>6750</v>
      </c>
      <c r="CN17" s="65">
        <f t="shared" si="22"/>
        <v>6750</v>
      </c>
      <c r="CO17" s="65">
        <f t="shared" si="22"/>
        <v>6750</v>
      </c>
      <c r="CP17" s="65">
        <f t="shared" si="22"/>
        <v>6750</v>
      </c>
      <c r="CQ17" s="65">
        <f t="shared" si="22"/>
        <v>6750</v>
      </c>
      <c r="CR17" s="65">
        <f t="shared" si="22"/>
        <v>6750</v>
      </c>
      <c r="CS17" s="65">
        <f t="shared" si="22"/>
        <v>6750</v>
      </c>
      <c r="CT17" s="65">
        <f t="shared" si="22"/>
        <v>6750</v>
      </c>
      <c r="CU17" s="65">
        <f t="shared" si="22"/>
        <v>6750</v>
      </c>
      <c r="CV17" s="65">
        <f t="shared" si="22"/>
        <v>6750</v>
      </c>
      <c r="CW17" s="65">
        <f t="shared" ref="CW17:DU17" si="23">SUM(CW15:CW16)</f>
        <v>6750</v>
      </c>
      <c r="CX17" s="65">
        <f t="shared" si="23"/>
        <v>6750</v>
      </c>
      <c r="CY17" s="65">
        <f t="shared" si="23"/>
        <v>6750</v>
      </c>
      <c r="CZ17" s="65">
        <f t="shared" si="23"/>
        <v>6750</v>
      </c>
      <c r="DA17" s="65">
        <f t="shared" si="23"/>
        <v>6750</v>
      </c>
      <c r="DB17" s="65">
        <f t="shared" si="23"/>
        <v>6750</v>
      </c>
      <c r="DC17" s="65">
        <f t="shared" si="23"/>
        <v>6750</v>
      </c>
      <c r="DD17" s="65">
        <f t="shared" si="23"/>
        <v>6750</v>
      </c>
      <c r="DE17" s="65">
        <f t="shared" si="23"/>
        <v>6750</v>
      </c>
      <c r="DF17" s="65">
        <f t="shared" si="23"/>
        <v>6750</v>
      </c>
      <c r="DG17" s="65">
        <f t="shared" si="23"/>
        <v>6750</v>
      </c>
      <c r="DH17" s="65">
        <f t="shared" si="23"/>
        <v>6750</v>
      </c>
      <c r="DI17" s="65">
        <f t="shared" si="23"/>
        <v>6750</v>
      </c>
      <c r="DJ17" s="65">
        <f t="shared" si="23"/>
        <v>6750</v>
      </c>
      <c r="DK17" s="65">
        <f t="shared" si="23"/>
        <v>6750</v>
      </c>
      <c r="DL17" s="65">
        <f t="shared" si="23"/>
        <v>0</v>
      </c>
      <c r="DM17" s="65">
        <f t="shared" si="23"/>
        <v>0</v>
      </c>
      <c r="DN17" s="65">
        <f t="shared" si="23"/>
        <v>0</v>
      </c>
      <c r="DO17" s="65">
        <f t="shared" si="23"/>
        <v>0</v>
      </c>
      <c r="DP17" s="65">
        <f t="shared" si="23"/>
        <v>0</v>
      </c>
      <c r="DQ17" s="65">
        <f t="shared" si="23"/>
        <v>0</v>
      </c>
      <c r="DR17" s="65">
        <f t="shared" si="23"/>
        <v>0</v>
      </c>
      <c r="DS17" s="65">
        <f t="shared" si="23"/>
        <v>0</v>
      </c>
      <c r="DT17" s="65">
        <f t="shared" si="23"/>
        <v>0</v>
      </c>
      <c r="DU17" s="65">
        <f t="shared" si="23"/>
        <v>0</v>
      </c>
    </row>
    <row r="18" spans="3:125" s="3" customFormat="1" ht="22.95" customHeight="1">
      <c r="C18" s="31" t="s">
        <v>297</v>
      </c>
      <c r="D18" s="76">
        <f>MAX(E18:DU18)</f>
        <v>0.3</v>
      </c>
      <c r="E18" s="75">
        <f t="shared" ref="E18:AJ18" si="24">IF(ISERROR(E17/E15),0,(E17/E15))</f>
        <v>0</v>
      </c>
      <c r="F18" s="75">
        <f t="shared" si="24"/>
        <v>0</v>
      </c>
      <c r="G18" s="75">
        <f t="shared" si="24"/>
        <v>0</v>
      </c>
      <c r="H18" s="75">
        <f t="shared" si="24"/>
        <v>0</v>
      </c>
      <c r="I18" s="75">
        <f t="shared" si="24"/>
        <v>0</v>
      </c>
      <c r="J18" s="75">
        <f t="shared" si="24"/>
        <v>0</v>
      </c>
      <c r="K18" s="75">
        <f t="shared" si="24"/>
        <v>0</v>
      </c>
      <c r="L18" s="75">
        <f t="shared" si="24"/>
        <v>0</v>
      </c>
      <c r="M18" s="75">
        <f t="shared" si="24"/>
        <v>0</v>
      </c>
      <c r="N18" s="75">
        <f t="shared" si="24"/>
        <v>0</v>
      </c>
      <c r="O18" s="75">
        <f t="shared" si="24"/>
        <v>0</v>
      </c>
      <c r="P18" s="75">
        <f t="shared" si="24"/>
        <v>0</v>
      </c>
      <c r="Q18" s="75">
        <f t="shared" si="24"/>
        <v>0</v>
      </c>
      <c r="R18" s="75">
        <f t="shared" si="24"/>
        <v>0</v>
      </c>
      <c r="S18" s="75">
        <f t="shared" si="24"/>
        <v>0</v>
      </c>
      <c r="T18" s="75">
        <f t="shared" si="24"/>
        <v>0</v>
      </c>
      <c r="U18" s="75">
        <f t="shared" si="24"/>
        <v>0</v>
      </c>
      <c r="V18" s="75">
        <f t="shared" si="24"/>
        <v>0</v>
      </c>
      <c r="W18" s="75">
        <f t="shared" si="24"/>
        <v>0</v>
      </c>
      <c r="X18" s="75">
        <f t="shared" si="24"/>
        <v>0</v>
      </c>
      <c r="Y18" s="75">
        <f t="shared" si="24"/>
        <v>0</v>
      </c>
      <c r="Z18" s="75">
        <f t="shared" si="24"/>
        <v>0</v>
      </c>
      <c r="AA18" s="75">
        <f t="shared" si="24"/>
        <v>0</v>
      </c>
      <c r="AB18" s="75">
        <f t="shared" si="24"/>
        <v>0</v>
      </c>
      <c r="AC18" s="75">
        <f t="shared" si="24"/>
        <v>0</v>
      </c>
      <c r="AD18" s="75">
        <f t="shared" si="24"/>
        <v>0</v>
      </c>
      <c r="AE18" s="75">
        <f t="shared" si="24"/>
        <v>0</v>
      </c>
      <c r="AF18" s="75">
        <f t="shared" si="24"/>
        <v>0</v>
      </c>
      <c r="AG18" s="75">
        <f t="shared" si="24"/>
        <v>0</v>
      </c>
      <c r="AH18" s="75">
        <f t="shared" si="24"/>
        <v>0</v>
      </c>
      <c r="AI18" s="75">
        <f t="shared" si="24"/>
        <v>0</v>
      </c>
      <c r="AJ18" s="75">
        <f t="shared" si="24"/>
        <v>0</v>
      </c>
      <c r="AK18" s="75">
        <f t="shared" ref="AK18:BP18" si="25">IF(ISERROR(AK17/AK15),0,(AK17/AK15))</f>
        <v>0</v>
      </c>
      <c r="AL18" s="75">
        <f t="shared" si="25"/>
        <v>0</v>
      </c>
      <c r="AM18" s="75">
        <f t="shared" si="25"/>
        <v>0</v>
      </c>
      <c r="AN18" s="75">
        <f t="shared" si="25"/>
        <v>0</v>
      </c>
      <c r="AO18" s="75">
        <f t="shared" si="25"/>
        <v>0</v>
      </c>
      <c r="AP18" s="75">
        <f t="shared" si="25"/>
        <v>0</v>
      </c>
      <c r="AQ18" s="75">
        <f t="shared" si="25"/>
        <v>0</v>
      </c>
      <c r="AR18" s="75">
        <f t="shared" si="25"/>
        <v>0</v>
      </c>
      <c r="AS18" s="75">
        <f t="shared" si="25"/>
        <v>0</v>
      </c>
      <c r="AT18" s="75">
        <f t="shared" si="25"/>
        <v>0</v>
      </c>
      <c r="AU18" s="75">
        <f t="shared" si="25"/>
        <v>0</v>
      </c>
      <c r="AV18" s="75">
        <f t="shared" si="25"/>
        <v>0</v>
      </c>
      <c r="AW18" s="75">
        <f t="shared" si="25"/>
        <v>0</v>
      </c>
      <c r="AX18" s="75">
        <f t="shared" si="25"/>
        <v>0</v>
      </c>
      <c r="AY18" s="75">
        <f t="shared" si="25"/>
        <v>0</v>
      </c>
      <c r="AZ18" s="75">
        <f t="shared" si="25"/>
        <v>0</v>
      </c>
      <c r="BA18" s="75">
        <f t="shared" si="25"/>
        <v>0</v>
      </c>
      <c r="BB18" s="75">
        <f t="shared" si="25"/>
        <v>0</v>
      </c>
      <c r="BC18" s="75">
        <f t="shared" si="25"/>
        <v>0</v>
      </c>
      <c r="BD18" s="75">
        <f t="shared" si="25"/>
        <v>-0.7999999999999996</v>
      </c>
      <c r="BE18" s="75">
        <f t="shared" si="25"/>
        <v>-0.57499999999999996</v>
      </c>
      <c r="BF18" s="75">
        <f t="shared" si="25"/>
        <v>-0.4</v>
      </c>
      <c r="BG18" s="75">
        <f t="shared" si="25"/>
        <v>-0.26</v>
      </c>
      <c r="BH18" s="75">
        <f t="shared" si="25"/>
        <v>-0.14545454545454561</v>
      </c>
      <c r="BI18" s="75">
        <f t="shared" si="25"/>
        <v>-5.0000000000000128E-2</v>
      </c>
      <c r="BJ18" s="75">
        <f t="shared" si="25"/>
        <v>3.0769230769230552E-2</v>
      </c>
      <c r="BK18" s="75">
        <f t="shared" si="25"/>
        <v>9.9999999999999811E-2</v>
      </c>
      <c r="BL18" s="75">
        <f t="shared" si="25"/>
        <v>0.15999999999999984</v>
      </c>
      <c r="BM18" s="75">
        <f t="shared" si="25"/>
        <v>0.21249999999999986</v>
      </c>
      <c r="BN18" s="75">
        <f t="shared" si="25"/>
        <v>0.25882352941176473</v>
      </c>
      <c r="BO18" s="75">
        <f t="shared" si="25"/>
        <v>0.3</v>
      </c>
      <c r="BP18" s="75">
        <f t="shared" si="25"/>
        <v>0.3</v>
      </c>
      <c r="BQ18" s="75">
        <f t="shared" ref="BQ18:CV18" si="26">IF(ISERROR(BQ17/BQ15),0,(BQ17/BQ15))</f>
        <v>0.3</v>
      </c>
      <c r="BR18" s="75">
        <f t="shared" si="26"/>
        <v>0.3</v>
      </c>
      <c r="BS18" s="75">
        <f t="shared" si="26"/>
        <v>0.3</v>
      </c>
      <c r="BT18" s="75">
        <f t="shared" si="26"/>
        <v>0.3</v>
      </c>
      <c r="BU18" s="75">
        <f t="shared" si="26"/>
        <v>0.3</v>
      </c>
      <c r="BV18" s="75">
        <f t="shared" si="26"/>
        <v>0.3</v>
      </c>
      <c r="BW18" s="75">
        <f t="shared" si="26"/>
        <v>0.3</v>
      </c>
      <c r="BX18" s="75">
        <f t="shared" si="26"/>
        <v>0.3</v>
      </c>
      <c r="BY18" s="75">
        <f t="shared" si="26"/>
        <v>0.3</v>
      </c>
      <c r="BZ18" s="75">
        <f t="shared" si="26"/>
        <v>0.3</v>
      </c>
      <c r="CA18" s="75">
        <f t="shared" si="26"/>
        <v>0.3</v>
      </c>
      <c r="CB18" s="75">
        <f t="shared" si="26"/>
        <v>0.3</v>
      </c>
      <c r="CC18" s="75">
        <f t="shared" si="26"/>
        <v>0.3</v>
      </c>
      <c r="CD18" s="75">
        <f t="shared" si="26"/>
        <v>0.3</v>
      </c>
      <c r="CE18" s="75">
        <f t="shared" si="26"/>
        <v>0.3</v>
      </c>
      <c r="CF18" s="75">
        <f t="shared" si="26"/>
        <v>0.3</v>
      </c>
      <c r="CG18" s="75">
        <f t="shared" si="26"/>
        <v>0.3</v>
      </c>
      <c r="CH18" s="75">
        <f t="shared" si="26"/>
        <v>0.3</v>
      </c>
      <c r="CI18" s="75">
        <f t="shared" si="26"/>
        <v>0.3</v>
      </c>
      <c r="CJ18" s="75">
        <f t="shared" si="26"/>
        <v>0.3</v>
      </c>
      <c r="CK18" s="75">
        <f t="shared" si="26"/>
        <v>0.3</v>
      </c>
      <c r="CL18" s="75">
        <f t="shared" si="26"/>
        <v>0.3</v>
      </c>
      <c r="CM18" s="75">
        <f t="shared" si="26"/>
        <v>0.3</v>
      </c>
      <c r="CN18" s="75">
        <f t="shared" si="26"/>
        <v>0.3</v>
      </c>
      <c r="CO18" s="75">
        <f t="shared" si="26"/>
        <v>0.3</v>
      </c>
      <c r="CP18" s="75">
        <f t="shared" si="26"/>
        <v>0.3</v>
      </c>
      <c r="CQ18" s="75">
        <f t="shared" si="26"/>
        <v>0.3</v>
      </c>
      <c r="CR18" s="75">
        <f t="shared" si="26"/>
        <v>0.3</v>
      </c>
      <c r="CS18" s="75">
        <f t="shared" si="26"/>
        <v>0.3</v>
      </c>
      <c r="CT18" s="75">
        <f t="shared" si="26"/>
        <v>0.3</v>
      </c>
      <c r="CU18" s="75">
        <f t="shared" si="26"/>
        <v>0.3</v>
      </c>
      <c r="CV18" s="75">
        <f t="shared" si="26"/>
        <v>0.3</v>
      </c>
      <c r="CW18" s="75">
        <f t="shared" ref="CW18:DU18" si="27">IF(ISERROR(CW17/CW15),0,(CW17/CW15))</f>
        <v>0.3</v>
      </c>
      <c r="CX18" s="75">
        <f t="shared" si="27"/>
        <v>0.3</v>
      </c>
      <c r="CY18" s="75">
        <f t="shared" si="27"/>
        <v>0.3</v>
      </c>
      <c r="CZ18" s="75">
        <f t="shared" si="27"/>
        <v>0.3</v>
      </c>
      <c r="DA18" s="75">
        <f t="shared" si="27"/>
        <v>0.3</v>
      </c>
      <c r="DB18" s="75">
        <f t="shared" si="27"/>
        <v>0.3</v>
      </c>
      <c r="DC18" s="75">
        <f t="shared" si="27"/>
        <v>0.3</v>
      </c>
      <c r="DD18" s="75">
        <f t="shared" si="27"/>
        <v>0.3</v>
      </c>
      <c r="DE18" s="75">
        <f t="shared" si="27"/>
        <v>0.3</v>
      </c>
      <c r="DF18" s="75">
        <f t="shared" si="27"/>
        <v>0.3</v>
      </c>
      <c r="DG18" s="75">
        <f t="shared" si="27"/>
        <v>0.3</v>
      </c>
      <c r="DH18" s="75">
        <f t="shared" si="27"/>
        <v>0.3</v>
      </c>
      <c r="DI18" s="75">
        <f t="shared" si="27"/>
        <v>0.3</v>
      </c>
      <c r="DJ18" s="75">
        <f t="shared" si="27"/>
        <v>0.3</v>
      </c>
      <c r="DK18" s="75">
        <f t="shared" si="27"/>
        <v>0.3</v>
      </c>
      <c r="DL18" s="75">
        <f t="shared" si="27"/>
        <v>0</v>
      </c>
      <c r="DM18" s="75">
        <f t="shared" si="27"/>
        <v>0</v>
      </c>
      <c r="DN18" s="75">
        <f t="shared" si="27"/>
        <v>0</v>
      </c>
      <c r="DO18" s="75">
        <f t="shared" si="27"/>
        <v>0</v>
      </c>
      <c r="DP18" s="75">
        <f t="shared" si="27"/>
        <v>0</v>
      </c>
      <c r="DQ18" s="75">
        <f t="shared" si="27"/>
        <v>0</v>
      </c>
      <c r="DR18" s="75">
        <f t="shared" si="27"/>
        <v>0</v>
      </c>
      <c r="DS18" s="75">
        <f t="shared" si="27"/>
        <v>0</v>
      </c>
      <c r="DT18" s="75">
        <f t="shared" si="27"/>
        <v>0</v>
      </c>
      <c r="DU18" s="75">
        <f t="shared" si="27"/>
        <v>0</v>
      </c>
    </row>
    <row r="19" spans="3:125" s="3" customFormat="1" ht="22.95" customHeight="1">
      <c r="D19" s="25"/>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row>
    <row r="20" spans="3:125" s="3" customFormat="1" ht="22.95" customHeight="1">
      <c r="C20" s="60" t="s">
        <v>298</v>
      </c>
      <c r="D20" s="25"/>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row>
    <row r="21" spans="3:125" s="3" customFormat="1" ht="22.95" customHeight="1">
      <c r="C21" s="3" t="s">
        <v>291</v>
      </c>
      <c r="D21" s="77">
        <f t="shared" ref="D21:AI21" si="28">D10</f>
        <v>1690000</v>
      </c>
      <c r="E21" s="21">
        <f t="shared" si="28"/>
        <v>0</v>
      </c>
      <c r="F21" s="21">
        <f t="shared" si="28"/>
        <v>0</v>
      </c>
      <c r="G21" s="21">
        <f t="shared" si="28"/>
        <v>0</v>
      </c>
      <c r="H21" s="21">
        <f t="shared" si="28"/>
        <v>0</v>
      </c>
      <c r="I21" s="21">
        <f t="shared" si="28"/>
        <v>0</v>
      </c>
      <c r="J21" s="21">
        <f t="shared" si="28"/>
        <v>0</v>
      </c>
      <c r="K21" s="21">
        <f t="shared" si="28"/>
        <v>0</v>
      </c>
      <c r="L21" s="21">
        <f t="shared" si="28"/>
        <v>0</v>
      </c>
      <c r="M21" s="21">
        <f t="shared" si="28"/>
        <v>0</v>
      </c>
      <c r="N21" s="21">
        <f t="shared" si="28"/>
        <v>0</v>
      </c>
      <c r="O21" s="21">
        <f t="shared" si="28"/>
        <v>0</v>
      </c>
      <c r="P21" s="21">
        <f t="shared" si="28"/>
        <v>0</v>
      </c>
      <c r="Q21" s="21">
        <f t="shared" si="28"/>
        <v>0</v>
      </c>
      <c r="R21" s="21">
        <f t="shared" si="28"/>
        <v>0</v>
      </c>
      <c r="S21" s="21">
        <f t="shared" si="28"/>
        <v>0</v>
      </c>
      <c r="T21" s="21">
        <f t="shared" si="28"/>
        <v>0</v>
      </c>
      <c r="U21" s="21">
        <f t="shared" si="28"/>
        <v>0</v>
      </c>
      <c r="V21" s="21">
        <f t="shared" si="28"/>
        <v>0</v>
      </c>
      <c r="W21" s="21">
        <f t="shared" si="28"/>
        <v>0</v>
      </c>
      <c r="X21" s="21">
        <f t="shared" si="28"/>
        <v>0</v>
      </c>
      <c r="Y21" s="21">
        <f t="shared" si="28"/>
        <v>0</v>
      </c>
      <c r="Z21" s="21">
        <f t="shared" si="28"/>
        <v>0</v>
      </c>
      <c r="AA21" s="21">
        <f t="shared" si="28"/>
        <v>0</v>
      </c>
      <c r="AB21" s="21">
        <f t="shared" si="28"/>
        <v>0</v>
      </c>
      <c r="AC21" s="21">
        <f t="shared" si="28"/>
        <v>0</v>
      </c>
      <c r="AD21" s="21">
        <f t="shared" si="28"/>
        <v>0</v>
      </c>
      <c r="AE21" s="21">
        <f t="shared" si="28"/>
        <v>0</v>
      </c>
      <c r="AF21" s="21">
        <f t="shared" si="28"/>
        <v>0</v>
      </c>
      <c r="AG21" s="21">
        <f t="shared" si="28"/>
        <v>0</v>
      </c>
      <c r="AH21" s="21">
        <f t="shared" si="28"/>
        <v>0</v>
      </c>
      <c r="AI21" s="21">
        <f t="shared" si="28"/>
        <v>0</v>
      </c>
      <c r="AJ21" s="21">
        <f t="shared" ref="AJ21:BO21" si="29">AJ10</f>
        <v>0</v>
      </c>
      <c r="AK21" s="21">
        <f t="shared" si="29"/>
        <v>0</v>
      </c>
      <c r="AL21" s="21">
        <f t="shared" si="29"/>
        <v>0</v>
      </c>
      <c r="AM21" s="21">
        <f t="shared" si="29"/>
        <v>0</v>
      </c>
      <c r="AN21" s="21">
        <f t="shared" si="29"/>
        <v>0</v>
      </c>
      <c r="AO21" s="21">
        <f t="shared" si="29"/>
        <v>0</v>
      </c>
      <c r="AP21" s="21">
        <f t="shared" si="29"/>
        <v>0</v>
      </c>
      <c r="AQ21" s="21">
        <f t="shared" si="29"/>
        <v>0</v>
      </c>
      <c r="AR21" s="21">
        <f t="shared" si="29"/>
        <v>0</v>
      </c>
      <c r="AS21" s="21">
        <f t="shared" si="29"/>
        <v>0</v>
      </c>
      <c r="AT21" s="21">
        <f t="shared" si="29"/>
        <v>0</v>
      </c>
      <c r="AU21" s="21">
        <f t="shared" si="29"/>
        <v>0</v>
      </c>
      <c r="AV21" s="21">
        <f t="shared" si="29"/>
        <v>0</v>
      </c>
      <c r="AW21" s="21">
        <f t="shared" si="29"/>
        <v>0</v>
      </c>
      <c r="AX21" s="21">
        <f t="shared" si="29"/>
        <v>0</v>
      </c>
      <c r="AY21" s="21">
        <f t="shared" si="29"/>
        <v>0</v>
      </c>
      <c r="AZ21" s="21">
        <f t="shared" si="29"/>
        <v>0</v>
      </c>
      <c r="BA21" s="21">
        <f t="shared" si="29"/>
        <v>0</v>
      </c>
      <c r="BB21" s="21">
        <f t="shared" si="29"/>
        <v>0</v>
      </c>
      <c r="BC21" s="21">
        <f t="shared" si="29"/>
        <v>0</v>
      </c>
      <c r="BD21" s="21">
        <f t="shared" si="29"/>
        <v>11666.666666666668</v>
      </c>
      <c r="BE21" s="21">
        <f t="shared" si="29"/>
        <v>13333.333333333334</v>
      </c>
      <c r="BF21" s="21">
        <f t="shared" si="29"/>
        <v>15000</v>
      </c>
      <c r="BG21" s="21">
        <f t="shared" si="29"/>
        <v>16666.666666666664</v>
      </c>
      <c r="BH21" s="21">
        <f t="shared" si="29"/>
        <v>18333.333333333332</v>
      </c>
      <c r="BI21" s="21">
        <f t="shared" si="29"/>
        <v>19999.999999999996</v>
      </c>
      <c r="BJ21" s="21">
        <f t="shared" si="29"/>
        <v>21666.666666666664</v>
      </c>
      <c r="BK21" s="21">
        <f t="shared" si="29"/>
        <v>23333.333333333328</v>
      </c>
      <c r="BL21" s="21">
        <f t="shared" si="29"/>
        <v>24999.999999999993</v>
      </c>
      <c r="BM21" s="21">
        <f t="shared" si="29"/>
        <v>26666.666666666664</v>
      </c>
      <c r="BN21" s="21">
        <f t="shared" si="29"/>
        <v>28333.333333333332</v>
      </c>
      <c r="BO21" s="21">
        <f t="shared" si="29"/>
        <v>30000</v>
      </c>
      <c r="BP21" s="21">
        <f t="shared" ref="BP21:CU21" si="30">BP10</f>
        <v>30000</v>
      </c>
      <c r="BQ21" s="21">
        <f t="shared" si="30"/>
        <v>30000</v>
      </c>
      <c r="BR21" s="21">
        <f t="shared" si="30"/>
        <v>30000</v>
      </c>
      <c r="BS21" s="21">
        <f t="shared" si="30"/>
        <v>30000</v>
      </c>
      <c r="BT21" s="21">
        <f t="shared" si="30"/>
        <v>30000</v>
      </c>
      <c r="BU21" s="21">
        <f t="shared" si="30"/>
        <v>30000</v>
      </c>
      <c r="BV21" s="21">
        <f t="shared" si="30"/>
        <v>30000</v>
      </c>
      <c r="BW21" s="21">
        <f t="shared" si="30"/>
        <v>30000</v>
      </c>
      <c r="BX21" s="21">
        <f t="shared" si="30"/>
        <v>30000</v>
      </c>
      <c r="BY21" s="21">
        <f t="shared" si="30"/>
        <v>30000</v>
      </c>
      <c r="BZ21" s="21">
        <f t="shared" si="30"/>
        <v>30000</v>
      </c>
      <c r="CA21" s="21">
        <f t="shared" si="30"/>
        <v>30000</v>
      </c>
      <c r="CB21" s="21">
        <f t="shared" si="30"/>
        <v>30000</v>
      </c>
      <c r="CC21" s="21">
        <f t="shared" si="30"/>
        <v>30000</v>
      </c>
      <c r="CD21" s="21">
        <f t="shared" si="30"/>
        <v>30000</v>
      </c>
      <c r="CE21" s="21">
        <f t="shared" si="30"/>
        <v>30000</v>
      </c>
      <c r="CF21" s="21">
        <f t="shared" si="30"/>
        <v>30000</v>
      </c>
      <c r="CG21" s="21">
        <f t="shared" si="30"/>
        <v>30000</v>
      </c>
      <c r="CH21" s="21">
        <f t="shared" si="30"/>
        <v>30000</v>
      </c>
      <c r="CI21" s="21">
        <f t="shared" si="30"/>
        <v>30000</v>
      </c>
      <c r="CJ21" s="21">
        <f t="shared" si="30"/>
        <v>30000</v>
      </c>
      <c r="CK21" s="21">
        <f t="shared" si="30"/>
        <v>30000</v>
      </c>
      <c r="CL21" s="21">
        <f t="shared" si="30"/>
        <v>30000</v>
      </c>
      <c r="CM21" s="21">
        <f t="shared" si="30"/>
        <v>30000</v>
      </c>
      <c r="CN21" s="21">
        <f t="shared" si="30"/>
        <v>30000</v>
      </c>
      <c r="CO21" s="21">
        <f t="shared" si="30"/>
        <v>30000</v>
      </c>
      <c r="CP21" s="21">
        <f t="shared" si="30"/>
        <v>30000</v>
      </c>
      <c r="CQ21" s="21">
        <f t="shared" si="30"/>
        <v>30000</v>
      </c>
      <c r="CR21" s="21">
        <f t="shared" si="30"/>
        <v>30000</v>
      </c>
      <c r="CS21" s="21">
        <f t="shared" si="30"/>
        <v>30000</v>
      </c>
      <c r="CT21" s="21">
        <f t="shared" si="30"/>
        <v>30000</v>
      </c>
      <c r="CU21" s="21">
        <f t="shared" si="30"/>
        <v>30000</v>
      </c>
      <c r="CV21" s="21">
        <f t="shared" ref="CV21:DU21" si="31">CV10</f>
        <v>30000</v>
      </c>
      <c r="CW21" s="21">
        <f t="shared" si="31"/>
        <v>30000</v>
      </c>
      <c r="CX21" s="21">
        <f t="shared" si="31"/>
        <v>30000</v>
      </c>
      <c r="CY21" s="21">
        <f t="shared" si="31"/>
        <v>30000</v>
      </c>
      <c r="CZ21" s="21">
        <f t="shared" si="31"/>
        <v>30000</v>
      </c>
      <c r="DA21" s="21">
        <f t="shared" si="31"/>
        <v>30000</v>
      </c>
      <c r="DB21" s="21">
        <f t="shared" si="31"/>
        <v>30000</v>
      </c>
      <c r="DC21" s="21">
        <f t="shared" si="31"/>
        <v>30000</v>
      </c>
      <c r="DD21" s="21">
        <f t="shared" si="31"/>
        <v>30000</v>
      </c>
      <c r="DE21" s="21">
        <f t="shared" si="31"/>
        <v>30000</v>
      </c>
      <c r="DF21" s="21">
        <f t="shared" si="31"/>
        <v>30000</v>
      </c>
      <c r="DG21" s="21">
        <f t="shared" si="31"/>
        <v>30000</v>
      </c>
      <c r="DH21" s="21">
        <f t="shared" si="31"/>
        <v>30000</v>
      </c>
      <c r="DI21" s="21">
        <f t="shared" si="31"/>
        <v>30000</v>
      </c>
      <c r="DJ21" s="21">
        <f t="shared" si="31"/>
        <v>30000</v>
      </c>
      <c r="DK21" s="21">
        <f t="shared" si="31"/>
        <v>30000</v>
      </c>
      <c r="DL21" s="21">
        <f t="shared" si="31"/>
        <v>0</v>
      </c>
      <c r="DM21" s="21">
        <f t="shared" si="31"/>
        <v>0</v>
      </c>
      <c r="DN21" s="21">
        <f t="shared" si="31"/>
        <v>0</v>
      </c>
      <c r="DO21" s="21">
        <f t="shared" si="31"/>
        <v>0</v>
      </c>
      <c r="DP21" s="21">
        <f t="shared" si="31"/>
        <v>0</v>
      </c>
      <c r="DQ21" s="21">
        <f t="shared" si="31"/>
        <v>0</v>
      </c>
      <c r="DR21" s="21">
        <f t="shared" si="31"/>
        <v>0</v>
      </c>
      <c r="DS21" s="21">
        <f t="shared" si="31"/>
        <v>0</v>
      </c>
      <c r="DT21" s="21">
        <f t="shared" si="31"/>
        <v>0</v>
      </c>
      <c r="DU21" s="21">
        <f t="shared" si="31"/>
        <v>0</v>
      </c>
    </row>
    <row r="22" spans="3:125" s="3" customFormat="1" ht="22.95" customHeight="1">
      <c r="C22" s="3" t="s">
        <v>299</v>
      </c>
      <c r="D22" s="25">
        <f>SUM(E22:DU22)</f>
        <v>-1800000</v>
      </c>
      <c r="E22" s="21">
        <f>IF(AND(E$4&gt;='Single Project Assumptions'!$T$53,'Operational Phase'!E$4&lt;'Single Project Assumptions'!$T$54),-'Single Project Assumptions'!$T$58/12,0)</f>
        <v>0</v>
      </c>
      <c r="F22" s="21">
        <f>IF(AND(F$4&gt;='Single Project Assumptions'!$T$53,'Operational Phase'!F$4&lt;'Single Project Assumptions'!$T$54),-'Single Project Assumptions'!$T$58/12,0)</f>
        <v>0</v>
      </c>
      <c r="G22" s="21">
        <f>IF(AND(G$4&gt;='Single Project Assumptions'!$T$53,'Operational Phase'!G$4&lt;'Single Project Assumptions'!$T$54),-'Single Project Assumptions'!$T$58/12,0)</f>
        <v>0</v>
      </c>
      <c r="H22" s="21">
        <f>IF(AND(H$4&gt;='Single Project Assumptions'!$T$53,'Operational Phase'!H$4&lt;'Single Project Assumptions'!$T$54),-'Single Project Assumptions'!$T$58/12,0)</f>
        <v>0</v>
      </c>
      <c r="I22" s="21">
        <f>IF(AND(I$4&gt;='Single Project Assumptions'!$T$53,'Operational Phase'!I$4&lt;'Single Project Assumptions'!$T$54),-'Single Project Assumptions'!$T$58/12,0)</f>
        <v>0</v>
      </c>
      <c r="J22" s="21">
        <f>IF(AND(J$4&gt;='Single Project Assumptions'!$T$53,'Operational Phase'!J$4&lt;'Single Project Assumptions'!$T$54),-'Single Project Assumptions'!$T$58/12,0)</f>
        <v>0</v>
      </c>
      <c r="K22" s="21">
        <f>IF(AND(K$4&gt;='Single Project Assumptions'!$T$53,'Operational Phase'!K$4&lt;'Single Project Assumptions'!$T$54),-'Single Project Assumptions'!$T$58/12,0)</f>
        <v>0</v>
      </c>
      <c r="L22" s="21">
        <f>IF(AND(L$4&gt;='Single Project Assumptions'!$T$53,'Operational Phase'!L$4&lt;'Single Project Assumptions'!$T$54),-'Single Project Assumptions'!$T$58/12,0)</f>
        <v>0</v>
      </c>
      <c r="M22" s="21">
        <f>IF(AND(M$4&gt;='Single Project Assumptions'!$T$53,'Operational Phase'!M$4&lt;'Single Project Assumptions'!$T$54),-'Single Project Assumptions'!$T$58/12,0)</f>
        <v>0</v>
      </c>
      <c r="N22" s="21">
        <f>IF(AND(N$4&gt;='Single Project Assumptions'!$T$53,'Operational Phase'!N$4&lt;'Single Project Assumptions'!$T$54),-'Single Project Assumptions'!$T$58/12,0)</f>
        <v>0</v>
      </c>
      <c r="O22" s="21">
        <f>IF(AND(O$4&gt;='Single Project Assumptions'!$T$53,'Operational Phase'!O$4&lt;'Single Project Assumptions'!$T$54),-'Single Project Assumptions'!$T$58/12,0)</f>
        <v>0</v>
      </c>
      <c r="P22" s="21">
        <f>IF(AND(P$4&gt;='Single Project Assumptions'!$T$53,'Operational Phase'!P$4&lt;'Single Project Assumptions'!$T$54),-'Single Project Assumptions'!$T$58/12,0)</f>
        <v>0</v>
      </c>
      <c r="Q22" s="21">
        <f>IF(AND(Q$4&gt;='Single Project Assumptions'!$T$53,'Operational Phase'!Q$4&lt;'Single Project Assumptions'!$T$54),-'Single Project Assumptions'!$T$58/12,0)</f>
        <v>0</v>
      </c>
      <c r="R22" s="21">
        <f>IF(AND(R$4&gt;='Single Project Assumptions'!$T$53,'Operational Phase'!R$4&lt;'Single Project Assumptions'!$T$54),-'Single Project Assumptions'!$T$58/12,0)</f>
        <v>0</v>
      </c>
      <c r="S22" s="21">
        <f>IF(AND(S$4&gt;='Single Project Assumptions'!$T$53,'Operational Phase'!S$4&lt;'Single Project Assumptions'!$T$54),-'Single Project Assumptions'!$T$58/12,0)</f>
        <v>0</v>
      </c>
      <c r="T22" s="21">
        <f>IF(AND(T$4&gt;='Single Project Assumptions'!$T$53,'Operational Phase'!T$4&lt;'Single Project Assumptions'!$T$54),-'Single Project Assumptions'!$T$58/12,0)</f>
        <v>0</v>
      </c>
      <c r="U22" s="21">
        <f>IF(AND(U$4&gt;='Single Project Assumptions'!$T$53,'Operational Phase'!U$4&lt;'Single Project Assumptions'!$T$54),-'Single Project Assumptions'!$T$58/12,0)</f>
        <v>0</v>
      </c>
      <c r="V22" s="21">
        <f>IF(AND(V$4&gt;='Single Project Assumptions'!$T$53,'Operational Phase'!V$4&lt;'Single Project Assumptions'!$T$54),-'Single Project Assumptions'!$T$58/12,0)</f>
        <v>0</v>
      </c>
      <c r="W22" s="21">
        <f>IF(AND(W$4&gt;='Single Project Assumptions'!$T$53,'Operational Phase'!W$4&lt;'Single Project Assumptions'!$T$54),-'Single Project Assumptions'!$T$58/12,0)</f>
        <v>0</v>
      </c>
      <c r="X22" s="21">
        <f>IF(AND(X$4&gt;='Single Project Assumptions'!$T$53,'Operational Phase'!X$4&lt;'Single Project Assumptions'!$T$54),-'Single Project Assumptions'!$T$58/12,0)</f>
        <v>0</v>
      </c>
      <c r="Y22" s="21">
        <f>IF(AND(Y$4&gt;='Single Project Assumptions'!$T$53,'Operational Phase'!Y$4&lt;'Single Project Assumptions'!$T$54),-'Single Project Assumptions'!$T$58/12,0)</f>
        <v>0</v>
      </c>
      <c r="Z22" s="21">
        <f>IF(AND(Z$4&gt;='Single Project Assumptions'!$T$53,'Operational Phase'!Z$4&lt;'Single Project Assumptions'!$T$54),-'Single Project Assumptions'!$T$58/12,0)</f>
        <v>0</v>
      </c>
      <c r="AA22" s="21">
        <f>IF(AND(AA$4&gt;='Single Project Assumptions'!$T$53,'Operational Phase'!AA$4&lt;'Single Project Assumptions'!$T$54),-'Single Project Assumptions'!$T$58/12,0)</f>
        <v>0</v>
      </c>
      <c r="AB22" s="21">
        <f>IF(AND(AB$4&gt;='Single Project Assumptions'!$T$53,'Operational Phase'!AB$4&lt;'Single Project Assumptions'!$T$54),-'Single Project Assumptions'!$T$58/12,0)</f>
        <v>0</v>
      </c>
      <c r="AC22" s="21">
        <f>IF(AND(AC$4&gt;='Single Project Assumptions'!$T$53,'Operational Phase'!AC$4&lt;'Single Project Assumptions'!$T$54),-'Single Project Assumptions'!$T$58/12,0)</f>
        <v>0</v>
      </c>
      <c r="AD22" s="21">
        <f>IF(AND(AD$4&gt;='Single Project Assumptions'!$T$53,'Operational Phase'!AD$4&lt;'Single Project Assumptions'!$T$54),-'Single Project Assumptions'!$T$58/12,0)</f>
        <v>0</v>
      </c>
      <c r="AE22" s="21">
        <f>IF(AND(AE$4&gt;='Single Project Assumptions'!$T$53,'Operational Phase'!AE$4&lt;'Single Project Assumptions'!$T$54),-'Single Project Assumptions'!$T$58/12,0)</f>
        <v>0</v>
      </c>
      <c r="AF22" s="21">
        <f>IF(AND(AF$4&gt;='Single Project Assumptions'!$T$53,'Operational Phase'!AF$4&lt;'Single Project Assumptions'!$T$54),-'Single Project Assumptions'!$T$58/12,0)</f>
        <v>0</v>
      </c>
      <c r="AG22" s="21">
        <f>IF(AND(AG$4&gt;='Single Project Assumptions'!$T$53,'Operational Phase'!AG$4&lt;'Single Project Assumptions'!$T$54),-'Single Project Assumptions'!$T$58/12,0)</f>
        <v>0</v>
      </c>
      <c r="AH22" s="21">
        <f>IF(AND(AH$4&gt;='Single Project Assumptions'!$T$53,'Operational Phase'!AH$4&lt;'Single Project Assumptions'!$T$54),-'Single Project Assumptions'!$T$58/12,0)</f>
        <v>0</v>
      </c>
      <c r="AI22" s="21">
        <f>IF(AND(AI$4&gt;='Single Project Assumptions'!$T$53,'Operational Phase'!AI$4&lt;'Single Project Assumptions'!$T$54),-'Single Project Assumptions'!$T$58/12,0)</f>
        <v>0</v>
      </c>
      <c r="AJ22" s="21">
        <f>IF(AND(AJ$4&gt;='Single Project Assumptions'!$T$53,'Operational Phase'!AJ$4&lt;'Single Project Assumptions'!$T$54),-'Single Project Assumptions'!$T$58/12,0)</f>
        <v>0</v>
      </c>
      <c r="AK22" s="21">
        <f>IF(AND(AK$4&gt;='Single Project Assumptions'!$T$53,'Operational Phase'!AK$4&lt;'Single Project Assumptions'!$T$54),-'Single Project Assumptions'!$T$58/12,0)</f>
        <v>0</v>
      </c>
      <c r="AL22" s="21">
        <f>IF(AND(AL$4&gt;='Single Project Assumptions'!$T$53,'Operational Phase'!AL$4&lt;'Single Project Assumptions'!$T$54),-'Single Project Assumptions'!$T$58/12,0)</f>
        <v>0</v>
      </c>
      <c r="AM22" s="21">
        <f>IF(AND(AM$4&gt;='Single Project Assumptions'!$T$53,'Operational Phase'!AM$4&lt;'Single Project Assumptions'!$T$54),-'Single Project Assumptions'!$T$58/12,0)</f>
        <v>0</v>
      </c>
      <c r="AN22" s="21">
        <f>IF(AND(AN$4&gt;='Single Project Assumptions'!$T$53,'Operational Phase'!AN$4&lt;'Single Project Assumptions'!$T$54),-'Single Project Assumptions'!$T$58/12,0)</f>
        <v>0</v>
      </c>
      <c r="AO22" s="21">
        <f>IF(AND(AO$4&gt;='Single Project Assumptions'!$T$53,'Operational Phase'!AO$4&lt;'Single Project Assumptions'!$T$54),-'Single Project Assumptions'!$T$58/12,0)</f>
        <v>0</v>
      </c>
      <c r="AP22" s="21">
        <f>IF(AND(AP$4&gt;='Single Project Assumptions'!$T$53,'Operational Phase'!AP$4&lt;'Single Project Assumptions'!$T$54),-'Single Project Assumptions'!$T$58/12,0)</f>
        <v>0</v>
      </c>
      <c r="AQ22" s="21">
        <f>IF(AND(AQ$4&gt;='Single Project Assumptions'!$T$53,'Operational Phase'!AQ$4&lt;'Single Project Assumptions'!$T$54),-'Single Project Assumptions'!$T$58/12,0)</f>
        <v>0</v>
      </c>
      <c r="AR22" s="21">
        <f>IF(AND(AR$4&gt;='Single Project Assumptions'!$T$53,'Operational Phase'!AR$4&lt;'Single Project Assumptions'!$T$54),-'Single Project Assumptions'!$T$58/12,0)</f>
        <v>0</v>
      </c>
      <c r="AS22" s="21">
        <f>IF(AND(AS$4&gt;='Single Project Assumptions'!$T$53,'Operational Phase'!AS$4&lt;'Single Project Assumptions'!$T$54),-'Single Project Assumptions'!$T$58/12,0)</f>
        <v>0</v>
      </c>
      <c r="AT22" s="21">
        <f>IF(AND(AT$4&gt;='Single Project Assumptions'!$T$53,'Operational Phase'!AT$4&lt;'Single Project Assumptions'!$T$54),-'Single Project Assumptions'!$T$58/12,0)</f>
        <v>0</v>
      </c>
      <c r="AU22" s="21">
        <f>IF(AND(AU$4&gt;='Single Project Assumptions'!$T$53,'Operational Phase'!AU$4&lt;'Single Project Assumptions'!$T$54),-'Single Project Assumptions'!$T$58/12,0)</f>
        <v>0</v>
      </c>
      <c r="AV22" s="21">
        <f>IF(AND(AV$4&gt;='Single Project Assumptions'!$T$53,'Operational Phase'!AV$4&lt;'Single Project Assumptions'!$T$54),-'Single Project Assumptions'!$T$58/12,0)</f>
        <v>0</v>
      </c>
      <c r="AW22" s="21">
        <f>IF(AND(AW$4&gt;='Single Project Assumptions'!$T$53,'Operational Phase'!AW$4&lt;'Single Project Assumptions'!$T$54),-'Single Project Assumptions'!$T$58/12,0)</f>
        <v>0</v>
      </c>
      <c r="AX22" s="21">
        <f>IF(AND(AX$4&gt;='Single Project Assumptions'!$T$53,'Operational Phase'!AX$4&lt;'Single Project Assumptions'!$T$54),-'Single Project Assumptions'!$T$58/12,0)</f>
        <v>0</v>
      </c>
      <c r="AY22" s="21">
        <f>IF(AND(AY$4&gt;='Single Project Assumptions'!$T$53,'Operational Phase'!AY$4&lt;'Single Project Assumptions'!$T$54),-'Single Project Assumptions'!$T$58/12,0)</f>
        <v>0</v>
      </c>
      <c r="AZ22" s="21">
        <f>IF(AND(AZ$4&gt;='Single Project Assumptions'!$T$53,'Operational Phase'!AZ$4&lt;'Single Project Assumptions'!$T$54),-'Single Project Assumptions'!$T$58/12,0)</f>
        <v>0</v>
      </c>
      <c r="BA22" s="21">
        <f>IF(AND(BA$4&gt;='Single Project Assumptions'!$T$53,'Operational Phase'!BA$4&lt;'Single Project Assumptions'!$T$54),-'Single Project Assumptions'!$T$58/12,0)</f>
        <v>0</v>
      </c>
      <c r="BB22" s="21">
        <f>IF(AND(BB$4&gt;='Single Project Assumptions'!$T$53,'Operational Phase'!BB$4&lt;'Single Project Assumptions'!$T$54),-'Single Project Assumptions'!$T$58/12,0)</f>
        <v>0</v>
      </c>
      <c r="BC22" s="21">
        <f>IF(AND(BC$4&gt;='Single Project Assumptions'!$T$53,'Operational Phase'!BC$4&lt;'Single Project Assumptions'!$T$54),-'Single Project Assumptions'!$T$58/12,0)</f>
        <v>0</v>
      </c>
      <c r="BD22" s="21">
        <f>IF(AND(BD$4&gt;='Single Project Assumptions'!$T$53,'Operational Phase'!BD$4&lt;'Single Project Assumptions'!$T$54),-'Single Project Assumptions'!$T$58/12,0)</f>
        <v>-30000</v>
      </c>
      <c r="BE22" s="21">
        <f>IF(AND(BE$4&gt;='Single Project Assumptions'!$T$53,'Operational Phase'!BE$4&lt;'Single Project Assumptions'!$T$54),-'Single Project Assumptions'!$T$58/12,0)</f>
        <v>-30000</v>
      </c>
      <c r="BF22" s="21">
        <f>IF(AND(BF$4&gt;='Single Project Assumptions'!$T$53,'Operational Phase'!BF$4&lt;'Single Project Assumptions'!$T$54),-'Single Project Assumptions'!$T$58/12,0)</f>
        <v>-30000</v>
      </c>
      <c r="BG22" s="21">
        <f>IF(AND(BG$4&gt;='Single Project Assumptions'!$T$53,'Operational Phase'!BG$4&lt;'Single Project Assumptions'!$T$54),-'Single Project Assumptions'!$T$58/12,0)</f>
        <v>-30000</v>
      </c>
      <c r="BH22" s="21">
        <f>IF(AND(BH$4&gt;='Single Project Assumptions'!$T$53,'Operational Phase'!BH$4&lt;'Single Project Assumptions'!$T$54),-'Single Project Assumptions'!$T$58/12,0)</f>
        <v>-30000</v>
      </c>
      <c r="BI22" s="21">
        <f>IF(AND(BI$4&gt;='Single Project Assumptions'!$T$53,'Operational Phase'!BI$4&lt;'Single Project Assumptions'!$T$54),-'Single Project Assumptions'!$T$58/12,0)</f>
        <v>-30000</v>
      </c>
      <c r="BJ22" s="21">
        <f>IF(AND(BJ$4&gt;='Single Project Assumptions'!$T$53,'Operational Phase'!BJ$4&lt;'Single Project Assumptions'!$T$54),-'Single Project Assumptions'!$T$58/12,0)</f>
        <v>-30000</v>
      </c>
      <c r="BK22" s="21">
        <f>IF(AND(BK$4&gt;='Single Project Assumptions'!$T$53,'Operational Phase'!BK$4&lt;'Single Project Assumptions'!$T$54),-'Single Project Assumptions'!$T$58/12,0)</f>
        <v>-30000</v>
      </c>
      <c r="BL22" s="21">
        <f>IF(AND(BL$4&gt;='Single Project Assumptions'!$T$53,'Operational Phase'!BL$4&lt;'Single Project Assumptions'!$T$54),-'Single Project Assumptions'!$T$58/12,0)</f>
        <v>-30000</v>
      </c>
      <c r="BM22" s="21">
        <f>IF(AND(BM$4&gt;='Single Project Assumptions'!$T$53,'Operational Phase'!BM$4&lt;'Single Project Assumptions'!$T$54),-'Single Project Assumptions'!$T$58/12,0)</f>
        <v>-30000</v>
      </c>
      <c r="BN22" s="21">
        <f>IF(AND(BN$4&gt;='Single Project Assumptions'!$T$53,'Operational Phase'!BN$4&lt;'Single Project Assumptions'!$T$54),-'Single Project Assumptions'!$T$58/12,0)</f>
        <v>-30000</v>
      </c>
      <c r="BO22" s="21">
        <f>IF(AND(BO$4&gt;='Single Project Assumptions'!$T$53,'Operational Phase'!BO$4&lt;'Single Project Assumptions'!$T$54),-'Single Project Assumptions'!$T$58/12,0)</f>
        <v>-30000</v>
      </c>
      <c r="BP22" s="21">
        <f>IF(AND(BP$4&gt;='Single Project Assumptions'!$T$53,'Operational Phase'!BP$4&lt;'Single Project Assumptions'!$T$54),-'Single Project Assumptions'!$T$58/12,0)</f>
        <v>-30000</v>
      </c>
      <c r="BQ22" s="21">
        <f>IF(AND(BQ$4&gt;='Single Project Assumptions'!$T$53,'Operational Phase'!BQ$4&lt;'Single Project Assumptions'!$T$54),-'Single Project Assumptions'!$T$58/12,0)</f>
        <v>-30000</v>
      </c>
      <c r="BR22" s="21">
        <f>IF(AND(BR$4&gt;='Single Project Assumptions'!$T$53,'Operational Phase'!BR$4&lt;'Single Project Assumptions'!$T$54),-'Single Project Assumptions'!$T$58/12,0)</f>
        <v>-30000</v>
      </c>
      <c r="BS22" s="21">
        <f>IF(AND(BS$4&gt;='Single Project Assumptions'!$T$53,'Operational Phase'!BS$4&lt;'Single Project Assumptions'!$T$54),-'Single Project Assumptions'!$T$58/12,0)</f>
        <v>-30000</v>
      </c>
      <c r="BT22" s="21">
        <f>IF(AND(BT$4&gt;='Single Project Assumptions'!$T$53,'Operational Phase'!BT$4&lt;'Single Project Assumptions'!$T$54),-'Single Project Assumptions'!$T$58/12,0)</f>
        <v>-30000</v>
      </c>
      <c r="BU22" s="21">
        <f>IF(AND(BU$4&gt;='Single Project Assumptions'!$T$53,'Operational Phase'!BU$4&lt;'Single Project Assumptions'!$T$54),-'Single Project Assumptions'!$T$58/12,0)</f>
        <v>-30000</v>
      </c>
      <c r="BV22" s="21">
        <f>IF(AND(BV$4&gt;='Single Project Assumptions'!$T$53,'Operational Phase'!BV$4&lt;'Single Project Assumptions'!$T$54),-'Single Project Assumptions'!$T$58/12,0)</f>
        <v>-30000</v>
      </c>
      <c r="BW22" s="21">
        <f>IF(AND(BW$4&gt;='Single Project Assumptions'!$T$53,'Operational Phase'!BW$4&lt;'Single Project Assumptions'!$T$54),-'Single Project Assumptions'!$T$58/12,0)</f>
        <v>-30000</v>
      </c>
      <c r="BX22" s="21">
        <f>IF(AND(BX$4&gt;='Single Project Assumptions'!$T$53,'Operational Phase'!BX$4&lt;'Single Project Assumptions'!$T$54),-'Single Project Assumptions'!$T$58/12,0)</f>
        <v>-30000</v>
      </c>
      <c r="BY22" s="21">
        <f>IF(AND(BY$4&gt;='Single Project Assumptions'!$T$53,'Operational Phase'!BY$4&lt;'Single Project Assumptions'!$T$54),-'Single Project Assumptions'!$T$58/12,0)</f>
        <v>-30000</v>
      </c>
      <c r="BZ22" s="21">
        <f>IF(AND(BZ$4&gt;='Single Project Assumptions'!$T$53,'Operational Phase'!BZ$4&lt;'Single Project Assumptions'!$T$54),-'Single Project Assumptions'!$T$58/12,0)</f>
        <v>-30000</v>
      </c>
      <c r="CA22" s="21">
        <f>IF(AND(CA$4&gt;='Single Project Assumptions'!$T$53,'Operational Phase'!CA$4&lt;'Single Project Assumptions'!$T$54),-'Single Project Assumptions'!$T$58/12,0)</f>
        <v>-30000</v>
      </c>
      <c r="CB22" s="21">
        <f>IF(AND(CB$4&gt;='Single Project Assumptions'!$T$53,'Operational Phase'!CB$4&lt;'Single Project Assumptions'!$T$54),-'Single Project Assumptions'!$T$58/12,0)</f>
        <v>-30000</v>
      </c>
      <c r="CC22" s="21">
        <f>IF(AND(CC$4&gt;='Single Project Assumptions'!$T$53,'Operational Phase'!CC$4&lt;'Single Project Assumptions'!$T$54),-'Single Project Assumptions'!$T$58/12,0)</f>
        <v>-30000</v>
      </c>
      <c r="CD22" s="21">
        <f>IF(AND(CD$4&gt;='Single Project Assumptions'!$T$53,'Operational Phase'!CD$4&lt;'Single Project Assumptions'!$T$54),-'Single Project Assumptions'!$T$58/12,0)</f>
        <v>-30000</v>
      </c>
      <c r="CE22" s="21">
        <f>IF(AND(CE$4&gt;='Single Project Assumptions'!$T$53,'Operational Phase'!CE$4&lt;'Single Project Assumptions'!$T$54),-'Single Project Assumptions'!$T$58/12,0)</f>
        <v>-30000</v>
      </c>
      <c r="CF22" s="21">
        <f>IF(AND(CF$4&gt;='Single Project Assumptions'!$T$53,'Operational Phase'!CF$4&lt;'Single Project Assumptions'!$T$54),-'Single Project Assumptions'!$T$58/12,0)</f>
        <v>-30000</v>
      </c>
      <c r="CG22" s="21">
        <f>IF(AND(CG$4&gt;='Single Project Assumptions'!$T$53,'Operational Phase'!CG$4&lt;'Single Project Assumptions'!$T$54),-'Single Project Assumptions'!$T$58/12,0)</f>
        <v>-30000</v>
      </c>
      <c r="CH22" s="21">
        <f>IF(AND(CH$4&gt;='Single Project Assumptions'!$T$53,'Operational Phase'!CH$4&lt;'Single Project Assumptions'!$T$54),-'Single Project Assumptions'!$T$58/12,0)</f>
        <v>-30000</v>
      </c>
      <c r="CI22" s="21">
        <f>IF(AND(CI$4&gt;='Single Project Assumptions'!$T$53,'Operational Phase'!CI$4&lt;'Single Project Assumptions'!$T$54),-'Single Project Assumptions'!$T$58/12,0)</f>
        <v>-30000</v>
      </c>
      <c r="CJ22" s="21">
        <f>IF(AND(CJ$4&gt;='Single Project Assumptions'!$T$53,'Operational Phase'!CJ$4&lt;'Single Project Assumptions'!$T$54),-'Single Project Assumptions'!$T$58/12,0)</f>
        <v>-30000</v>
      </c>
      <c r="CK22" s="21">
        <f>IF(AND(CK$4&gt;='Single Project Assumptions'!$T$53,'Operational Phase'!CK$4&lt;'Single Project Assumptions'!$T$54),-'Single Project Assumptions'!$T$58/12,0)</f>
        <v>-30000</v>
      </c>
      <c r="CL22" s="21">
        <f>IF(AND(CL$4&gt;='Single Project Assumptions'!$T$53,'Operational Phase'!CL$4&lt;'Single Project Assumptions'!$T$54),-'Single Project Assumptions'!$T$58/12,0)</f>
        <v>-30000</v>
      </c>
      <c r="CM22" s="21">
        <f>IF(AND(CM$4&gt;='Single Project Assumptions'!$T$53,'Operational Phase'!CM$4&lt;'Single Project Assumptions'!$T$54),-'Single Project Assumptions'!$T$58/12,0)</f>
        <v>-30000</v>
      </c>
      <c r="CN22" s="21">
        <f>IF(AND(CN$4&gt;='Single Project Assumptions'!$T$53,'Operational Phase'!CN$4&lt;'Single Project Assumptions'!$T$54),-'Single Project Assumptions'!$T$58/12,0)</f>
        <v>-30000</v>
      </c>
      <c r="CO22" s="21">
        <f>IF(AND(CO$4&gt;='Single Project Assumptions'!$T$53,'Operational Phase'!CO$4&lt;'Single Project Assumptions'!$T$54),-'Single Project Assumptions'!$T$58/12,0)</f>
        <v>-30000</v>
      </c>
      <c r="CP22" s="21">
        <f>IF(AND(CP$4&gt;='Single Project Assumptions'!$T$53,'Operational Phase'!CP$4&lt;'Single Project Assumptions'!$T$54),-'Single Project Assumptions'!$T$58/12,0)</f>
        <v>-30000</v>
      </c>
      <c r="CQ22" s="21">
        <f>IF(AND(CQ$4&gt;='Single Project Assumptions'!$T$53,'Operational Phase'!CQ$4&lt;'Single Project Assumptions'!$T$54),-'Single Project Assumptions'!$T$58/12,0)</f>
        <v>-30000</v>
      </c>
      <c r="CR22" s="21">
        <f>IF(AND(CR$4&gt;='Single Project Assumptions'!$T$53,'Operational Phase'!CR$4&lt;'Single Project Assumptions'!$T$54),-'Single Project Assumptions'!$T$58/12,0)</f>
        <v>-30000</v>
      </c>
      <c r="CS22" s="21">
        <f>IF(AND(CS$4&gt;='Single Project Assumptions'!$T$53,'Operational Phase'!CS$4&lt;'Single Project Assumptions'!$T$54),-'Single Project Assumptions'!$T$58/12,0)</f>
        <v>-30000</v>
      </c>
      <c r="CT22" s="21">
        <f>IF(AND(CT$4&gt;='Single Project Assumptions'!$T$53,'Operational Phase'!CT$4&lt;'Single Project Assumptions'!$T$54),-'Single Project Assumptions'!$T$58/12,0)</f>
        <v>-30000</v>
      </c>
      <c r="CU22" s="21">
        <f>IF(AND(CU$4&gt;='Single Project Assumptions'!$T$53,'Operational Phase'!CU$4&lt;'Single Project Assumptions'!$T$54),-'Single Project Assumptions'!$T$58/12,0)</f>
        <v>-30000</v>
      </c>
      <c r="CV22" s="21">
        <f>IF(AND(CV$4&gt;='Single Project Assumptions'!$T$53,'Operational Phase'!CV$4&lt;'Single Project Assumptions'!$T$54),-'Single Project Assumptions'!$T$58/12,0)</f>
        <v>-30000</v>
      </c>
      <c r="CW22" s="21">
        <f>IF(AND(CW$4&gt;='Single Project Assumptions'!$T$53,'Operational Phase'!CW$4&lt;'Single Project Assumptions'!$T$54),-'Single Project Assumptions'!$T$58/12,0)</f>
        <v>-30000</v>
      </c>
      <c r="CX22" s="21">
        <f>IF(AND(CX$4&gt;='Single Project Assumptions'!$T$53,'Operational Phase'!CX$4&lt;'Single Project Assumptions'!$T$54),-'Single Project Assumptions'!$T$58/12,0)</f>
        <v>-30000</v>
      </c>
      <c r="CY22" s="21">
        <f>IF(AND(CY$4&gt;='Single Project Assumptions'!$T$53,'Operational Phase'!CY$4&lt;'Single Project Assumptions'!$T$54),-'Single Project Assumptions'!$T$58/12,0)</f>
        <v>-30000</v>
      </c>
      <c r="CZ22" s="21">
        <f>IF(AND(CZ$4&gt;='Single Project Assumptions'!$T$53,'Operational Phase'!CZ$4&lt;'Single Project Assumptions'!$T$54),-'Single Project Assumptions'!$T$58/12,0)</f>
        <v>-30000</v>
      </c>
      <c r="DA22" s="21">
        <f>IF(AND(DA$4&gt;='Single Project Assumptions'!$T$53,'Operational Phase'!DA$4&lt;'Single Project Assumptions'!$T$54),-'Single Project Assumptions'!$T$58/12,0)</f>
        <v>-30000</v>
      </c>
      <c r="DB22" s="21">
        <f>IF(AND(DB$4&gt;='Single Project Assumptions'!$T$53,'Operational Phase'!DB$4&lt;'Single Project Assumptions'!$T$54),-'Single Project Assumptions'!$T$58/12,0)</f>
        <v>-30000</v>
      </c>
      <c r="DC22" s="21">
        <f>IF(AND(DC$4&gt;='Single Project Assumptions'!$T$53,'Operational Phase'!DC$4&lt;'Single Project Assumptions'!$T$54),-'Single Project Assumptions'!$T$58/12,0)</f>
        <v>-30000</v>
      </c>
      <c r="DD22" s="21">
        <f>IF(AND(DD$4&gt;='Single Project Assumptions'!$T$53,'Operational Phase'!DD$4&lt;'Single Project Assumptions'!$T$54),-'Single Project Assumptions'!$T$58/12,0)</f>
        <v>-30000</v>
      </c>
      <c r="DE22" s="21">
        <f>IF(AND(DE$4&gt;='Single Project Assumptions'!$T$53,'Operational Phase'!DE$4&lt;'Single Project Assumptions'!$T$54),-'Single Project Assumptions'!$T$58/12,0)</f>
        <v>-30000</v>
      </c>
      <c r="DF22" s="21">
        <f>IF(AND(DF$4&gt;='Single Project Assumptions'!$T$53,'Operational Phase'!DF$4&lt;'Single Project Assumptions'!$T$54),-'Single Project Assumptions'!$T$58/12,0)</f>
        <v>-30000</v>
      </c>
      <c r="DG22" s="21">
        <f>IF(AND(DG$4&gt;='Single Project Assumptions'!$T$53,'Operational Phase'!DG$4&lt;'Single Project Assumptions'!$T$54),-'Single Project Assumptions'!$T$58/12,0)</f>
        <v>-30000</v>
      </c>
      <c r="DH22" s="21">
        <f>IF(AND(DH$4&gt;='Single Project Assumptions'!$T$53,'Operational Phase'!DH$4&lt;'Single Project Assumptions'!$T$54),-'Single Project Assumptions'!$T$58/12,0)</f>
        <v>-30000</v>
      </c>
      <c r="DI22" s="21">
        <f>IF(AND(DI$4&gt;='Single Project Assumptions'!$T$53,'Operational Phase'!DI$4&lt;'Single Project Assumptions'!$T$54),-'Single Project Assumptions'!$T$58/12,0)</f>
        <v>-30000</v>
      </c>
      <c r="DJ22" s="21">
        <f>IF(AND(DJ$4&gt;='Single Project Assumptions'!$T$53,'Operational Phase'!DJ$4&lt;'Single Project Assumptions'!$T$54),-'Single Project Assumptions'!$T$58/12,0)</f>
        <v>-30000</v>
      </c>
      <c r="DK22" s="21">
        <f>IF(AND(DK$4&gt;='Single Project Assumptions'!$T$53,'Operational Phase'!DK$4&lt;'Single Project Assumptions'!$T$54),-'Single Project Assumptions'!$T$58/12,0)</f>
        <v>-30000</v>
      </c>
      <c r="DL22" s="21">
        <f>IF(AND(DL$4&gt;='Single Project Assumptions'!$T$53,'Operational Phase'!DL$4&lt;'Single Project Assumptions'!$T$54),-'Single Project Assumptions'!$T$58/12,0)</f>
        <v>0</v>
      </c>
      <c r="DM22" s="21">
        <f>IF(AND(DM$4&gt;='Single Project Assumptions'!$T$53,'Operational Phase'!DM$4&lt;'Single Project Assumptions'!$T$54),-'Single Project Assumptions'!$T$58/12,0)</f>
        <v>0</v>
      </c>
      <c r="DN22" s="21">
        <f>IF(AND(DN$4&gt;='Single Project Assumptions'!$T$53,'Operational Phase'!DN$4&lt;'Single Project Assumptions'!$T$54),-'Single Project Assumptions'!$T$58/12,0)</f>
        <v>0</v>
      </c>
      <c r="DO22" s="21">
        <f>IF(AND(DO$4&gt;='Single Project Assumptions'!$T$53,'Operational Phase'!DO$4&lt;'Single Project Assumptions'!$T$54),-'Single Project Assumptions'!$T$58/12,0)</f>
        <v>0</v>
      </c>
      <c r="DP22" s="21">
        <f>IF(AND(DP$4&gt;='Single Project Assumptions'!$T$53,'Operational Phase'!DP$4&lt;'Single Project Assumptions'!$T$54),-'Single Project Assumptions'!$T$58/12,0)</f>
        <v>0</v>
      </c>
      <c r="DQ22" s="21">
        <f>IF(AND(DQ$4&gt;='Single Project Assumptions'!$T$53,'Operational Phase'!DQ$4&lt;'Single Project Assumptions'!$T$54),-'Single Project Assumptions'!$T$58/12,0)</f>
        <v>0</v>
      </c>
      <c r="DR22" s="21">
        <f>IF(AND(DR$4&gt;='Single Project Assumptions'!$T$53,'Operational Phase'!DR$4&lt;'Single Project Assumptions'!$T$54),-'Single Project Assumptions'!$T$58/12,0)</f>
        <v>0</v>
      </c>
      <c r="DS22" s="21">
        <f>IF(AND(DS$4&gt;='Single Project Assumptions'!$T$53,'Operational Phase'!DS$4&lt;'Single Project Assumptions'!$T$54),-'Single Project Assumptions'!$T$58/12,0)</f>
        <v>0</v>
      </c>
      <c r="DT22" s="21">
        <f>IF(AND(DT$4&gt;='Single Project Assumptions'!$T$53,'Operational Phase'!DT$4&lt;'Single Project Assumptions'!$T$54),-'Single Project Assumptions'!$T$58/12,0)</f>
        <v>0</v>
      </c>
      <c r="DU22" s="21">
        <f>IF(AND(DU$4&gt;='Single Project Assumptions'!$T$53,'Operational Phase'!DU$4&lt;'Single Project Assumptions'!$T$54),-'Single Project Assumptions'!$T$58/12,0)</f>
        <v>0</v>
      </c>
    </row>
    <row r="23" spans="3:125" s="3" customFormat="1" ht="22.95" customHeight="1">
      <c r="C23" s="26" t="s">
        <v>296</v>
      </c>
      <c r="D23" s="27">
        <f>SUM(E23:DU23)</f>
        <v>-110000.00000000004</v>
      </c>
      <c r="E23" s="65">
        <f t="shared" ref="E23:AJ23" si="32">SUM(E21:E22)</f>
        <v>0</v>
      </c>
      <c r="F23" s="65">
        <f t="shared" si="32"/>
        <v>0</v>
      </c>
      <c r="G23" s="65">
        <f t="shared" si="32"/>
        <v>0</v>
      </c>
      <c r="H23" s="65">
        <f t="shared" si="32"/>
        <v>0</v>
      </c>
      <c r="I23" s="65">
        <f t="shared" si="32"/>
        <v>0</v>
      </c>
      <c r="J23" s="65">
        <f t="shared" si="32"/>
        <v>0</v>
      </c>
      <c r="K23" s="65">
        <f t="shared" si="32"/>
        <v>0</v>
      </c>
      <c r="L23" s="65">
        <f t="shared" si="32"/>
        <v>0</v>
      </c>
      <c r="M23" s="65">
        <f t="shared" si="32"/>
        <v>0</v>
      </c>
      <c r="N23" s="65">
        <f t="shared" si="32"/>
        <v>0</v>
      </c>
      <c r="O23" s="65">
        <f t="shared" si="32"/>
        <v>0</v>
      </c>
      <c r="P23" s="65">
        <f t="shared" si="32"/>
        <v>0</v>
      </c>
      <c r="Q23" s="65">
        <f t="shared" si="32"/>
        <v>0</v>
      </c>
      <c r="R23" s="65">
        <f t="shared" si="32"/>
        <v>0</v>
      </c>
      <c r="S23" s="65">
        <f t="shared" si="32"/>
        <v>0</v>
      </c>
      <c r="T23" s="65">
        <f t="shared" si="32"/>
        <v>0</v>
      </c>
      <c r="U23" s="65">
        <f t="shared" si="32"/>
        <v>0</v>
      </c>
      <c r="V23" s="65">
        <f t="shared" si="32"/>
        <v>0</v>
      </c>
      <c r="W23" s="65">
        <f t="shared" si="32"/>
        <v>0</v>
      </c>
      <c r="X23" s="65">
        <f t="shared" si="32"/>
        <v>0</v>
      </c>
      <c r="Y23" s="65">
        <f t="shared" si="32"/>
        <v>0</v>
      </c>
      <c r="Z23" s="65">
        <f t="shared" si="32"/>
        <v>0</v>
      </c>
      <c r="AA23" s="65">
        <f t="shared" si="32"/>
        <v>0</v>
      </c>
      <c r="AB23" s="65">
        <f t="shared" si="32"/>
        <v>0</v>
      </c>
      <c r="AC23" s="65">
        <f t="shared" si="32"/>
        <v>0</v>
      </c>
      <c r="AD23" s="65">
        <f t="shared" si="32"/>
        <v>0</v>
      </c>
      <c r="AE23" s="65">
        <f t="shared" si="32"/>
        <v>0</v>
      </c>
      <c r="AF23" s="65">
        <f t="shared" si="32"/>
        <v>0</v>
      </c>
      <c r="AG23" s="65">
        <f t="shared" si="32"/>
        <v>0</v>
      </c>
      <c r="AH23" s="65">
        <f t="shared" si="32"/>
        <v>0</v>
      </c>
      <c r="AI23" s="65">
        <f t="shared" si="32"/>
        <v>0</v>
      </c>
      <c r="AJ23" s="65">
        <f t="shared" si="32"/>
        <v>0</v>
      </c>
      <c r="AK23" s="65">
        <f t="shared" ref="AK23:BP23" si="33">SUM(AK21:AK22)</f>
        <v>0</v>
      </c>
      <c r="AL23" s="65">
        <f t="shared" si="33"/>
        <v>0</v>
      </c>
      <c r="AM23" s="65">
        <f t="shared" si="33"/>
        <v>0</v>
      </c>
      <c r="AN23" s="65">
        <f t="shared" si="33"/>
        <v>0</v>
      </c>
      <c r="AO23" s="65">
        <f t="shared" si="33"/>
        <v>0</v>
      </c>
      <c r="AP23" s="65">
        <f t="shared" si="33"/>
        <v>0</v>
      </c>
      <c r="AQ23" s="65">
        <f t="shared" si="33"/>
        <v>0</v>
      </c>
      <c r="AR23" s="65">
        <f t="shared" si="33"/>
        <v>0</v>
      </c>
      <c r="AS23" s="65">
        <f t="shared" si="33"/>
        <v>0</v>
      </c>
      <c r="AT23" s="65">
        <f t="shared" si="33"/>
        <v>0</v>
      </c>
      <c r="AU23" s="65">
        <f t="shared" si="33"/>
        <v>0</v>
      </c>
      <c r="AV23" s="65">
        <f t="shared" si="33"/>
        <v>0</v>
      </c>
      <c r="AW23" s="65">
        <f t="shared" si="33"/>
        <v>0</v>
      </c>
      <c r="AX23" s="65">
        <f t="shared" si="33"/>
        <v>0</v>
      </c>
      <c r="AY23" s="65">
        <f t="shared" si="33"/>
        <v>0</v>
      </c>
      <c r="AZ23" s="65">
        <f t="shared" si="33"/>
        <v>0</v>
      </c>
      <c r="BA23" s="65">
        <f t="shared" si="33"/>
        <v>0</v>
      </c>
      <c r="BB23" s="65">
        <f t="shared" si="33"/>
        <v>0</v>
      </c>
      <c r="BC23" s="65">
        <f t="shared" si="33"/>
        <v>0</v>
      </c>
      <c r="BD23" s="65">
        <f t="shared" si="33"/>
        <v>-18333.333333333332</v>
      </c>
      <c r="BE23" s="65">
        <f t="shared" si="33"/>
        <v>-16666.666666666664</v>
      </c>
      <c r="BF23" s="65">
        <f t="shared" si="33"/>
        <v>-15000</v>
      </c>
      <c r="BG23" s="65">
        <f t="shared" si="33"/>
        <v>-13333.333333333336</v>
      </c>
      <c r="BH23" s="65">
        <f t="shared" si="33"/>
        <v>-11666.666666666668</v>
      </c>
      <c r="BI23" s="65">
        <f t="shared" si="33"/>
        <v>-10000.000000000004</v>
      </c>
      <c r="BJ23" s="65">
        <f t="shared" si="33"/>
        <v>-8333.3333333333358</v>
      </c>
      <c r="BK23" s="65">
        <f t="shared" si="33"/>
        <v>-6666.6666666666715</v>
      </c>
      <c r="BL23" s="65">
        <f t="shared" si="33"/>
        <v>-5000.0000000000073</v>
      </c>
      <c r="BM23" s="65">
        <f t="shared" si="33"/>
        <v>-3333.3333333333358</v>
      </c>
      <c r="BN23" s="65">
        <f t="shared" si="33"/>
        <v>-1666.6666666666679</v>
      </c>
      <c r="BO23" s="65">
        <f t="shared" si="33"/>
        <v>0</v>
      </c>
      <c r="BP23" s="65">
        <f t="shared" si="33"/>
        <v>0</v>
      </c>
      <c r="BQ23" s="65">
        <f t="shared" ref="BQ23:CV23" si="34">SUM(BQ21:BQ22)</f>
        <v>0</v>
      </c>
      <c r="BR23" s="65">
        <f t="shared" si="34"/>
        <v>0</v>
      </c>
      <c r="BS23" s="65">
        <f t="shared" si="34"/>
        <v>0</v>
      </c>
      <c r="BT23" s="65">
        <f t="shared" si="34"/>
        <v>0</v>
      </c>
      <c r="BU23" s="65">
        <f t="shared" si="34"/>
        <v>0</v>
      </c>
      <c r="BV23" s="65">
        <f t="shared" si="34"/>
        <v>0</v>
      </c>
      <c r="BW23" s="65">
        <f t="shared" si="34"/>
        <v>0</v>
      </c>
      <c r="BX23" s="65">
        <f t="shared" si="34"/>
        <v>0</v>
      </c>
      <c r="BY23" s="65">
        <f t="shared" si="34"/>
        <v>0</v>
      </c>
      <c r="BZ23" s="65">
        <f t="shared" si="34"/>
        <v>0</v>
      </c>
      <c r="CA23" s="65">
        <f t="shared" si="34"/>
        <v>0</v>
      </c>
      <c r="CB23" s="65">
        <f t="shared" si="34"/>
        <v>0</v>
      </c>
      <c r="CC23" s="65">
        <f t="shared" si="34"/>
        <v>0</v>
      </c>
      <c r="CD23" s="65">
        <f t="shared" si="34"/>
        <v>0</v>
      </c>
      <c r="CE23" s="65">
        <f t="shared" si="34"/>
        <v>0</v>
      </c>
      <c r="CF23" s="65">
        <f t="shared" si="34"/>
        <v>0</v>
      </c>
      <c r="CG23" s="65">
        <f t="shared" si="34"/>
        <v>0</v>
      </c>
      <c r="CH23" s="65">
        <f t="shared" si="34"/>
        <v>0</v>
      </c>
      <c r="CI23" s="65">
        <f t="shared" si="34"/>
        <v>0</v>
      </c>
      <c r="CJ23" s="65">
        <f t="shared" si="34"/>
        <v>0</v>
      </c>
      <c r="CK23" s="65">
        <f t="shared" si="34"/>
        <v>0</v>
      </c>
      <c r="CL23" s="65">
        <f t="shared" si="34"/>
        <v>0</v>
      </c>
      <c r="CM23" s="65">
        <f t="shared" si="34"/>
        <v>0</v>
      </c>
      <c r="CN23" s="65">
        <f t="shared" si="34"/>
        <v>0</v>
      </c>
      <c r="CO23" s="65">
        <f t="shared" si="34"/>
        <v>0</v>
      </c>
      <c r="CP23" s="65">
        <f t="shared" si="34"/>
        <v>0</v>
      </c>
      <c r="CQ23" s="65">
        <f t="shared" si="34"/>
        <v>0</v>
      </c>
      <c r="CR23" s="65">
        <f t="shared" si="34"/>
        <v>0</v>
      </c>
      <c r="CS23" s="65">
        <f t="shared" si="34"/>
        <v>0</v>
      </c>
      <c r="CT23" s="65">
        <f t="shared" si="34"/>
        <v>0</v>
      </c>
      <c r="CU23" s="65">
        <f t="shared" si="34"/>
        <v>0</v>
      </c>
      <c r="CV23" s="65">
        <f t="shared" si="34"/>
        <v>0</v>
      </c>
      <c r="CW23" s="65">
        <f t="shared" ref="CW23:DU23" si="35">SUM(CW21:CW22)</f>
        <v>0</v>
      </c>
      <c r="CX23" s="65">
        <f t="shared" si="35"/>
        <v>0</v>
      </c>
      <c r="CY23" s="65">
        <f t="shared" si="35"/>
        <v>0</v>
      </c>
      <c r="CZ23" s="65">
        <f t="shared" si="35"/>
        <v>0</v>
      </c>
      <c r="DA23" s="65">
        <f t="shared" si="35"/>
        <v>0</v>
      </c>
      <c r="DB23" s="65">
        <f t="shared" si="35"/>
        <v>0</v>
      </c>
      <c r="DC23" s="65">
        <f t="shared" si="35"/>
        <v>0</v>
      </c>
      <c r="DD23" s="65">
        <f t="shared" si="35"/>
        <v>0</v>
      </c>
      <c r="DE23" s="65">
        <f t="shared" si="35"/>
        <v>0</v>
      </c>
      <c r="DF23" s="65">
        <f t="shared" si="35"/>
        <v>0</v>
      </c>
      <c r="DG23" s="65">
        <f t="shared" si="35"/>
        <v>0</v>
      </c>
      <c r="DH23" s="65">
        <f t="shared" si="35"/>
        <v>0</v>
      </c>
      <c r="DI23" s="65">
        <f t="shared" si="35"/>
        <v>0</v>
      </c>
      <c r="DJ23" s="65">
        <f t="shared" si="35"/>
        <v>0</v>
      </c>
      <c r="DK23" s="65">
        <f t="shared" si="35"/>
        <v>0</v>
      </c>
      <c r="DL23" s="65">
        <f t="shared" si="35"/>
        <v>0</v>
      </c>
      <c r="DM23" s="65">
        <f t="shared" si="35"/>
        <v>0</v>
      </c>
      <c r="DN23" s="65">
        <f t="shared" si="35"/>
        <v>0</v>
      </c>
      <c r="DO23" s="65">
        <f t="shared" si="35"/>
        <v>0</v>
      </c>
      <c r="DP23" s="65">
        <f t="shared" si="35"/>
        <v>0</v>
      </c>
      <c r="DQ23" s="65">
        <f t="shared" si="35"/>
        <v>0</v>
      </c>
      <c r="DR23" s="65">
        <f t="shared" si="35"/>
        <v>0</v>
      </c>
      <c r="DS23" s="65">
        <f t="shared" si="35"/>
        <v>0</v>
      </c>
      <c r="DT23" s="65">
        <f t="shared" si="35"/>
        <v>0</v>
      </c>
      <c r="DU23" s="65">
        <f t="shared" si="35"/>
        <v>0</v>
      </c>
    </row>
    <row r="24" spans="3:125" s="3" customFormat="1" ht="22.95" customHeight="1">
      <c r="C24" s="31" t="s">
        <v>297</v>
      </c>
      <c r="D24" s="76">
        <f>MAX(E24:DU24)</f>
        <v>0</v>
      </c>
      <c r="E24" s="75">
        <f t="shared" ref="E24:AJ24" si="36">IF(ISERROR(E23/E21),0,(E23/E21))</f>
        <v>0</v>
      </c>
      <c r="F24" s="75">
        <f t="shared" si="36"/>
        <v>0</v>
      </c>
      <c r="G24" s="75">
        <f t="shared" si="36"/>
        <v>0</v>
      </c>
      <c r="H24" s="75">
        <f t="shared" si="36"/>
        <v>0</v>
      </c>
      <c r="I24" s="75">
        <f t="shared" si="36"/>
        <v>0</v>
      </c>
      <c r="J24" s="75">
        <f t="shared" si="36"/>
        <v>0</v>
      </c>
      <c r="K24" s="75">
        <f t="shared" si="36"/>
        <v>0</v>
      </c>
      <c r="L24" s="75">
        <f t="shared" si="36"/>
        <v>0</v>
      </c>
      <c r="M24" s="75">
        <f t="shared" si="36"/>
        <v>0</v>
      </c>
      <c r="N24" s="75">
        <f t="shared" si="36"/>
        <v>0</v>
      </c>
      <c r="O24" s="75">
        <f t="shared" si="36"/>
        <v>0</v>
      </c>
      <c r="P24" s="75">
        <f t="shared" si="36"/>
        <v>0</v>
      </c>
      <c r="Q24" s="75">
        <f t="shared" si="36"/>
        <v>0</v>
      </c>
      <c r="R24" s="75">
        <f t="shared" si="36"/>
        <v>0</v>
      </c>
      <c r="S24" s="75">
        <f t="shared" si="36"/>
        <v>0</v>
      </c>
      <c r="T24" s="75">
        <f t="shared" si="36"/>
        <v>0</v>
      </c>
      <c r="U24" s="75">
        <f t="shared" si="36"/>
        <v>0</v>
      </c>
      <c r="V24" s="75">
        <f t="shared" si="36"/>
        <v>0</v>
      </c>
      <c r="W24" s="75">
        <f t="shared" si="36"/>
        <v>0</v>
      </c>
      <c r="X24" s="75">
        <f t="shared" si="36"/>
        <v>0</v>
      </c>
      <c r="Y24" s="75">
        <f t="shared" si="36"/>
        <v>0</v>
      </c>
      <c r="Z24" s="75">
        <f t="shared" si="36"/>
        <v>0</v>
      </c>
      <c r="AA24" s="75">
        <f t="shared" si="36"/>
        <v>0</v>
      </c>
      <c r="AB24" s="75">
        <f t="shared" si="36"/>
        <v>0</v>
      </c>
      <c r="AC24" s="75">
        <f t="shared" si="36"/>
        <v>0</v>
      </c>
      <c r="AD24" s="75">
        <f t="shared" si="36"/>
        <v>0</v>
      </c>
      <c r="AE24" s="75">
        <f t="shared" si="36"/>
        <v>0</v>
      </c>
      <c r="AF24" s="75">
        <f t="shared" si="36"/>
        <v>0</v>
      </c>
      <c r="AG24" s="75">
        <f t="shared" si="36"/>
        <v>0</v>
      </c>
      <c r="AH24" s="75">
        <f t="shared" si="36"/>
        <v>0</v>
      </c>
      <c r="AI24" s="75">
        <f t="shared" si="36"/>
        <v>0</v>
      </c>
      <c r="AJ24" s="75">
        <f t="shared" si="36"/>
        <v>0</v>
      </c>
      <c r="AK24" s="75">
        <f t="shared" ref="AK24:BP24" si="37">IF(ISERROR(AK23/AK21),0,(AK23/AK21))</f>
        <v>0</v>
      </c>
      <c r="AL24" s="75">
        <f t="shared" si="37"/>
        <v>0</v>
      </c>
      <c r="AM24" s="75">
        <f t="shared" si="37"/>
        <v>0</v>
      </c>
      <c r="AN24" s="75">
        <f t="shared" si="37"/>
        <v>0</v>
      </c>
      <c r="AO24" s="75">
        <f t="shared" si="37"/>
        <v>0</v>
      </c>
      <c r="AP24" s="75">
        <f t="shared" si="37"/>
        <v>0</v>
      </c>
      <c r="AQ24" s="75">
        <f t="shared" si="37"/>
        <v>0</v>
      </c>
      <c r="AR24" s="75">
        <f t="shared" si="37"/>
        <v>0</v>
      </c>
      <c r="AS24" s="75">
        <f t="shared" si="37"/>
        <v>0</v>
      </c>
      <c r="AT24" s="75">
        <f t="shared" si="37"/>
        <v>0</v>
      </c>
      <c r="AU24" s="75">
        <f t="shared" si="37"/>
        <v>0</v>
      </c>
      <c r="AV24" s="75">
        <f t="shared" si="37"/>
        <v>0</v>
      </c>
      <c r="AW24" s="75">
        <f t="shared" si="37"/>
        <v>0</v>
      </c>
      <c r="AX24" s="75">
        <f t="shared" si="37"/>
        <v>0</v>
      </c>
      <c r="AY24" s="75">
        <f t="shared" si="37"/>
        <v>0</v>
      </c>
      <c r="AZ24" s="75">
        <f t="shared" si="37"/>
        <v>0</v>
      </c>
      <c r="BA24" s="75">
        <f t="shared" si="37"/>
        <v>0</v>
      </c>
      <c r="BB24" s="75">
        <f t="shared" si="37"/>
        <v>0</v>
      </c>
      <c r="BC24" s="75">
        <f t="shared" si="37"/>
        <v>0</v>
      </c>
      <c r="BD24" s="75">
        <f t="shared" si="37"/>
        <v>-1.5714285714285712</v>
      </c>
      <c r="BE24" s="75">
        <f t="shared" si="37"/>
        <v>-1.2499999999999998</v>
      </c>
      <c r="BF24" s="75">
        <f t="shared" si="37"/>
        <v>-1</v>
      </c>
      <c r="BG24" s="75">
        <f t="shared" si="37"/>
        <v>-0.80000000000000027</v>
      </c>
      <c r="BH24" s="75">
        <f t="shared" si="37"/>
        <v>-0.63636363636363646</v>
      </c>
      <c r="BI24" s="75">
        <f t="shared" si="37"/>
        <v>-0.50000000000000022</v>
      </c>
      <c r="BJ24" s="75">
        <f t="shared" si="37"/>
        <v>-0.38461538461538475</v>
      </c>
      <c r="BK24" s="75">
        <f t="shared" si="37"/>
        <v>-0.28571428571428598</v>
      </c>
      <c r="BL24" s="75">
        <f t="shared" si="37"/>
        <v>-0.20000000000000034</v>
      </c>
      <c r="BM24" s="75">
        <f t="shared" si="37"/>
        <v>-0.12500000000000011</v>
      </c>
      <c r="BN24" s="75">
        <f t="shared" si="37"/>
        <v>-5.8823529411764754E-2</v>
      </c>
      <c r="BO24" s="75">
        <f t="shared" si="37"/>
        <v>0</v>
      </c>
      <c r="BP24" s="75">
        <f t="shared" si="37"/>
        <v>0</v>
      </c>
      <c r="BQ24" s="75">
        <f t="shared" ref="BQ24:CV24" si="38">IF(ISERROR(BQ23/BQ21),0,(BQ23/BQ21))</f>
        <v>0</v>
      </c>
      <c r="BR24" s="75">
        <f t="shared" si="38"/>
        <v>0</v>
      </c>
      <c r="BS24" s="75">
        <f t="shared" si="38"/>
        <v>0</v>
      </c>
      <c r="BT24" s="75">
        <f t="shared" si="38"/>
        <v>0</v>
      </c>
      <c r="BU24" s="75">
        <f t="shared" si="38"/>
        <v>0</v>
      </c>
      <c r="BV24" s="75">
        <f t="shared" si="38"/>
        <v>0</v>
      </c>
      <c r="BW24" s="75">
        <f t="shared" si="38"/>
        <v>0</v>
      </c>
      <c r="BX24" s="75">
        <f t="shared" si="38"/>
        <v>0</v>
      </c>
      <c r="BY24" s="75">
        <f t="shared" si="38"/>
        <v>0</v>
      </c>
      <c r="BZ24" s="75">
        <f t="shared" si="38"/>
        <v>0</v>
      </c>
      <c r="CA24" s="75">
        <f t="shared" si="38"/>
        <v>0</v>
      </c>
      <c r="CB24" s="75">
        <f t="shared" si="38"/>
        <v>0</v>
      </c>
      <c r="CC24" s="75">
        <f t="shared" si="38"/>
        <v>0</v>
      </c>
      <c r="CD24" s="75">
        <f t="shared" si="38"/>
        <v>0</v>
      </c>
      <c r="CE24" s="75">
        <f t="shared" si="38"/>
        <v>0</v>
      </c>
      <c r="CF24" s="75">
        <f t="shared" si="38"/>
        <v>0</v>
      </c>
      <c r="CG24" s="75">
        <f t="shared" si="38"/>
        <v>0</v>
      </c>
      <c r="CH24" s="75">
        <f t="shared" si="38"/>
        <v>0</v>
      </c>
      <c r="CI24" s="75">
        <f t="shared" si="38"/>
        <v>0</v>
      </c>
      <c r="CJ24" s="75">
        <f t="shared" si="38"/>
        <v>0</v>
      </c>
      <c r="CK24" s="75">
        <f t="shared" si="38"/>
        <v>0</v>
      </c>
      <c r="CL24" s="75">
        <f t="shared" si="38"/>
        <v>0</v>
      </c>
      <c r="CM24" s="75">
        <f t="shared" si="38"/>
        <v>0</v>
      </c>
      <c r="CN24" s="75">
        <f t="shared" si="38"/>
        <v>0</v>
      </c>
      <c r="CO24" s="75">
        <f t="shared" si="38"/>
        <v>0</v>
      </c>
      <c r="CP24" s="75">
        <f t="shared" si="38"/>
        <v>0</v>
      </c>
      <c r="CQ24" s="75">
        <f t="shared" si="38"/>
        <v>0</v>
      </c>
      <c r="CR24" s="75">
        <f t="shared" si="38"/>
        <v>0</v>
      </c>
      <c r="CS24" s="75">
        <f t="shared" si="38"/>
        <v>0</v>
      </c>
      <c r="CT24" s="75">
        <f t="shared" si="38"/>
        <v>0</v>
      </c>
      <c r="CU24" s="75">
        <f t="shared" si="38"/>
        <v>0</v>
      </c>
      <c r="CV24" s="75">
        <f t="shared" si="38"/>
        <v>0</v>
      </c>
      <c r="CW24" s="75">
        <f t="shared" ref="CW24:DU24" si="39">IF(ISERROR(CW23/CW21),0,(CW23/CW21))</f>
        <v>0</v>
      </c>
      <c r="CX24" s="75">
        <f t="shared" si="39"/>
        <v>0</v>
      </c>
      <c r="CY24" s="75">
        <f t="shared" si="39"/>
        <v>0</v>
      </c>
      <c r="CZ24" s="75">
        <f t="shared" si="39"/>
        <v>0</v>
      </c>
      <c r="DA24" s="75">
        <f t="shared" si="39"/>
        <v>0</v>
      </c>
      <c r="DB24" s="75">
        <f t="shared" si="39"/>
        <v>0</v>
      </c>
      <c r="DC24" s="75">
        <f t="shared" si="39"/>
        <v>0</v>
      </c>
      <c r="DD24" s="75">
        <f t="shared" si="39"/>
        <v>0</v>
      </c>
      <c r="DE24" s="75">
        <f t="shared" si="39"/>
        <v>0</v>
      </c>
      <c r="DF24" s="75">
        <f t="shared" si="39"/>
        <v>0</v>
      </c>
      <c r="DG24" s="75">
        <f t="shared" si="39"/>
        <v>0</v>
      </c>
      <c r="DH24" s="75">
        <f t="shared" si="39"/>
        <v>0</v>
      </c>
      <c r="DI24" s="75">
        <f t="shared" si="39"/>
        <v>0</v>
      </c>
      <c r="DJ24" s="75">
        <f t="shared" si="39"/>
        <v>0</v>
      </c>
      <c r="DK24" s="75">
        <f t="shared" si="39"/>
        <v>0</v>
      </c>
      <c r="DL24" s="75">
        <f t="shared" si="39"/>
        <v>0</v>
      </c>
      <c r="DM24" s="75">
        <f t="shared" si="39"/>
        <v>0</v>
      </c>
      <c r="DN24" s="75">
        <f t="shared" si="39"/>
        <v>0</v>
      </c>
      <c r="DO24" s="75">
        <f t="shared" si="39"/>
        <v>0</v>
      </c>
      <c r="DP24" s="75">
        <f t="shared" si="39"/>
        <v>0</v>
      </c>
      <c r="DQ24" s="75">
        <f t="shared" si="39"/>
        <v>0</v>
      </c>
      <c r="DR24" s="75">
        <f t="shared" si="39"/>
        <v>0</v>
      </c>
      <c r="DS24" s="75">
        <f t="shared" si="39"/>
        <v>0</v>
      </c>
      <c r="DT24" s="75">
        <f t="shared" si="39"/>
        <v>0</v>
      </c>
      <c r="DU24" s="75">
        <f t="shared" si="39"/>
        <v>0</v>
      </c>
    </row>
    <row r="25" spans="3:125" s="3" customFormat="1" ht="22.95" customHeight="1">
      <c r="C25" s="31"/>
      <c r="D25" s="76"/>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5"/>
      <c r="BG25" s="75"/>
      <c r="BH25" s="75"/>
      <c r="BI25" s="75"/>
      <c r="BJ25" s="75"/>
      <c r="BK25" s="75"/>
      <c r="BL25" s="75"/>
      <c r="BM25" s="75"/>
      <c r="BN25" s="75"/>
      <c r="BO25" s="75"/>
      <c r="BP25" s="75"/>
      <c r="BQ25" s="75"/>
      <c r="BR25" s="75"/>
      <c r="BS25" s="75"/>
      <c r="BT25" s="75"/>
      <c r="BU25" s="75"/>
      <c r="BV25" s="75"/>
      <c r="BW25" s="75"/>
      <c r="BX25" s="75"/>
      <c r="BY25" s="75"/>
      <c r="BZ25" s="75"/>
      <c r="CA25" s="75"/>
      <c r="CB25" s="75"/>
      <c r="CC25" s="75"/>
      <c r="CD25" s="75"/>
      <c r="CE25" s="75"/>
      <c r="CF25" s="75"/>
      <c r="CG25" s="75"/>
      <c r="CH25" s="75"/>
      <c r="CI25" s="75"/>
      <c r="CJ25" s="75"/>
      <c r="CK25" s="75"/>
      <c r="CL25" s="75"/>
      <c r="CM25" s="75"/>
      <c r="CN25" s="75"/>
      <c r="CO25" s="75"/>
      <c r="CP25" s="75"/>
      <c r="CQ25" s="75"/>
      <c r="CR25" s="75"/>
      <c r="CS25" s="75"/>
      <c r="CT25" s="75"/>
      <c r="CU25" s="75"/>
      <c r="CV25" s="75"/>
      <c r="CW25" s="75"/>
      <c r="CX25" s="75"/>
      <c r="CY25" s="75"/>
      <c r="CZ25" s="75"/>
      <c r="DA25" s="75"/>
      <c r="DB25" s="75"/>
      <c r="DC25" s="75"/>
      <c r="DD25" s="75"/>
      <c r="DE25" s="75"/>
      <c r="DF25" s="75"/>
      <c r="DG25" s="75"/>
      <c r="DH25" s="75"/>
      <c r="DI25" s="75"/>
      <c r="DJ25" s="75"/>
      <c r="DK25" s="75"/>
      <c r="DL25" s="75"/>
      <c r="DM25" s="75"/>
      <c r="DN25" s="75"/>
      <c r="DO25" s="75"/>
      <c r="DP25" s="75"/>
      <c r="DQ25" s="75"/>
      <c r="DR25" s="75"/>
      <c r="DS25" s="75"/>
      <c r="DT25" s="75"/>
      <c r="DU25" s="75"/>
    </row>
    <row r="26" spans="3:125" s="3" customFormat="1" ht="22.95" customHeight="1">
      <c r="C26" s="60" t="s">
        <v>300</v>
      </c>
      <c r="D26" s="76"/>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c r="BM26" s="75"/>
      <c r="BN26" s="75"/>
      <c r="BO26" s="75"/>
      <c r="BP26" s="75"/>
      <c r="BQ26" s="75"/>
      <c r="BR26" s="75"/>
      <c r="BS26" s="75"/>
      <c r="BT26" s="75"/>
      <c r="BU26" s="75"/>
      <c r="BV26" s="75"/>
      <c r="BW26" s="75"/>
      <c r="BX26" s="75"/>
      <c r="BY26" s="75"/>
      <c r="BZ26" s="75"/>
      <c r="CA26" s="75"/>
      <c r="CB26" s="75"/>
      <c r="CC26" s="75"/>
      <c r="CD26" s="75"/>
      <c r="CE26" s="75"/>
      <c r="CF26" s="75"/>
      <c r="CG26" s="75"/>
      <c r="CH26" s="75"/>
      <c r="CI26" s="75"/>
      <c r="CJ26" s="75"/>
      <c r="CK26" s="75"/>
      <c r="CL26" s="75"/>
      <c r="CM26" s="75"/>
      <c r="CN26" s="75"/>
      <c r="CO26" s="75"/>
      <c r="CP26" s="75"/>
      <c r="CQ26" s="75"/>
      <c r="CR26" s="75"/>
      <c r="CS26" s="75"/>
      <c r="CT26" s="75"/>
      <c r="CU26" s="75"/>
      <c r="CV26" s="75"/>
      <c r="CW26" s="75"/>
      <c r="CX26" s="75"/>
      <c r="CY26" s="75"/>
      <c r="CZ26" s="75"/>
      <c r="DA26" s="75"/>
      <c r="DB26" s="75"/>
      <c r="DC26" s="75"/>
      <c r="DD26" s="75"/>
      <c r="DE26" s="75"/>
      <c r="DF26" s="75"/>
      <c r="DG26" s="75"/>
      <c r="DH26" s="75"/>
      <c r="DI26" s="75"/>
      <c r="DJ26" s="75"/>
      <c r="DK26" s="75"/>
      <c r="DL26" s="75"/>
      <c r="DM26" s="75"/>
      <c r="DN26" s="75"/>
      <c r="DO26" s="75"/>
      <c r="DP26" s="75"/>
      <c r="DQ26" s="75"/>
      <c r="DR26" s="75"/>
      <c r="DS26" s="75"/>
      <c r="DT26" s="75"/>
      <c r="DU26" s="75"/>
    </row>
    <row r="27" spans="3:125" s="3" customFormat="1" ht="22.95" customHeight="1">
      <c r="C27" s="26" t="s">
        <v>300</v>
      </c>
      <c r="D27" s="27">
        <f>D15</f>
        <v>1267500</v>
      </c>
      <c r="E27" s="65">
        <f t="shared" ref="E27:AJ27" si="40">E9</f>
        <v>0</v>
      </c>
      <c r="F27" s="65">
        <f t="shared" si="40"/>
        <v>0</v>
      </c>
      <c r="G27" s="65">
        <f t="shared" si="40"/>
        <v>0</v>
      </c>
      <c r="H27" s="65">
        <f t="shared" si="40"/>
        <v>0</v>
      </c>
      <c r="I27" s="65">
        <f t="shared" si="40"/>
        <v>0</v>
      </c>
      <c r="J27" s="65">
        <f t="shared" si="40"/>
        <v>0</v>
      </c>
      <c r="K27" s="65">
        <f t="shared" si="40"/>
        <v>0</v>
      </c>
      <c r="L27" s="65">
        <f t="shared" si="40"/>
        <v>0</v>
      </c>
      <c r="M27" s="65">
        <f t="shared" si="40"/>
        <v>0</v>
      </c>
      <c r="N27" s="65">
        <f t="shared" si="40"/>
        <v>0</v>
      </c>
      <c r="O27" s="65">
        <f t="shared" si="40"/>
        <v>0</v>
      </c>
      <c r="P27" s="65">
        <f t="shared" si="40"/>
        <v>0</v>
      </c>
      <c r="Q27" s="65">
        <f t="shared" si="40"/>
        <v>0</v>
      </c>
      <c r="R27" s="65">
        <f t="shared" si="40"/>
        <v>0</v>
      </c>
      <c r="S27" s="65">
        <f t="shared" si="40"/>
        <v>0</v>
      </c>
      <c r="T27" s="65">
        <f t="shared" si="40"/>
        <v>0</v>
      </c>
      <c r="U27" s="65">
        <f t="shared" si="40"/>
        <v>0</v>
      </c>
      <c r="V27" s="65">
        <f t="shared" si="40"/>
        <v>0</v>
      </c>
      <c r="W27" s="65">
        <f t="shared" si="40"/>
        <v>0</v>
      </c>
      <c r="X27" s="65">
        <f t="shared" si="40"/>
        <v>0</v>
      </c>
      <c r="Y27" s="65">
        <f t="shared" si="40"/>
        <v>0</v>
      </c>
      <c r="Z27" s="65">
        <f t="shared" si="40"/>
        <v>0</v>
      </c>
      <c r="AA27" s="65">
        <f t="shared" si="40"/>
        <v>0</v>
      </c>
      <c r="AB27" s="65">
        <f t="shared" si="40"/>
        <v>0</v>
      </c>
      <c r="AC27" s="65">
        <f t="shared" si="40"/>
        <v>0</v>
      </c>
      <c r="AD27" s="65">
        <f t="shared" si="40"/>
        <v>0</v>
      </c>
      <c r="AE27" s="65">
        <f t="shared" si="40"/>
        <v>0</v>
      </c>
      <c r="AF27" s="65">
        <f t="shared" si="40"/>
        <v>0</v>
      </c>
      <c r="AG27" s="65">
        <f t="shared" si="40"/>
        <v>0</v>
      </c>
      <c r="AH27" s="65">
        <f t="shared" si="40"/>
        <v>0</v>
      </c>
      <c r="AI27" s="65">
        <f t="shared" si="40"/>
        <v>0</v>
      </c>
      <c r="AJ27" s="65">
        <f t="shared" si="40"/>
        <v>0</v>
      </c>
      <c r="AK27" s="65">
        <f t="shared" ref="AK27:BP27" si="41">AK9</f>
        <v>0</v>
      </c>
      <c r="AL27" s="65">
        <f t="shared" si="41"/>
        <v>0</v>
      </c>
      <c r="AM27" s="65">
        <f t="shared" si="41"/>
        <v>0</v>
      </c>
      <c r="AN27" s="65">
        <f t="shared" si="41"/>
        <v>0</v>
      </c>
      <c r="AO27" s="65">
        <f t="shared" si="41"/>
        <v>0</v>
      </c>
      <c r="AP27" s="65">
        <f t="shared" si="41"/>
        <v>0</v>
      </c>
      <c r="AQ27" s="65">
        <f t="shared" si="41"/>
        <v>0</v>
      </c>
      <c r="AR27" s="65">
        <f t="shared" si="41"/>
        <v>0</v>
      </c>
      <c r="AS27" s="65">
        <f t="shared" si="41"/>
        <v>0</v>
      </c>
      <c r="AT27" s="65">
        <f t="shared" si="41"/>
        <v>0</v>
      </c>
      <c r="AU27" s="65">
        <f t="shared" si="41"/>
        <v>0</v>
      </c>
      <c r="AV27" s="65">
        <f t="shared" si="41"/>
        <v>0</v>
      </c>
      <c r="AW27" s="65">
        <f t="shared" si="41"/>
        <v>0</v>
      </c>
      <c r="AX27" s="65">
        <f t="shared" si="41"/>
        <v>0</v>
      </c>
      <c r="AY27" s="65">
        <f t="shared" si="41"/>
        <v>0</v>
      </c>
      <c r="AZ27" s="65">
        <f t="shared" si="41"/>
        <v>0</v>
      </c>
      <c r="BA27" s="65">
        <f t="shared" si="41"/>
        <v>0</v>
      </c>
      <c r="BB27" s="65">
        <f t="shared" si="41"/>
        <v>0</v>
      </c>
      <c r="BC27" s="65">
        <f t="shared" si="41"/>
        <v>0</v>
      </c>
      <c r="BD27" s="65">
        <f t="shared" si="41"/>
        <v>4861.1111111111113</v>
      </c>
      <c r="BE27" s="65">
        <f t="shared" si="41"/>
        <v>5555.5555555555557</v>
      </c>
      <c r="BF27" s="65">
        <f t="shared" si="41"/>
        <v>6250</v>
      </c>
      <c r="BG27" s="65">
        <f t="shared" si="41"/>
        <v>6944.4444444444434</v>
      </c>
      <c r="BH27" s="65">
        <f t="shared" si="41"/>
        <v>7638.8888888888878</v>
      </c>
      <c r="BI27" s="65">
        <f t="shared" si="41"/>
        <v>8333.3333333333321</v>
      </c>
      <c r="BJ27" s="65">
        <f t="shared" si="41"/>
        <v>9027.7777777777756</v>
      </c>
      <c r="BK27" s="65">
        <f t="shared" si="41"/>
        <v>9722.222222222219</v>
      </c>
      <c r="BL27" s="65">
        <f t="shared" si="41"/>
        <v>10416.666666666664</v>
      </c>
      <c r="BM27" s="65">
        <f t="shared" si="41"/>
        <v>11111.111111111109</v>
      </c>
      <c r="BN27" s="65">
        <f t="shared" si="41"/>
        <v>11805.555555555555</v>
      </c>
      <c r="BO27" s="65">
        <f t="shared" si="41"/>
        <v>12500</v>
      </c>
      <c r="BP27" s="65">
        <f t="shared" si="41"/>
        <v>12500</v>
      </c>
      <c r="BQ27" s="65">
        <f t="shared" ref="BQ27:CV27" si="42">BQ9</f>
        <v>12500</v>
      </c>
      <c r="BR27" s="65">
        <f t="shared" si="42"/>
        <v>12500</v>
      </c>
      <c r="BS27" s="65">
        <f t="shared" si="42"/>
        <v>12500</v>
      </c>
      <c r="BT27" s="65">
        <f t="shared" si="42"/>
        <v>12500</v>
      </c>
      <c r="BU27" s="65">
        <f t="shared" si="42"/>
        <v>12500</v>
      </c>
      <c r="BV27" s="65">
        <f t="shared" si="42"/>
        <v>12500</v>
      </c>
      <c r="BW27" s="65">
        <f t="shared" si="42"/>
        <v>12500</v>
      </c>
      <c r="BX27" s="65">
        <f t="shared" si="42"/>
        <v>12500</v>
      </c>
      <c r="BY27" s="65">
        <f t="shared" si="42"/>
        <v>12500</v>
      </c>
      <c r="BZ27" s="65">
        <f t="shared" si="42"/>
        <v>12500</v>
      </c>
      <c r="CA27" s="65">
        <f t="shared" si="42"/>
        <v>12500</v>
      </c>
      <c r="CB27" s="65">
        <f t="shared" si="42"/>
        <v>12500</v>
      </c>
      <c r="CC27" s="65">
        <f t="shared" si="42"/>
        <v>12500</v>
      </c>
      <c r="CD27" s="65">
        <f t="shared" si="42"/>
        <v>12500</v>
      </c>
      <c r="CE27" s="65">
        <f t="shared" si="42"/>
        <v>12500</v>
      </c>
      <c r="CF27" s="65">
        <f t="shared" si="42"/>
        <v>12500</v>
      </c>
      <c r="CG27" s="65">
        <f t="shared" si="42"/>
        <v>12500</v>
      </c>
      <c r="CH27" s="65">
        <f t="shared" si="42"/>
        <v>12500</v>
      </c>
      <c r="CI27" s="65">
        <f t="shared" si="42"/>
        <v>12500</v>
      </c>
      <c r="CJ27" s="65">
        <f t="shared" si="42"/>
        <v>12500</v>
      </c>
      <c r="CK27" s="65">
        <f t="shared" si="42"/>
        <v>12500</v>
      </c>
      <c r="CL27" s="65">
        <f t="shared" si="42"/>
        <v>12500</v>
      </c>
      <c r="CM27" s="65">
        <f t="shared" si="42"/>
        <v>12500</v>
      </c>
      <c r="CN27" s="65">
        <f t="shared" si="42"/>
        <v>12500</v>
      </c>
      <c r="CO27" s="65">
        <f t="shared" si="42"/>
        <v>12500</v>
      </c>
      <c r="CP27" s="65">
        <f t="shared" si="42"/>
        <v>12500</v>
      </c>
      <c r="CQ27" s="65">
        <f t="shared" si="42"/>
        <v>12500</v>
      </c>
      <c r="CR27" s="65">
        <f t="shared" si="42"/>
        <v>12500</v>
      </c>
      <c r="CS27" s="65">
        <f t="shared" si="42"/>
        <v>12500</v>
      </c>
      <c r="CT27" s="65">
        <f t="shared" si="42"/>
        <v>12500</v>
      </c>
      <c r="CU27" s="65">
        <f t="shared" si="42"/>
        <v>12500</v>
      </c>
      <c r="CV27" s="65">
        <f t="shared" si="42"/>
        <v>12500</v>
      </c>
      <c r="CW27" s="65">
        <f t="shared" ref="CW27:DU27" si="43">CW9</f>
        <v>12500</v>
      </c>
      <c r="CX27" s="65">
        <f t="shared" si="43"/>
        <v>12500</v>
      </c>
      <c r="CY27" s="65">
        <f t="shared" si="43"/>
        <v>12500</v>
      </c>
      <c r="CZ27" s="65">
        <f t="shared" si="43"/>
        <v>12500</v>
      </c>
      <c r="DA27" s="65">
        <f t="shared" si="43"/>
        <v>12500</v>
      </c>
      <c r="DB27" s="65">
        <f t="shared" si="43"/>
        <v>12500</v>
      </c>
      <c r="DC27" s="65">
        <f t="shared" si="43"/>
        <v>12500</v>
      </c>
      <c r="DD27" s="65">
        <f t="shared" si="43"/>
        <v>12500</v>
      </c>
      <c r="DE27" s="65">
        <f t="shared" si="43"/>
        <v>12500</v>
      </c>
      <c r="DF27" s="65">
        <f t="shared" si="43"/>
        <v>12500</v>
      </c>
      <c r="DG27" s="65">
        <f t="shared" si="43"/>
        <v>12500</v>
      </c>
      <c r="DH27" s="65">
        <f t="shared" si="43"/>
        <v>12500</v>
      </c>
      <c r="DI27" s="65">
        <f t="shared" si="43"/>
        <v>12500</v>
      </c>
      <c r="DJ27" s="65">
        <f t="shared" si="43"/>
        <v>12500</v>
      </c>
      <c r="DK27" s="65">
        <f t="shared" si="43"/>
        <v>12500</v>
      </c>
      <c r="DL27" s="65">
        <f t="shared" si="43"/>
        <v>0</v>
      </c>
      <c r="DM27" s="65">
        <f t="shared" si="43"/>
        <v>0</v>
      </c>
      <c r="DN27" s="65">
        <f t="shared" si="43"/>
        <v>0</v>
      </c>
      <c r="DO27" s="65">
        <f t="shared" si="43"/>
        <v>0</v>
      </c>
      <c r="DP27" s="65">
        <f t="shared" si="43"/>
        <v>0</v>
      </c>
      <c r="DQ27" s="65">
        <f t="shared" si="43"/>
        <v>0</v>
      </c>
      <c r="DR27" s="65">
        <f t="shared" si="43"/>
        <v>0</v>
      </c>
      <c r="DS27" s="65">
        <f t="shared" si="43"/>
        <v>0</v>
      </c>
      <c r="DT27" s="65">
        <f t="shared" si="43"/>
        <v>0</v>
      </c>
      <c r="DU27" s="65">
        <f t="shared" si="43"/>
        <v>0</v>
      </c>
    </row>
    <row r="28" spans="3:125" s="3" customFormat="1" ht="22.95" customHeight="1">
      <c r="C28" s="31" t="s">
        <v>268</v>
      </c>
      <c r="D28" s="76">
        <f>MAX(E28:DU28)</f>
        <v>0.15</v>
      </c>
      <c r="E28" s="78">
        <f>(E27*12)/'Single Project Assumptions'!$D$39</f>
        <v>0</v>
      </c>
      <c r="F28" s="78">
        <f>(F27*12)/'Single Project Assumptions'!$D$39</f>
        <v>0</v>
      </c>
      <c r="G28" s="78">
        <f>(G27*12)/'Single Project Assumptions'!$D$39</f>
        <v>0</v>
      </c>
      <c r="H28" s="78">
        <f>(H27*12)/'Single Project Assumptions'!$D$39</f>
        <v>0</v>
      </c>
      <c r="I28" s="78">
        <f>(I27*12)/'Single Project Assumptions'!$D$39</f>
        <v>0</v>
      </c>
      <c r="J28" s="78">
        <f>(J27*12)/'Single Project Assumptions'!$D$39</f>
        <v>0</v>
      </c>
      <c r="K28" s="78">
        <f>(K27*12)/'Single Project Assumptions'!$D$39</f>
        <v>0</v>
      </c>
      <c r="L28" s="78">
        <f>(L27*12)/'Single Project Assumptions'!$D$39</f>
        <v>0</v>
      </c>
      <c r="M28" s="78">
        <f>(M27*12)/'Single Project Assumptions'!$D$39</f>
        <v>0</v>
      </c>
      <c r="N28" s="78">
        <f>(N27*12)/'Single Project Assumptions'!$D$39</f>
        <v>0</v>
      </c>
      <c r="O28" s="78">
        <f>(O27*12)/'Single Project Assumptions'!$D$39</f>
        <v>0</v>
      </c>
      <c r="P28" s="78">
        <f>(P27*12)/'Single Project Assumptions'!$D$39</f>
        <v>0</v>
      </c>
      <c r="Q28" s="78">
        <f>(Q27*12)/'Single Project Assumptions'!$D$39</f>
        <v>0</v>
      </c>
      <c r="R28" s="78">
        <f>(R27*12)/'Single Project Assumptions'!$D$39</f>
        <v>0</v>
      </c>
      <c r="S28" s="78">
        <f>(S27*12)/'Single Project Assumptions'!$D$39</f>
        <v>0</v>
      </c>
      <c r="T28" s="78">
        <f>(T27*12)/'Single Project Assumptions'!$D$39</f>
        <v>0</v>
      </c>
      <c r="U28" s="78">
        <f>(U27*12)/'Single Project Assumptions'!$D$39</f>
        <v>0</v>
      </c>
      <c r="V28" s="78">
        <f>(V27*12)/'Single Project Assumptions'!$D$39</f>
        <v>0</v>
      </c>
      <c r="W28" s="78">
        <f>(W27*12)/'Single Project Assumptions'!$D$39</f>
        <v>0</v>
      </c>
      <c r="X28" s="78">
        <f>(X27*12)/'Single Project Assumptions'!$D$39</f>
        <v>0</v>
      </c>
      <c r="Y28" s="78">
        <f>(Y27*12)/'Single Project Assumptions'!$D$39</f>
        <v>0</v>
      </c>
      <c r="Z28" s="78">
        <f>(Z27*12)/'Single Project Assumptions'!$D$39</f>
        <v>0</v>
      </c>
      <c r="AA28" s="78">
        <f>(AA27*12)/'Single Project Assumptions'!$D$39</f>
        <v>0</v>
      </c>
      <c r="AB28" s="78">
        <f>(AB27*12)/'Single Project Assumptions'!$D$39</f>
        <v>0</v>
      </c>
      <c r="AC28" s="78">
        <f>(AC27*12)/'Single Project Assumptions'!$D$39</f>
        <v>0</v>
      </c>
      <c r="AD28" s="78">
        <f>(AD27*12)/'Single Project Assumptions'!$D$39</f>
        <v>0</v>
      </c>
      <c r="AE28" s="78">
        <f>(AE27*12)/'Single Project Assumptions'!$D$39</f>
        <v>0</v>
      </c>
      <c r="AF28" s="78">
        <f>(AF27*12)/'Single Project Assumptions'!$D$39</f>
        <v>0</v>
      </c>
      <c r="AG28" s="78">
        <f>(AG27*12)/'Single Project Assumptions'!$D$39</f>
        <v>0</v>
      </c>
      <c r="AH28" s="78">
        <f>(AH27*12)/'Single Project Assumptions'!$D$39</f>
        <v>0</v>
      </c>
      <c r="AI28" s="78">
        <f>(AI27*12)/'Single Project Assumptions'!$D$39</f>
        <v>0</v>
      </c>
      <c r="AJ28" s="78">
        <f>(AJ27*12)/'Single Project Assumptions'!$D$39</f>
        <v>0</v>
      </c>
      <c r="AK28" s="78">
        <f>(AK27*12)/'Single Project Assumptions'!$D$39</f>
        <v>0</v>
      </c>
      <c r="AL28" s="78">
        <f>(AL27*12)/'Single Project Assumptions'!$D$39</f>
        <v>0</v>
      </c>
      <c r="AM28" s="78">
        <f>(AM27*12)/'Single Project Assumptions'!$D$39</f>
        <v>0</v>
      </c>
      <c r="AN28" s="78">
        <f>(AN27*12)/'Single Project Assumptions'!$D$39</f>
        <v>0</v>
      </c>
      <c r="AO28" s="78">
        <f>(AO27*12)/'Single Project Assumptions'!$D$39</f>
        <v>0</v>
      </c>
      <c r="AP28" s="78">
        <f>(AP27*12)/'Single Project Assumptions'!$D$39</f>
        <v>0</v>
      </c>
      <c r="AQ28" s="78">
        <f>(AQ27*12)/'Single Project Assumptions'!$D$39</f>
        <v>0</v>
      </c>
      <c r="AR28" s="78">
        <f>(AR27*12)/'Single Project Assumptions'!$D$39</f>
        <v>0</v>
      </c>
      <c r="AS28" s="78">
        <f>(AS27*12)/'Single Project Assumptions'!$D$39</f>
        <v>0</v>
      </c>
      <c r="AT28" s="78">
        <f>(AT27*12)/'Single Project Assumptions'!$D$39</f>
        <v>0</v>
      </c>
      <c r="AU28" s="78">
        <f>(AU27*12)/'Single Project Assumptions'!$D$39</f>
        <v>0</v>
      </c>
      <c r="AV28" s="78">
        <f>(AV27*12)/'Single Project Assumptions'!$D$39</f>
        <v>0</v>
      </c>
      <c r="AW28" s="78">
        <f>(AW27*12)/'Single Project Assumptions'!$D$39</f>
        <v>0</v>
      </c>
      <c r="AX28" s="78">
        <f>(AX27*12)/'Single Project Assumptions'!$D$39</f>
        <v>0</v>
      </c>
      <c r="AY28" s="78">
        <f>(AY27*12)/'Single Project Assumptions'!$D$39</f>
        <v>0</v>
      </c>
      <c r="AZ28" s="78">
        <f>(AZ27*12)/'Single Project Assumptions'!$D$39</f>
        <v>0</v>
      </c>
      <c r="BA28" s="78">
        <f>(BA27*12)/'Single Project Assumptions'!$D$39</f>
        <v>0</v>
      </c>
      <c r="BB28" s="78">
        <f>(BB27*12)/'Single Project Assumptions'!$D$39</f>
        <v>0</v>
      </c>
      <c r="BC28" s="78">
        <f>(BC27*12)/'Single Project Assumptions'!$D$39</f>
        <v>0</v>
      </c>
      <c r="BD28" s="78">
        <f>(BD27*12)/'Single Project Assumptions'!$D$39</f>
        <v>5.8333333333333334E-2</v>
      </c>
      <c r="BE28" s="78">
        <f>(BE27*12)/'Single Project Assumptions'!$D$39</f>
        <v>6.6666666666666666E-2</v>
      </c>
      <c r="BF28" s="78">
        <f>(BF27*12)/'Single Project Assumptions'!$D$39</f>
        <v>7.4999999999999997E-2</v>
      </c>
      <c r="BG28" s="78">
        <f>(BG27*12)/'Single Project Assumptions'!$D$39</f>
        <v>8.3333333333333315E-2</v>
      </c>
      <c r="BH28" s="78">
        <f>(BH27*12)/'Single Project Assumptions'!$D$39</f>
        <v>9.166666666666666E-2</v>
      </c>
      <c r="BI28" s="78">
        <f>(BI27*12)/'Single Project Assumptions'!$D$39</f>
        <v>9.9999999999999992E-2</v>
      </c>
      <c r="BJ28" s="78">
        <f>(BJ27*12)/'Single Project Assumptions'!$D$39</f>
        <v>0.10833333333333331</v>
      </c>
      <c r="BK28" s="78">
        <f>(BK27*12)/'Single Project Assumptions'!$D$39</f>
        <v>0.11666666666666663</v>
      </c>
      <c r="BL28" s="78">
        <f>(BL27*12)/'Single Project Assumptions'!$D$39</f>
        <v>0.12499999999999997</v>
      </c>
      <c r="BM28" s="78">
        <f>(BM27*12)/'Single Project Assumptions'!$D$39</f>
        <v>0.1333333333333333</v>
      </c>
      <c r="BN28" s="78">
        <f>(BN27*12)/'Single Project Assumptions'!$D$39</f>
        <v>0.14166666666666666</v>
      </c>
      <c r="BO28" s="78">
        <f>(BO27*12)/'Single Project Assumptions'!$D$39</f>
        <v>0.15</v>
      </c>
      <c r="BP28" s="78">
        <f>(BP27*12)/'Single Project Assumptions'!$D$39</f>
        <v>0.15</v>
      </c>
      <c r="BQ28" s="78">
        <f>(BQ27*12)/'Single Project Assumptions'!$D$39</f>
        <v>0.15</v>
      </c>
      <c r="BR28" s="78">
        <f>(BR27*12)/'Single Project Assumptions'!$D$39</f>
        <v>0.15</v>
      </c>
      <c r="BS28" s="78">
        <f>(BS27*12)/'Single Project Assumptions'!$D$39</f>
        <v>0.15</v>
      </c>
      <c r="BT28" s="78">
        <f>(BT27*12)/'Single Project Assumptions'!$D$39</f>
        <v>0.15</v>
      </c>
      <c r="BU28" s="78">
        <f>(BU27*12)/'Single Project Assumptions'!$D$39</f>
        <v>0.15</v>
      </c>
      <c r="BV28" s="78">
        <f>(BV27*12)/'Single Project Assumptions'!$D$39</f>
        <v>0.15</v>
      </c>
      <c r="BW28" s="78">
        <f>(BW27*12)/'Single Project Assumptions'!$D$39</f>
        <v>0.15</v>
      </c>
      <c r="BX28" s="78">
        <f>(BX27*12)/'Single Project Assumptions'!$D$39</f>
        <v>0.15</v>
      </c>
      <c r="BY28" s="78">
        <f>(BY27*12)/'Single Project Assumptions'!$D$39</f>
        <v>0.15</v>
      </c>
      <c r="BZ28" s="78">
        <f>(BZ27*12)/'Single Project Assumptions'!$D$39</f>
        <v>0.15</v>
      </c>
      <c r="CA28" s="78">
        <f>(CA27*12)/'Single Project Assumptions'!$D$39</f>
        <v>0.15</v>
      </c>
      <c r="CB28" s="78">
        <f>(CB27*12)/'Single Project Assumptions'!$D$39</f>
        <v>0.15</v>
      </c>
      <c r="CC28" s="78">
        <f>(CC27*12)/'Single Project Assumptions'!$D$39</f>
        <v>0.15</v>
      </c>
      <c r="CD28" s="78">
        <f>(CD27*12)/'Single Project Assumptions'!$D$39</f>
        <v>0.15</v>
      </c>
      <c r="CE28" s="78">
        <f>(CE27*12)/'Single Project Assumptions'!$D$39</f>
        <v>0.15</v>
      </c>
      <c r="CF28" s="78">
        <f>(CF27*12)/'Single Project Assumptions'!$D$39</f>
        <v>0.15</v>
      </c>
      <c r="CG28" s="78">
        <f>(CG27*12)/'Single Project Assumptions'!$D$39</f>
        <v>0.15</v>
      </c>
      <c r="CH28" s="78">
        <f>(CH27*12)/'Single Project Assumptions'!$D$39</f>
        <v>0.15</v>
      </c>
      <c r="CI28" s="78">
        <f>(CI27*12)/'Single Project Assumptions'!$D$39</f>
        <v>0.15</v>
      </c>
      <c r="CJ28" s="78">
        <f>(CJ27*12)/'Single Project Assumptions'!$D$39</f>
        <v>0.15</v>
      </c>
      <c r="CK28" s="78">
        <f>(CK27*12)/'Single Project Assumptions'!$D$39</f>
        <v>0.15</v>
      </c>
      <c r="CL28" s="78">
        <f>(CL27*12)/'Single Project Assumptions'!$D$39</f>
        <v>0.15</v>
      </c>
      <c r="CM28" s="78">
        <f>(CM27*12)/'Single Project Assumptions'!$D$39</f>
        <v>0.15</v>
      </c>
      <c r="CN28" s="78">
        <f>(CN27*12)/'Single Project Assumptions'!$D$39</f>
        <v>0.15</v>
      </c>
      <c r="CO28" s="78">
        <f>(CO27*12)/'Single Project Assumptions'!$D$39</f>
        <v>0.15</v>
      </c>
      <c r="CP28" s="78">
        <f>(CP27*12)/'Single Project Assumptions'!$D$39</f>
        <v>0.15</v>
      </c>
      <c r="CQ28" s="78">
        <f>(CQ27*12)/'Single Project Assumptions'!$D$39</f>
        <v>0.15</v>
      </c>
      <c r="CR28" s="78">
        <f>(CR27*12)/'Single Project Assumptions'!$D$39</f>
        <v>0.15</v>
      </c>
      <c r="CS28" s="78">
        <f>(CS27*12)/'Single Project Assumptions'!$D$39</f>
        <v>0.15</v>
      </c>
      <c r="CT28" s="78">
        <f>(CT27*12)/'Single Project Assumptions'!$D$39</f>
        <v>0.15</v>
      </c>
      <c r="CU28" s="78">
        <f>(CU27*12)/'Single Project Assumptions'!$D$39</f>
        <v>0.15</v>
      </c>
      <c r="CV28" s="78">
        <f>(CV27*12)/'Single Project Assumptions'!$D$39</f>
        <v>0.15</v>
      </c>
      <c r="CW28" s="78">
        <f>(CW27*12)/'Single Project Assumptions'!$D$39</f>
        <v>0.15</v>
      </c>
      <c r="CX28" s="78">
        <f>(CX27*12)/'Single Project Assumptions'!$D$39</f>
        <v>0.15</v>
      </c>
      <c r="CY28" s="78">
        <f>(CY27*12)/'Single Project Assumptions'!$D$39</f>
        <v>0.15</v>
      </c>
      <c r="CZ28" s="78">
        <f>(CZ27*12)/'Single Project Assumptions'!$D$39</f>
        <v>0.15</v>
      </c>
      <c r="DA28" s="78">
        <f>(DA27*12)/'Single Project Assumptions'!$D$39</f>
        <v>0.15</v>
      </c>
      <c r="DB28" s="78">
        <f>(DB27*12)/'Single Project Assumptions'!$D$39</f>
        <v>0.15</v>
      </c>
      <c r="DC28" s="78">
        <f>(DC27*12)/'Single Project Assumptions'!$D$39</f>
        <v>0.15</v>
      </c>
      <c r="DD28" s="78">
        <f>(DD27*12)/'Single Project Assumptions'!$D$39</f>
        <v>0.15</v>
      </c>
      <c r="DE28" s="78">
        <f>(DE27*12)/'Single Project Assumptions'!$D$39</f>
        <v>0.15</v>
      </c>
      <c r="DF28" s="78">
        <f>(DF27*12)/'Single Project Assumptions'!$D$39</f>
        <v>0.15</v>
      </c>
      <c r="DG28" s="78">
        <f>(DG27*12)/'Single Project Assumptions'!$D$39</f>
        <v>0.15</v>
      </c>
      <c r="DH28" s="78">
        <f>(DH27*12)/'Single Project Assumptions'!$D$39</f>
        <v>0.15</v>
      </c>
      <c r="DI28" s="78">
        <f>(DI27*12)/'Single Project Assumptions'!$D$39</f>
        <v>0.15</v>
      </c>
      <c r="DJ28" s="78">
        <f>(DJ27*12)/'Single Project Assumptions'!$D$39</f>
        <v>0.15</v>
      </c>
      <c r="DK28" s="78">
        <f>(DK27*12)/'Single Project Assumptions'!$D$39</f>
        <v>0.15</v>
      </c>
      <c r="DL28" s="78">
        <f>(DL27*12)/'Single Project Assumptions'!$D$39</f>
        <v>0</v>
      </c>
      <c r="DM28" s="78">
        <f>(DM27*12)/'Single Project Assumptions'!$D$39</f>
        <v>0</v>
      </c>
      <c r="DN28" s="78">
        <f>(DN27*12)/'Single Project Assumptions'!$D$39</f>
        <v>0</v>
      </c>
      <c r="DO28" s="78">
        <f>(DO27*12)/'Single Project Assumptions'!$D$39</f>
        <v>0</v>
      </c>
      <c r="DP28" s="78">
        <f>(DP27*12)/'Single Project Assumptions'!$D$39</f>
        <v>0</v>
      </c>
      <c r="DQ28" s="78">
        <f>(DQ27*12)/'Single Project Assumptions'!$D$39</f>
        <v>0</v>
      </c>
      <c r="DR28" s="78">
        <f>(DR27*12)/'Single Project Assumptions'!$D$39</f>
        <v>0</v>
      </c>
      <c r="DS28" s="78">
        <f>(DS27*12)/'Single Project Assumptions'!$D$39</f>
        <v>0</v>
      </c>
      <c r="DT28" s="78">
        <f>(DT27*12)/'Single Project Assumptions'!$D$39</f>
        <v>0</v>
      </c>
      <c r="DU28" s="78">
        <f>(DU27*12)/'Single Project Assumptions'!$D$39</f>
        <v>0</v>
      </c>
    </row>
    <row r="29" spans="3:125" s="3" customFormat="1" ht="22.95" customHeight="1">
      <c r="C29" s="31"/>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5"/>
      <c r="BA29" s="75"/>
      <c r="BB29" s="75"/>
      <c r="BC29" s="75"/>
      <c r="BD29" s="75"/>
      <c r="BE29" s="75"/>
      <c r="BF29" s="75"/>
      <c r="BG29" s="75"/>
      <c r="BH29" s="75"/>
      <c r="BI29" s="75"/>
      <c r="BJ29" s="75"/>
      <c r="BK29" s="75"/>
      <c r="BL29" s="75"/>
      <c r="BM29" s="75"/>
      <c r="BN29" s="75"/>
      <c r="BO29" s="75"/>
      <c r="BP29" s="75"/>
      <c r="BQ29" s="75"/>
      <c r="BR29" s="75"/>
      <c r="BS29" s="75"/>
      <c r="BT29" s="75"/>
      <c r="BU29" s="75"/>
      <c r="BV29" s="75"/>
      <c r="BW29" s="75"/>
      <c r="BX29" s="75"/>
      <c r="BY29" s="75"/>
      <c r="BZ29" s="75"/>
      <c r="CA29" s="75"/>
      <c r="CB29" s="75"/>
      <c r="CC29" s="75"/>
      <c r="CD29" s="75"/>
      <c r="CE29" s="75"/>
      <c r="CF29" s="75"/>
      <c r="CG29" s="75"/>
      <c r="CH29" s="75"/>
      <c r="CI29" s="75"/>
      <c r="CJ29" s="75"/>
      <c r="CK29" s="75"/>
      <c r="CL29" s="75"/>
      <c r="CM29" s="75"/>
      <c r="CN29" s="75"/>
      <c r="CO29" s="75"/>
      <c r="CP29" s="75"/>
      <c r="CQ29" s="75"/>
      <c r="CR29" s="75"/>
      <c r="CS29" s="75"/>
      <c r="CT29" s="75"/>
      <c r="CU29" s="75"/>
      <c r="CV29" s="75"/>
      <c r="CW29" s="75"/>
      <c r="CX29" s="75"/>
      <c r="CY29" s="75"/>
      <c r="CZ29" s="75"/>
      <c r="DA29" s="75"/>
      <c r="DB29" s="75"/>
      <c r="DC29" s="75"/>
      <c r="DD29" s="75"/>
      <c r="DE29" s="75"/>
      <c r="DF29" s="75"/>
      <c r="DG29" s="75"/>
      <c r="DH29" s="75"/>
      <c r="DI29" s="75"/>
      <c r="DJ29" s="75"/>
      <c r="DK29" s="75"/>
      <c r="DL29" s="75"/>
      <c r="DM29" s="75"/>
      <c r="DN29" s="75"/>
      <c r="DO29" s="75"/>
      <c r="DP29" s="75"/>
      <c r="DQ29" s="75"/>
      <c r="DR29" s="75"/>
      <c r="DS29" s="75"/>
      <c r="DT29" s="75"/>
      <c r="DU29" s="75"/>
    </row>
    <row r="30" spans="3:125" s="3" customFormat="1" ht="22.95" customHeight="1">
      <c r="C30" s="31"/>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5"/>
      <c r="BD30" s="75"/>
      <c r="BE30" s="75"/>
      <c r="BF30" s="75"/>
      <c r="BG30" s="75"/>
      <c r="BH30" s="75"/>
      <c r="BI30" s="75"/>
      <c r="BJ30" s="75"/>
      <c r="BK30" s="75"/>
      <c r="BL30" s="75"/>
      <c r="BM30" s="75"/>
      <c r="BN30" s="75"/>
      <c r="BO30" s="75"/>
      <c r="BP30" s="75"/>
      <c r="BQ30" s="75"/>
      <c r="BR30" s="75"/>
      <c r="BS30" s="75"/>
      <c r="BT30" s="75"/>
      <c r="BU30" s="75"/>
      <c r="BV30" s="75"/>
      <c r="BW30" s="75"/>
      <c r="BX30" s="75"/>
      <c r="BY30" s="75"/>
      <c r="BZ30" s="75"/>
      <c r="CA30" s="75"/>
      <c r="CB30" s="75"/>
      <c r="CC30" s="75"/>
      <c r="CD30" s="75"/>
      <c r="CE30" s="75"/>
      <c r="CF30" s="75"/>
      <c r="CG30" s="75"/>
      <c r="CH30" s="75"/>
      <c r="CI30" s="75"/>
      <c r="CJ30" s="75"/>
      <c r="CK30" s="75"/>
      <c r="CL30" s="75"/>
      <c r="CM30" s="75"/>
      <c r="CN30" s="75"/>
      <c r="CO30" s="75"/>
      <c r="CP30" s="75"/>
      <c r="CQ30" s="75"/>
      <c r="CR30" s="75"/>
      <c r="CS30" s="75"/>
      <c r="CT30" s="75"/>
      <c r="CU30" s="75"/>
      <c r="CV30" s="75"/>
      <c r="CW30" s="75"/>
      <c r="CX30" s="75"/>
      <c r="CY30" s="75"/>
      <c r="CZ30" s="75"/>
      <c r="DA30" s="75"/>
      <c r="DB30" s="75"/>
      <c r="DC30" s="75"/>
      <c r="DD30" s="75"/>
      <c r="DE30" s="75"/>
      <c r="DF30" s="75"/>
      <c r="DG30" s="75"/>
      <c r="DH30" s="75"/>
      <c r="DI30" s="75"/>
      <c r="DJ30" s="75"/>
      <c r="DK30" s="75"/>
      <c r="DL30" s="75"/>
      <c r="DM30" s="75"/>
      <c r="DN30" s="75"/>
      <c r="DO30" s="75"/>
      <c r="DP30" s="75"/>
      <c r="DQ30" s="75"/>
      <c r="DR30" s="75"/>
      <c r="DS30" s="75"/>
      <c r="DT30" s="75"/>
      <c r="DU30" s="75"/>
    </row>
    <row r="31" spans="3:125" s="3" customFormat="1" ht="22.95" customHeight="1">
      <c r="C31" s="31"/>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5"/>
      <c r="BD31" s="75"/>
      <c r="BE31" s="75"/>
      <c r="BF31" s="75"/>
      <c r="BG31" s="75"/>
      <c r="BH31" s="75"/>
      <c r="BI31" s="75"/>
      <c r="BJ31" s="75"/>
      <c r="BK31" s="75"/>
      <c r="BL31" s="75"/>
      <c r="BM31" s="75"/>
      <c r="BN31" s="75"/>
      <c r="BO31" s="75"/>
      <c r="BP31" s="75"/>
      <c r="BQ31" s="75"/>
      <c r="BR31" s="75"/>
      <c r="BS31" s="75"/>
      <c r="BT31" s="75"/>
      <c r="BU31" s="75"/>
      <c r="BV31" s="75"/>
      <c r="BW31" s="75"/>
      <c r="BX31" s="75"/>
      <c r="BY31" s="75"/>
      <c r="BZ31" s="75"/>
      <c r="CA31" s="75"/>
      <c r="CB31" s="75"/>
      <c r="CC31" s="75"/>
      <c r="CD31" s="75"/>
      <c r="CE31" s="75"/>
      <c r="CF31" s="75"/>
      <c r="CG31" s="75"/>
      <c r="CH31" s="75"/>
      <c r="CI31" s="75"/>
      <c r="CJ31" s="75"/>
      <c r="CK31" s="75"/>
      <c r="CL31" s="75"/>
      <c r="CM31" s="75"/>
      <c r="CN31" s="75"/>
      <c r="CO31" s="75"/>
      <c r="CP31" s="75"/>
      <c r="CQ31" s="75"/>
      <c r="CR31" s="75"/>
      <c r="CS31" s="75"/>
      <c r="CT31" s="75"/>
      <c r="CU31" s="75"/>
      <c r="CV31" s="75"/>
      <c r="CW31" s="75"/>
      <c r="CX31" s="75"/>
      <c r="CY31" s="75"/>
      <c r="CZ31" s="75"/>
      <c r="DA31" s="75"/>
      <c r="DB31" s="75"/>
      <c r="DC31" s="75"/>
      <c r="DD31" s="75"/>
      <c r="DE31" s="75"/>
      <c r="DF31" s="75"/>
      <c r="DG31" s="75"/>
      <c r="DH31" s="75"/>
      <c r="DI31" s="75"/>
      <c r="DJ31" s="75"/>
      <c r="DK31" s="75"/>
      <c r="DL31" s="75"/>
      <c r="DM31" s="75"/>
      <c r="DN31" s="75"/>
      <c r="DO31" s="75"/>
      <c r="DP31" s="75"/>
      <c r="DQ31" s="75"/>
      <c r="DR31" s="75"/>
      <c r="DS31" s="75"/>
      <c r="DT31" s="75"/>
      <c r="DU31" s="75"/>
    </row>
    <row r="32" spans="3:125" s="3" customFormat="1" ht="22.95" customHeight="1">
      <c r="C32" s="31"/>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c r="BB32" s="75"/>
      <c r="BC32" s="75"/>
      <c r="BD32" s="75"/>
      <c r="BE32" s="75"/>
      <c r="BF32" s="75"/>
      <c r="BG32" s="75"/>
      <c r="BH32" s="75"/>
      <c r="BI32" s="75"/>
      <c r="BJ32" s="75"/>
      <c r="BK32" s="75"/>
      <c r="BL32" s="75"/>
      <c r="BM32" s="75"/>
      <c r="BN32" s="75"/>
      <c r="BO32" s="75"/>
      <c r="BP32" s="75"/>
      <c r="BQ32" s="75"/>
      <c r="BR32" s="75"/>
      <c r="BS32" s="75"/>
      <c r="BT32" s="75"/>
      <c r="BU32" s="75"/>
      <c r="BV32" s="75"/>
      <c r="BW32" s="75"/>
      <c r="BX32" s="75"/>
      <c r="BY32" s="75"/>
      <c r="BZ32" s="75"/>
      <c r="CA32" s="75"/>
      <c r="CB32" s="75"/>
      <c r="CC32" s="75"/>
      <c r="CD32" s="75"/>
      <c r="CE32" s="75"/>
      <c r="CF32" s="75"/>
      <c r="CG32" s="75"/>
      <c r="CH32" s="75"/>
      <c r="CI32" s="75"/>
      <c r="CJ32" s="75"/>
      <c r="CK32" s="75"/>
      <c r="CL32" s="75"/>
      <c r="CM32" s="75"/>
      <c r="CN32" s="75"/>
      <c r="CO32" s="75"/>
      <c r="CP32" s="75"/>
      <c r="CQ32" s="75"/>
      <c r="CR32" s="75"/>
      <c r="CS32" s="75"/>
      <c r="CT32" s="75"/>
      <c r="CU32" s="75"/>
      <c r="CV32" s="75"/>
      <c r="CW32" s="75"/>
      <c r="CX32" s="75"/>
      <c r="CY32" s="75"/>
      <c r="CZ32" s="75"/>
      <c r="DA32" s="75"/>
      <c r="DB32" s="75"/>
      <c r="DC32" s="75"/>
      <c r="DD32" s="75"/>
      <c r="DE32" s="75"/>
      <c r="DF32" s="75"/>
      <c r="DG32" s="75"/>
      <c r="DH32" s="75"/>
      <c r="DI32" s="75"/>
      <c r="DJ32" s="75"/>
      <c r="DK32" s="75"/>
      <c r="DL32" s="75"/>
      <c r="DM32" s="75"/>
      <c r="DN32" s="75"/>
      <c r="DO32" s="75"/>
      <c r="DP32" s="75"/>
      <c r="DQ32" s="75"/>
      <c r="DR32" s="75"/>
      <c r="DS32" s="75"/>
      <c r="DT32" s="75"/>
      <c r="DU32" s="75"/>
    </row>
    <row r="33" s="3" customFormat="1" ht="22.95" customHeight="1"/>
    <row r="34" s="3" customFormat="1" ht="22.95" customHeight="1"/>
    <row r="35" s="3" customFormat="1" ht="22.95" customHeight="1"/>
    <row r="36" s="3" customFormat="1" ht="22.95" customHeight="1"/>
    <row r="37" s="3" customFormat="1" ht="22.95" customHeight="1"/>
    <row r="38" s="3" customFormat="1" ht="22.95" customHeight="1"/>
    <row r="39" s="3" customFormat="1" ht="22.95" customHeight="1"/>
    <row r="40" s="3" customFormat="1" ht="22.95" customHeight="1"/>
    <row r="41" s="3" customFormat="1" ht="22.95" customHeight="1"/>
    <row r="42" s="3" customFormat="1" ht="22.95" customHeight="1"/>
    <row r="43" s="3" customFormat="1" ht="22.95" customHeight="1"/>
    <row r="44" s="3" customFormat="1" ht="22.95" customHeight="1"/>
    <row r="45" s="3" customFormat="1" ht="22.95" customHeight="1"/>
    <row r="46" s="3" customFormat="1" ht="22.95" customHeight="1"/>
    <row r="47" s="3" customFormat="1" ht="22.95" customHeight="1"/>
    <row r="48" s="3" customFormat="1" ht="22.95" customHeight="1"/>
    <row r="49" s="3" customFormat="1" ht="22.95" customHeight="1"/>
    <row r="50" s="3" customFormat="1" ht="22.95" customHeight="1"/>
    <row r="51" s="3" customFormat="1" ht="22.95" customHeight="1"/>
    <row r="52" s="3" customFormat="1" ht="22.95" customHeight="1"/>
    <row r="53" s="3" customFormat="1" ht="22.95" customHeight="1"/>
    <row r="54" s="3" customFormat="1" ht="22.95" customHeight="1"/>
    <row r="55" s="3" customFormat="1" ht="22.95" customHeight="1"/>
    <row r="56" s="3" customFormat="1" ht="22.95" customHeight="1"/>
    <row r="57" s="3" customFormat="1" ht="22.95" customHeight="1"/>
    <row r="58" s="3" customFormat="1" ht="22.95" customHeight="1"/>
    <row r="59" s="3" customFormat="1" ht="22.95" customHeight="1"/>
    <row r="60" s="3" customFormat="1" ht="22.95" customHeight="1"/>
    <row r="61" s="3" customFormat="1" ht="22.95" customHeight="1"/>
    <row r="62" s="3" customFormat="1" ht="22.95" customHeight="1"/>
    <row r="63" s="3" customFormat="1" ht="22.95" customHeight="1"/>
    <row r="64" s="3" customFormat="1" ht="22.95" customHeight="1"/>
    <row r="65" s="3" customFormat="1" ht="22.95" customHeight="1"/>
    <row r="66" s="3" customFormat="1" ht="22.95" customHeight="1"/>
    <row r="67" s="3" customFormat="1" ht="22.95" customHeight="1"/>
    <row r="68" s="3" customFormat="1" ht="22.95" customHeight="1"/>
    <row r="69" s="3" customFormat="1" ht="22.95" customHeight="1"/>
    <row r="70" s="3" customFormat="1" ht="22.95" customHeight="1"/>
    <row r="71" s="3" customFormat="1" ht="22.95" customHeight="1"/>
    <row r="72" s="3" customFormat="1" ht="22.95" customHeight="1"/>
    <row r="73" s="3" customFormat="1" ht="22.95" customHeight="1"/>
    <row r="74" s="3" customFormat="1" ht="22.95" customHeight="1"/>
    <row r="75" s="3" customFormat="1" ht="22.95" customHeight="1"/>
    <row r="76" s="3" customFormat="1" ht="22.95" customHeight="1"/>
    <row r="77" s="3" customFormat="1" ht="22.95" customHeight="1"/>
    <row r="78" s="3" customFormat="1" ht="22.95" customHeight="1"/>
    <row r="79" s="3" customFormat="1" ht="22.95" customHeight="1"/>
    <row r="80" s="3" customFormat="1" ht="22.95" customHeight="1"/>
    <row r="81" s="3" customFormat="1" ht="22.95" customHeight="1"/>
    <row r="82" s="3" customFormat="1" ht="22.95" customHeight="1"/>
    <row r="83" s="3" customFormat="1" ht="22.95" customHeight="1"/>
    <row r="84" s="3" customFormat="1" ht="22.95" customHeight="1"/>
    <row r="85" s="3" customFormat="1" ht="22.95" customHeight="1"/>
    <row r="86" s="3" customFormat="1" ht="22.95" customHeight="1"/>
    <row r="87" s="3" customFormat="1" ht="22.95" customHeight="1"/>
    <row r="88" s="3" customFormat="1" ht="22.95" customHeight="1"/>
    <row r="89" s="3" customFormat="1" ht="22.95" customHeight="1"/>
    <row r="90" s="3" customFormat="1" ht="22.95" customHeight="1"/>
    <row r="91" s="3" customFormat="1" ht="22.95" customHeight="1"/>
    <row r="92" s="3" customFormat="1" ht="22.95" customHeight="1"/>
    <row r="93" s="3" customFormat="1" ht="22.95" customHeight="1"/>
    <row r="94" s="3" customFormat="1" ht="22.95" customHeight="1"/>
    <row r="95" s="3" customFormat="1" ht="22.95" customHeight="1"/>
    <row r="96" s="3" customFormat="1" ht="22.95" customHeight="1"/>
    <row r="97" s="3" customFormat="1" ht="22.95" customHeight="1"/>
    <row r="98" s="3" customFormat="1" ht="22.95" customHeight="1"/>
    <row r="99" s="3" customFormat="1" ht="22.95" customHeight="1"/>
    <row r="100" s="3" customFormat="1" ht="22.95" customHeight="1"/>
    <row r="101" s="3" customFormat="1" ht="22.95" customHeight="1"/>
    <row r="102" s="3" customFormat="1" ht="22.95" customHeight="1"/>
    <row r="103" s="3" customFormat="1" ht="22.95" customHeight="1"/>
    <row r="104" s="3" customFormat="1" ht="22.95" customHeight="1"/>
    <row r="105" s="3" customFormat="1" ht="22.95" customHeight="1"/>
    <row r="106" s="3" customFormat="1" ht="22.95" customHeight="1"/>
    <row r="107" s="3" customFormat="1" ht="22.95" customHeight="1"/>
    <row r="108" s="3" customFormat="1" ht="22.95" customHeight="1"/>
    <row r="109" s="3" customFormat="1" ht="22.95" customHeight="1"/>
    <row r="110" s="3" customFormat="1" ht="22.95" customHeight="1"/>
    <row r="111" s="3" customFormat="1" ht="22.95" customHeight="1"/>
    <row r="112" s="3" customFormat="1" ht="22.95" customHeight="1"/>
    <row r="113" s="3" customFormat="1" ht="22.95" customHeight="1"/>
    <row r="114" s="3" customFormat="1" ht="22.95" customHeight="1"/>
    <row r="115" s="3" customFormat="1" ht="22.95" customHeight="1"/>
    <row r="116" s="3" customFormat="1" ht="22.95" customHeight="1"/>
    <row r="117" s="3" customFormat="1" ht="22.95" customHeight="1"/>
    <row r="118" s="3" customFormat="1" ht="22.95" customHeight="1"/>
    <row r="119" s="3" customFormat="1" ht="22.95" customHeight="1"/>
    <row r="120" s="3" customFormat="1" ht="22.95" customHeight="1"/>
    <row r="121" s="3" customFormat="1" ht="22.95" customHeight="1"/>
    <row r="122" s="3" customFormat="1" ht="22.95" customHeight="1"/>
    <row r="123" s="3" customFormat="1" ht="22.95" customHeight="1"/>
    <row r="124" s="3" customFormat="1" ht="22.95" customHeight="1"/>
    <row r="125" s="3" customFormat="1" ht="22.95" customHeight="1"/>
    <row r="126" s="3" customFormat="1" ht="22.95" customHeight="1"/>
    <row r="127" s="3" customFormat="1" ht="22.95" customHeight="1"/>
    <row r="128" s="3" customFormat="1" ht="22.95" customHeight="1"/>
    <row r="129" s="3" customFormat="1" ht="22.95" customHeight="1"/>
    <row r="130" s="3" customFormat="1" ht="22.95" customHeight="1"/>
    <row r="131" s="3" customFormat="1" ht="22.95" customHeight="1"/>
    <row r="132" s="3" customFormat="1" ht="22.95" customHeight="1"/>
    <row r="133" s="3" customFormat="1" ht="22.95" customHeight="1"/>
    <row r="134" s="3" customFormat="1" ht="22.95" customHeight="1"/>
    <row r="135" s="3" customFormat="1" ht="22.95" customHeight="1"/>
    <row r="136" s="3" customFormat="1" ht="22.95" customHeight="1"/>
    <row r="137" s="3" customFormat="1" ht="22.95" customHeight="1"/>
    <row r="138" s="3" customFormat="1" ht="22.95" customHeight="1"/>
    <row r="139" s="3" customFormat="1" ht="22.95" customHeight="1"/>
    <row r="140" s="3" customFormat="1" ht="22.95" customHeight="1"/>
    <row r="141" s="3" customFormat="1" ht="22.95" customHeight="1"/>
    <row r="142" s="3" customFormat="1" ht="22.95" customHeight="1"/>
    <row r="143" s="3" customFormat="1" ht="22.95" customHeight="1"/>
    <row r="144" s="3" customFormat="1" ht="22.95" customHeight="1"/>
    <row r="145" s="3" customFormat="1" ht="22.95" customHeight="1"/>
    <row r="146" s="3" customFormat="1" ht="22.95" customHeight="1"/>
    <row r="147" s="3" customFormat="1" ht="22.95" customHeight="1"/>
    <row r="148" s="3" customFormat="1" ht="22.95" customHeight="1"/>
    <row r="149" s="3" customFormat="1" ht="22.95" customHeight="1"/>
    <row r="150" s="3" customFormat="1" ht="22.95" customHeight="1"/>
    <row r="151" s="3" customFormat="1" ht="22.95" customHeight="1"/>
    <row r="152" s="3" customFormat="1" ht="22.95" customHeight="1"/>
    <row r="153" s="3" customFormat="1" ht="22.95" customHeight="1"/>
    <row r="154" s="3" customFormat="1" ht="22.95" customHeight="1"/>
    <row r="155" s="3" customFormat="1" ht="22.95" customHeight="1"/>
    <row r="156" s="3" customFormat="1" ht="22.95" customHeight="1"/>
    <row r="157" s="3" customFormat="1" ht="22.95" customHeight="1"/>
    <row r="158" s="3" customFormat="1" ht="22.95" customHeight="1"/>
    <row r="159" s="3" customFormat="1" ht="22.95" customHeight="1"/>
    <row r="160" s="3" customFormat="1" ht="22.95" customHeight="1"/>
    <row r="161" s="3" customFormat="1" ht="22.95" customHeight="1"/>
    <row r="162" s="3" customFormat="1" ht="22.95" customHeight="1"/>
    <row r="163" s="3" customFormat="1" ht="22.95" customHeight="1"/>
    <row r="164" s="3" customFormat="1" ht="22.95" customHeight="1"/>
    <row r="165" s="3" customFormat="1" ht="22.95" customHeight="1"/>
    <row r="166" s="3" customFormat="1" ht="22.95" customHeight="1"/>
    <row r="167" s="3" customFormat="1" ht="22.95" customHeight="1"/>
    <row r="168" s="3" customFormat="1" ht="22.95" customHeight="1"/>
    <row r="169" s="3" customFormat="1" ht="22.95" customHeight="1"/>
    <row r="170" s="3" customFormat="1" ht="22.95" customHeight="1"/>
    <row r="171" s="3" customFormat="1" ht="22.95" customHeight="1"/>
    <row r="172" s="3" customFormat="1" ht="22.95" customHeight="1"/>
    <row r="173" s="3" customFormat="1" ht="22.95" customHeight="1"/>
    <row r="174" s="3" customFormat="1" ht="22.95" customHeight="1"/>
    <row r="175" s="3" customFormat="1" ht="22.95" customHeight="1"/>
    <row r="176" s="3" customFormat="1" ht="22.95" customHeight="1"/>
    <row r="177" s="3" customFormat="1" ht="22.95" customHeight="1"/>
    <row r="178" s="3" customFormat="1" ht="22.95" customHeight="1"/>
    <row r="179" s="3" customFormat="1" ht="22.95" customHeight="1"/>
    <row r="180" s="3" customFormat="1" ht="22.95" customHeight="1"/>
    <row r="181" s="3" customFormat="1" ht="22.95" customHeight="1"/>
    <row r="182" s="3" customFormat="1" ht="22.95" customHeight="1"/>
    <row r="183" s="3" customFormat="1" ht="22.95" customHeight="1"/>
    <row r="184" s="3" customFormat="1" ht="22.95" customHeight="1"/>
    <row r="185" s="3" customFormat="1" ht="22.95" customHeight="1"/>
    <row r="186" s="3" customFormat="1" ht="22.95" customHeight="1"/>
    <row r="187" s="3" customFormat="1" ht="22.95" customHeight="1"/>
    <row r="188" s="3" customFormat="1" ht="22.95" customHeight="1"/>
    <row r="189" s="3" customFormat="1" ht="22.95" customHeight="1"/>
    <row r="190" s="3" customFormat="1" ht="22.95" customHeight="1"/>
    <row r="191" s="3" customFormat="1" ht="22.95" customHeight="1"/>
    <row r="192" s="3" customFormat="1" ht="22.95" customHeight="1"/>
    <row r="193" s="3" customFormat="1" ht="22.95" customHeight="1"/>
    <row r="194" s="3" customFormat="1" ht="22.95" customHeight="1"/>
    <row r="195" s="3" customFormat="1" ht="22.95" customHeight="1"/>
    <row r="196" s="3" customFormat="1" ht="22.95" customHeight="1"/>
    <row r="197" s="3" customFormat="1" ht="22.95" customHeight="1"/>
    <row r="198" s="3" customFormat="1" ht="22.95" customHeight="1"/>
    <row r="199" s="3" customFormat="1" ht="22.95" customHeight="1"/>
    <row r="200" s="3" customFormat="1" ht="22.95" customHeight="1"/>
    <row r="201" s="3" customFormat="1" ht="22.95" customHeight="1"/>
    <row r="202" s="3" customFormat="1" ht="22.95" customHeight="1"/>
    <row r="203" s="3" customFormat="1" ht="22.95" customHeight="1"/>
    <row r="204" s="3" customFormat="1" ht="22.95" customHeight="1"/>
    <row r="205" s="3" customFormat="1" ht="22.95" customHeight="1"/>
    <row r="206" s="3" customFormat="1" ht="22.95" customHeight="1"/>
    <row r="207" s="3" customFormat="1" ht="22.95" customHeight="1"/>
    <row r="208" s="3" customFormat="1" ht="22.95" customHeight="1"/>
    <row r="209" s="3" customFormat="1" ht="22.95" customHeight="1"/>
    <row r="210" s="3" customFormat="1" ht="22.95" customHeight="1"/>
    <row r="211" s="3" customFormat="1" ht="22.95" customHeight="1"/>
    <row r="212" s="3" customFormat="1" ht="22.95" customHeight="1"/>
    <row r="213" s="3" customFormat="1" ht="22.95" customHeight="1"/>
    <row r="214" s="3" customFormat="1" ht="22.95" customHeight="1"/>
    <row r="215" s="3" customFormat="1" ht="22.95" customHeight="1"/>
    <row r="216" s="3" customFormat="1" ht="22.95" customHeight="1"/>
    <row r="217" s="3" customFormat="1" ht="22.95" customHeight="1"/>
    <row r="218" s="3" customFormat="1" ht="22.95" customHeight="1"/>
    <row r="219" s="3" customFormat="1" ht="22.95" customHeight="1"/>
    <row r="220" s="3" customFormat="1" ht="22.95" customHeight="1"/>
    <row r="221" s="3" customFormat="1" ht="22.95" customHeight="1"/>
    <row r="222" s="3" customFormat="1" ht="22.95" customHeight="1"/>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R154"/>
  <sheetViews>
    <sheetView topLeftCell="A67" workbookViewId="0">
      <selection sqref="A1:H1"/>
    </sheetView>
  </sheetViews>
  <sheetFormatPr baseColWidth="10" defaultColWidth="8.796875" defaultRowHeight="15.6"/>
  <cols>
    <col min="1" max="1" width="18" customWidth="1"/>
    <col min="2" max="2" width="14" customWidth="1"/>
    <col min="3" max="3" width="12" customWidth="1"/>
  </cols>
  <sheetData>
    <row r="1" spans="1:122">
      <c r="A1" s="244" t="s">
        <v>301</v>
      </c>
      <c r="B1" s="198"/>
      <c r="C1" s="198"/>
      <c r="D1" s="198"/>
      <c r="E1" s="198"/>
      <c r="F1" s="198"/>
      <c r="G1" s="198"/>
      <c r="H1" s="198"/>
    </row>
    <row r="3" spans="1:122">
      <c r="A3" s="139" t="s">
        <v>302</v>
      </c>
      <c r="B3" s="140" t="s">
        <v>303</v>
      </c>
      <c r="C3" s="141">
        <f>'Development Phase'!E4</f>
        <v>46387</v>
      </c>
      <c r="D3" s="141">
        <f>'Development Phase'!F4</f>
        <v>46418</v>
      </c>
      <c r="E3" s="141">
        <f>'Development Phase'!G4</f>
        <v>46446</v>
      </c>
      <c r="F3" s="141">
        <f>'Development Phase'!H4</f>
        <v>46477</v>
      </c>
      <c r="G3" s="141">
        <f>'Development Phase'!I4</f>
        <v>46507</v>
      </c>
      <c r="H3" s="141">
        <f>'Development Phase'!J4</f>
        <v>46538</v>
      </c>
      <c r="I3" s="141">
        <f>'Development Phase'!K4</f>
        <v>46568</v>
      </c>
      <c r="J3" s="141">
        <f>'Development Phase'!L4</f>
        <v>46599</v>
      </c>
      <c r="K3" s="141">
        <f>'Development Phase'!M4</f>
        <v>46630</v>
      </c>
      <c r="L3" s="141">
        <f>'Development Phase'!N4</f>
        <v>46660</v>
      </c>
      <c r="M3" s="141">
        <f>'Development Phase'!O4</f>
        <v>46691</v>
      </c>
      <c r="N3" s="141">
        <f>'Development Phase'!P4</f>
        <v>46721</v>
      </c>
      <c r="O3" s="141">
        <f>'Development Phase'!Q4</f>
        <v>46752</v>
      </c>
      <c r="P3" s="141">
        <f>'Development Phase'!R4</f>
        <v>46783</v>
      </c>
      <c r="Q3" s="141">
        <f>'Development Phase'!S4</f>
        <v>46812</v>
      </c>
      <c r="R3" s="141">
        <f>'Development Phase'!T4</f>
        <v>46843</v>
      </c>
      <c r="S3" s="141">
        <f>'Development Phase'!U4</f>
        <v>46873</v>
      </c>
      <c r="T3" s="141">
        <f>'Development Phase'!V4</f>
        <v>46904</v>
      </c>
      <c r="U3" s="141">
        <f>'Development Phase'!W4</f>
        <v>46934</v>
      </c>
      <c r="V3" s="141">
        <f>'Development Phase'!X4</f>
        <v>46965</v>
      </c>
      <c r="W3" s="141">
        <f>'Development Phase'!Y4</f>
        <v>46996</v>
      </c>
      <c r="X3" s="141">
        <f>'Development Phase'!Z4</f>
        <v>47026</v>
      </c>
      <c r="Y3" s="141">
        <f>'Development Phase'!AA4</f>
        <v>47057</v>
      </c>
      <c r="Z3" s="141">
        <f>'Development Phase'!AB4</f>
        <v>47087</v>
      </c>
      <c r="AA3" s="141">
        <f>'Development Phase'!AC4</f>
        <v>47118</v>
      </c>
      <c r="AB3" s="141">
        <f>'Development Phase'!AD4</f>
        <v>47149</v>
      </c>
      <c r="AC3" s="141">
        <f>'Development Phase'!AE4</f>
        <v>47177</v>
      </c>
      <c r="AD3" s="141">
        <f>'Development Phase'!AF4</f>
        <v>47208</v>
      </c>
      <c r="AE3" s="141">
        <f>'Development Phase'!AG4</f>
        <v>47238</v>
      </c>
      <c r="AF3" s="141">
        <f>'Development Phase'!AH4</f>
        <v>47269</v>
      </c>
      <c r="AG3" s="141">
        <f>'Development Phase'!AI4</f>
        <v>47299</v>
      </c>
      <c r="AH3" s="141">
        <f>'Development Phase'!AJ4</f>
        <v>47330</v>
      </c>
      <c r="AI3" s="141">
        <f>'Development Phase'!AK4</f>
        <v>47361</v>
      </c>
      <c r="AJ3" s="141">
        <f>'Development Phase'!AL4</f>
        <v>47391</v>
      </c>
      <c r="AK3" s="141">
        <f>'Development Phase'!AM4</f>
        <v>47422</v>
      </c>
      <c r="AL3" s="141">
        <f>'Development Phase'!AN4</f>
        <v>47452</v>
      </c>
      <c r="AM3" s="141">
        <f>'Development Phase'!AO4</f>
        <v>47483</v>
      </c>
      <c r="AN3" s="141">
        <f>'Development Phase'!AP4</f>
        <v>47514</v>
      </c>
      <c r="AO3" s="141">
        <f>'Development Phase'!AQ4</f>
        <v>47542</v>
      </c>
      <c r="AP3" s="141">
        <f>'Development Phase'!AR4</f>
        <v>47573</v>
      </c>
      <c r="AQ3" s="141">
        <f>'Development Phase'!AS4</f>
        <v>47603</v>
      </c>
      <c r="AR3" s="141">
        <f>'Development Phase'!AT4</f>
        <v>47634</v>
      </c>
      <c r="AS3" s="141">
        <f>'Development Phase'!AU4</f>
        <v>47664</v>
      </c>
      <c r="AT3" s="141">
        <f>'Development Phase'!AV4</f>
        <v>47695</v>
      </c>
      <c r="AU3" s="141">
        <f>'Development Phase'!AW4</f>
        <v>47726</v>
      </c>
      <c r="AV3" s="141">
        <f>'Development Phase'!AX4</f>
        <v>47756</v>
      </c>
      <c r="AW3" s="141">
        <f>'Development Phase'!AY4</f>
        <v>47787</v>
      </c>
      <c r="AX3" s="141">
        <f>'Development Phase'!AZ4</f>
        <v>47817</v>
      </c>
      <c r="AY3" s="141">
        <f>'Development Phase'!BA4</f>
        <v>47848</v>
      </c>
      <c r="AZ3" s="141">
        <f>'Development Phase'!BB4</f>
        <v>47879</v>
      </c>
      <c r="BA3" s="141">
        <f>'Development Phase'!BC4</f>
        <v>47907</v>
      </c>
      <c r="BB3" s="141">
        <f>'Development Phase'!BD4</f>
        <v>47938</v>
      </c>
      <c r="BC3" s="141">
        <f>'Development Phase'!BE4</f>
        <v>47968</v>
      </c>
      <c r="BD3" s="141">
        <f>'Development Phase'!BF4</f>
        <v>47999</v>
      </c>
      <c r="BE3" s="141">
        <f>'Development Phase'!BG4</f>
        <v>48029</v>
      </c>
      <c r="BF3" s="141">
        <f>'Development Phase'!BH4</f>
        <v>48060</v>
      </c>
      <c r="BG3" s="141">
        <f>'Development Phase'!BI4</f>
        <v>48091</v>
      </c>
      <c r="BH3" s="141">
        <f>'Development Phase'!BJ4</f>
        <v>48121</v>
      </c>
      <c r="BI3" s="141">
        <f>'Development Phase'!BK4</f>
        <v>48152</v>
      </c>
      <c r="BJ3" s="141">
        <f>'Development Phase'!BL4</f>
        <v>48182</v>
      </c>
      <c r="BK3" s="141">
        <f>'Development Phase'!BM4</f>
        <v>48213</v>
      </c>
      <c r="BL3" s="141">
        <f>'Development Phase'!BN4</f>
        <v>48244</v>
      </c>
      <c r="BM3" s="141">
        <f>'Development Phase'!BO4</f>
        <v>48273</v>
      </c>
      <c r="BN3" s="141">
        <f>'Development Phase'!BP4</f>
        <v>48304</v>
      </c>
      <c r="BO3" s="141">
        <f>'Development Phase'!BQ4</f>
        <v>48334</v>
      </c>
      <c r="BP3" s="141">
        <f>'Development Phase'!BR4</f>
        <v>48365</v>
      </c>
      <c r="BQ3" s="141">
        <f>'Development Phase'!BS4</f>
        <v>48395</v>
      </c>
      <c r="BR3" s="141">
        <f>'Development Phase'!BT4</f>
        <v>48426</v>
      </c>
      <c r="BS3" s="141">
        <f>'Development Phase'!BU4</f>
        <v>48457</v>
      </c>
      <c r="BT3" s="141">
        <f>'Development Phase'!BV4</f>
        <v>48487</v>
      </c>
      <c r="BU3" s="141">
        <f>'Development Phase'!BW4</f>
        <v>48518</v>
      </c>
      <c r="BV3" s="141">
        <f>'Development Phase'!BX4</f>
        <v>48548</v>
      </c>
      <c r="BW3" s="141">
        <f>'Development Phase'!BY4</f>
        <v>48579</v>
      </c>
      <c r="BX3" s="141">
        <f>'Development Phase'!BZ4</f>
        <v>48610</v>
      </c>
      <c r="BY3" s="141">
        <f>'Development Phase'!CA4</f>
        <v>48638</v>
      </c>
      <c r="BZ3" s="141">
        <f>'Development Phase'!CB4</f>
        <v>48669</v>
      </c>
      <c r="CA3" s="141">
        <f>'Development Phase'!CC4</f>
        <v>48699</v>
      </c>
      <c r="CB3" s="141">
        <f>'Development Phase'!CD4</f>
        <v>48730</v>
      </c>
      <c r="CC3" s="141">
        <f>'Development Phase'!CE4</f>
        <v>48760</v>
      </c>
      <c r="CD3" s="141">
        <f>'Development Phase'!CF4</f>
        <v>48791</v>
      </c>
      <c r="CE3" s="141">
        <f>'Development Phase'!CG4</f>
        <v>48822</v>
      </c>
      <c r="CF3" s="141">
        <f>'Development Phase'!CH4</f>
        <v>48852</v>
      </c>
      <c r="CG3" s="141">
        <f>'Development Phase'!CI4</f>
        <v>48883</v>
      </c>
      <c r="CH3" s="141">
        <f>'Development Phase'!CJ4</f>
        <v>48913</v>
      </c>
      <c r="CI3" s="141">
        <f>'Development Phase'!CK4</f>
        <v>48944</v>
      </c>
      <c r="CJ3" s="141">
        <f>'Development Phase'!CL4</f>
        <v>48975</v>
      </c>
      <c r="CK3" s="141">
        <f>'Development Phase'!CM4</f>
        <v>49003</v>
      </c>
      <c r="CL3" s="141">
        <f>'Development Phase'!CN4</f>
        <v>49034</v>
      </c>
      <c r="CM3" s="141">
        <f>'Development Phase'!CO4</f>
        <v>49064</v>
      </c>
      <c r="CN3" s="141">
        <f>'Development Phase'!CP4</f>
        <v>49095</v>
      </c>
      <c r="CO3" s="141">
        <f>'Development Phase'!CQ4</f>
        <v>49125</v>
      </c>
      <c r="CP3" s="141">
        <f>'Development Phase'!CR4</f>
        <v>49156</v>
      </c>
      <c r="CQ3" s="141">
        <f>'Development Phase'!CS4</f>
        <v>49187</v>
      </c>
      <c r="CR3" s="141">
        <f>'Development Phase'!CT4</f>
        <v>49217</v>
      </c>
      <c r="CS3" s="141">
        <f>'Development Phase'!CU4</f>
        <v>49248</v>
      </c>
      <c r="CT3" s="141">
        <f>'Development Phase'!CV4</f>
        <v>49278</v>
      </c>
      <c r="CU3" s="141">
        <f>'Development Phase'!CW4</f>
        <v>49309</v>
      </c>
      <c r="CV3" s="141">
        <f>'Development Phase'!CX4</f>
        <v>49340</v>
      </c>
      <c r="CW3" s="141">
        <f>'Development Phase'!CY4</f>
        <v>49368</v>
      </c>
      <c r="CX3" s="141">
        <f>'Development Phase'!CZ4</f>
        <v>49399</v>
      </c>
      <c r="CY3" s="141">
        <f>'Development Phase'!DA4</f>
        <v>49429</v>
      </c>
      <c r="CZ3" s="141">
        <f>'Development Phase'!DB4</f>
        <v>49460</v>
      </c>
      <c r="DA3" s="141">
        <f>'Development Phase'!DC4</f>
        <v>49490</v>
      </c>
      <c r="DB3" s="141">
        <f>'Development Phase'!DD4</f>
        <v>49521</v>
      </c>
      <c r="DC3" s="141">
        <f>'Development Phase'!DE4</f>
        <v>49552</v>
      </c>
      <c r="DD3" s="141">
        <f>'Development Phase'!DF4</f>
        <v>49582</v>
      </c>
      <c r="DE3" s="141">
        <f>'Development Phase'!DG4</f>
        <v>49613</v>
      </c>
      <c r="DF3" s="141">
        <f>'Development Phase'!DH4</f>
        <v>49643</v>
      </c>
      <c r="DG3" s="141">
        <f>'Development Phase'!DI4</f>
        <v>49674</v>
      </c>
      <c r="DH3" s="141">
        <f>'Development Phase'!DJ4</f>
        <v>49705</v>
      </c>
      <c r="DI3" s="141">
        <f>'Development Phase'!DK4</f>
        <v>49734</v>
      </c>
      <c r="DJ3" s="141">
        <f>'Development Phase'!DL4</f>
        <v>49765</v>
      </c>
      <c r="DK3" s="141">
        <f>'Development Phase'!DM4</f>
        <v>49795</v>
      </c>
      <c r="DL3" s="141">
        <f>'Development Phase'!DN4</f>
        <v>49826</v>
      </c>
      <c r="DM3" s="141">
        <f>'Development Phase'!DO4</f>
        <v>49856</v>
      </c>
      <c r="DN3" s="141">
        <f>'Development Phase'!DP4</f>
        <v>49887</v>
      </c>
      <c r="DO3" s="141">
        <f>'Development Phase'!DQ4</f>
        <v>49918</v>
      </c>
      <c r="DP3" s="141">
        <f>'Development Phase'!DR4</f>
        <v>49948</v>
      </c>
      <c r="DQ3" s="141">
        <f>'Development Phase'!DS4</f>
        <v>49979</v>
      </c>
      <c r="DR3" s="141">
        <f>'Development Phase'!DT4</f>
        <v>50009</v>
      </c>
    </row>
    <row r="4" spans="1:122">
      <c r="A4" s="142" t="s">
        <v>304</v>
      </c>
      <c r="C4" s="143">
        <v>1</v>
      </c>
      <c r="D4" s="143">
        <v>2</v>
      </c>
      <c r="E4" s="143">
        <v>3</v>
      </c>
      <c r="F4" s="143">
        <v>4</v>
      </c>
      <c r="G4" s="143">
        <v>5</v>
      </c>
      <c r="H4" s="143">
        <v>6</v>
      </c>
      <c r="I4" s="143">
        <v>7</v>
      </c>
      <c r="J4" s="143">
        <v>8</v>
      </c>
      <c r="K4" s="143">
        <v>9</v>
      </c>
      <c r="L4" s="143">
        <v>10</v>
      </c>
      <c r="M4" s="143">
        <v>11</v>
      </c>
      <c r="N4" s="143">
        <v>12</v>
      </c>
      <c r="O4" s="143">
        <v>13</v>
      </c>
      <c r="P4" s="143">
        <v>14</v>
      </c>
      <c r="Q4" s="143">
        <v>15</v>
      </c>
      <c r="R4" s="143">
        <v>16</v>
      </c>
      <c r="S4" s="143">
        <v>17</v>
      </c>
      <c r="T4" s="143">
        <v>18</v>
      </c>
      <c r="U4" s="143">
        <v>19</v>
      </c>
      <c r="V4" s="143">
        <v>20</v>
      </c>
      <c r="W4" s="143">
        <v>21</v>
      </c>
      <c r="X4" s="143">
        <v>22</v>
      </c>
      <c r="Y4" s="143">
        <v>23</v>
      </c>
      <c r="Z4" s="143">
        <v>24</v>
      </c>
      <c r="AA4" s="143">
        <v>25</v>
      </c>
      <c r="AB4" s="143">
        <v>26</v>
      </c>
      <c r="AC4" s="143">
        <v>27</v>
      </c>
      <c r="AD4" s="143">
        <v>28</v>
      </c>
      <c r="AE4" s="143">
        <v>29</v>
      </c>
      <c r="AF4" s="143">
        <v>30</v>
      </c>
      <c r="AG4" s="143">
        <v>31</v>
      </c>
      <c r="AH4" s="143">
        <v>32</v>
      </c>
      <c r="AI4" s="143">
        <v>33</v>
      </c>
      <c r="AJ4" s="143">
        <v>34</v>
      </c>
      <c r="AK4" s="143">
        <v>35</v>
      </c>
      <c r="AL4" s="143">
        <v>36</v>
      </c>
      <c r="AM4" s="143">
        <v>37</v>
      </c>
      <c r="AN4" s="143">
        <v>38</v>
      </c>
      <c r="AO4" s="143">
        <v>39</v>
      </c>
      <c r="AP4" s="143">
        <v>40</v>
      </c>
      <c r="AQ4" s="143">
        <v>41</v>
      </c>
      <c r="AR4" s="143">
        <v>42</v>
      </c>
      <c r="AS4" s="143">
        <v>43</v>
      </c>
      <c r="AT4" s="143">
        <v>44</v>
      </c>
      <c r="AU4" s="143">
        <v>45</v>
      </c>
      <c r="AV4" s="143">
        <v>46</v>
      </c>
      <c r="AW4" s="143">
        <v>47</v>
      </c>
      <c r="AX4" s="143">
        <v>48</v>
      </c>
      <c r="AY4" s="143">
        <v>49</v>
      </c>
      <c r="AZ4" s="143">
        <v>50</v>
      </c>
      <c r="BA4" s="143">
        <v>51</v>
      </c>
      <c r="BB4" s="143">
        <v>52</v>
      </c>
      <c r="BC4" s="143">
        <v>53</v>
      </c>
      <c r="BD4" s="143">
        <v>54</v>
      </c>
      <c r="BE4" s="143">
        <v>55</v>
      </c>
      <c r="BF4" s="143">
        <v>56</v>
      </c>
      <c r="BG4" s="143">
        <v>57</v>
      </c>
      <c r="BH4" s="143">
        <v>58</v>
      </c>
      <c r="BI4" s="143">
        <v>59</v>
      </c>
      <c r="BJ4" s="143">
        <v>60</v>
      </c>
      <c r="BK4" s="143">
        <v>61</v>
      </c>
      <c r="BL4" s="143">
        <v>62</v>
      </c>
      <c r="BM4" s="143">
        <v>63</v>
      </c>
      <c r="BN4" s="143">
        <v>64</v>
      </c>
      <c r="BO4" s="143">
        <v>65</v>
      </c>
      <c r="BP4" s="143">
        <v>66</v>
      </c>
      <c r="BQ4" s="143">
        <v>67</v>
      </c>
      <c r="BR4" s="143">
        <v>68</v>
      </c>
      <c r="BS4" s="143">
        <v>69</v>
      </c>
      <c r="BT4" s="143">
        <v>70</v>
      </c>
      <c r="BU4" s="143">
        <v>71</v>
      </c>
      <c r="BV4" s="143">
        <v>72</v>
      </c>
      <c r="BW4" s="143">
        <v>73</v>
      </c>
      <c r="BX4" s="143">
        <v>74</v>
      </c>
      <c r="BY4" s="143">
        <v>75</v>
      </c>
      <c r="BZ4" s="143">
        <v>76</v>
      </c>
      <c r="CA4" s="143">
        <v>77</v>
      </c>
      <c r="CB4" s="143">
        <v>78</v>
      </c>
      <c r="CC4" s="143">
        <v>79</v>
      </c>
      <c r="CD4" s="143">
        <v>80</v>
      </c>
      <c r="CE4" s="143">
        <v>81</v>
      </c>
      <c r="CF4" s="143">
        <v>82</v>
      </c>
      <c r="CG4" s="143">
        <v>83</v>
      </c>
      <c r="CH4" s="143">
        <v>84</v>
      </c>
      <c r="CI4" s="143">
        <v>85</v>
      </c>
      <c r="CJ4" s="143">
        <v>86</v>
      </c>
      <c r="CK4" s="143">
        <v>87</v>
      </c>
      <c r="CL4" s="143">
        <v>88</v>
      </c>
      <c r="CM4" s="143">
        <v>89</v>
      </c>
      <c r="CN4" s="143">
        <v>90</v>
      </c>
      <c r="CO4" s="143">
        <v>91</v>
      </c>
      <c r="CP4" s="143">
        <v>92</v>
      </c>
      <c r="CQ4" s="143">
        <v>93</v>
      </c>
      <c r="CR4" s="143">
        <v>94</v>
      </c>
      <c r="CS4" s="143">
        <v>95</v>
      </c>
      <c r="CT4" s="143">
        <v>96</v>
      </c>
      <c r="CU4" s="143">
        <v>97</v>
      </c>
      <c r="CV4" s="143">
        <v>98</v>
      </c>
      <c r="CW4" s="143">
        <v>99</v>
      </c>
      <c r="CX4" s="143">
        <v>100</v>
      </c>
      <c r="CY4" s="143">
        <v>101</v>
      </c>
      <c r="CZ4" s="143">
        <v>102</v>
      </c>
      <c r="DA4" s="143">
        <v>103</v>
      </c>
      <c r="DB4" s="143">
        <v>104</v>
      </c>
      <c r="DC4" s="143">
        <v>105</v>
      </c>
      <c r="DD4" s="143">
        <v>106</v>
      </c>
      <c r="DE4" s="143">
        <v>107</v>
      </c>
      <c r="DF4" s="143">
        <v>108</v>
      </c>
      <c r="DG4" s="143">
        <v>109</v>
      </c>
      <c r="DH4" s="143">
        <v>110</v>
      </c>
      <c r="DI4" s="143">
        <v>111</v>
      </c>
      <c r="DJ4" s="143">
        <v>112</v>
      </c>
      <c r="DK4" s="143">
        <v>113</v>
      </c>
      <c r="DL4" s="143">
        <v>114</v>
      </c>
      <c r="DM4" s="143">
        <v>115</v>
      </c>
      <c r="DN4" s="143">
        <v>116</v>
      </c>
      <c r="DO4" s="143">
        <v>117</v>
      </c>
      <c r="DP4" s="143">
        <v>118</v>
      </c>
      <c r="DQ4" s="143">
        <v>119</v>
      </c>
      <c r="DR4" s="143">
        <v>120</v>
      </c>
    </row>
    <row r="5" spans="1:122">
      <c r="A5" s="142" t="s">
        <v>305</v>
      </c>
      <c r="C5" s="144">
        <f>'Development Phase'!E27</f>
        <v>0</v>
      </c>
      <c r="D5" s="144">
        <f>'Development Phase'!F27</f>
        <v>0</v>
      </c>
      <c r="E5" s="144">
        <f>'Development Phase'!G27</f>
        <v>0</v>
      </c>
      <c r="F5" s="144">
        <f>'Development Phase'!H27</f>
        <v>0</v>
      </c>
      <c r="G5" s="144">
        <f>'Development Phase'!I27</f>
        <v>0</v>
      </c>
      <c r="H5" s="144">
        <f>'Development Phase'!J27</f>
        <v>0</v>
      </c>
      <c r="I5" s="144">
        <f>'Development Phase'!K27</f>
        <v>0</v>
      </c>
      <c r="J5" s="144">
        <f>'Development Phase'!L27</f>
        <v>0</v>
      </c>
      <c r="K5" s="144">
        <f>'Development Phase'!M27</f>
        <v>0</v>
      </c>
      <c r="L5" s="144">
        <f>'Development Phase'!N27</f>
        <v>0</v>
      </c>
      <c r="M5" s="144">
        <f>'Development Phase'!O27</f>
        <v>0</v>
      </c>
      <c r="N5" s="144">
        <f>'Development Phase'!P27</f>
        <v>0</v>
      </c>
      <c r="O5" s="144">
        <f>'Development Phase'!Q27</f>
        <v>0</v>
      </c>
      <c r="P5" s="144">
        <f>'Development Phase'!R27</f>
        <v>0</v>
      </c>
      <c r="Q5" s="144">
        <f>'Development Phase'!S27</f>
        <v>0</v>
      </c>
      <c r="R5" s="144">
        <f>'Development Phase'!T27</f>
        <v>0</v>
      </c>
      <c r="S5" s="144">
        <f>'Development Phase'!U27</f>
        <v>0</v>
      </c>
      <c r="T5" s="144">
        <f>'Development Phase'!V27</f>
        <v>0</v>
      </c>
      <c r="U5" s="144">
        <f>'Development Phase'!W27</f>
        <v>0</v>
      </c>
      <c r="V5" s="144">
        <f>'Development Phase'!X27</f>
        <v>0</v>
      </c>
      <c r="W5" s="144">
        <f>'Development Phase'!Y27</f>
        <v>0</v>
      </c>
      <c r="X5" s="144">
        <f>'Development Phase'!Z27</f>
        <v>0</v>
      </c>
      <c r="Y5" s="144">
        <f>'Development Phase'!AA27</f>
        <v>0</v>
      </c>
      <c r="Z5" s="144">
        <f>'Development Phase'!AB27</f>
        <v>0</v>
      </c>
      <c r="AA5" s="144">
        <f>'Development Phase'!AC27</f>
        <v>-7959375</v>
      </c>
      <c r="AB5" s="144">
        <f>'Development Phase'!AD27</f>
        <v>0</v>
      </c>
      <c r="AC5" s="144">
        <f>'Development Phase'!AE27</f>
        <v>0</v>
      </c>
      <c r="AD5" s="144">
        <f>'Development Phase'!AF27</f>
        <v>-6583997.0703125</v>
      </c>
      <c r="AE5" s="144">
        <f>'Development Phase'!AG27</f>
        <v>-6583997.0703125</v>
      </c>
      <c r="AF5" s="144">
        <f>'Development Phase'!AH27</f>
        <v>-6583997.0703125</v>
      </c>
      <c r="AG5" s="144">
        <f>'Development Phase'!AI27</f>
        <v>-6583997.0703125</v>
      </c>
      <c r="AH5" s="144">
        <f>'Development Phase'!AJ27</f>
        <v>-6583997.0703125</v>
      </c>
      <c r="AI5" s="144">
        <f>'Development Phase'!AK27</f>
        <v>-6583997.0703125</v>
      </c>
      <c r="AJ5" s="144">
        <f>'Development Phase'!AL27</f>
        <v>-6583997.0703125</v>
      </c>
      <c r="AK5" s="144">
        <f>'Development Phase'!AM27</f>
        <v>-6583997.0703125</v>
      </c>
      <c r="AL5" s="144">
        <f>'Development Phase'!AN27</f>
        <v>-6583997.0703125</v>
      </c>
      <c r="AM5" s="144">
        <f>'Development Phase'!AO27</f>
        <v>-6583997.0703125</v>
      </c>
      <c r="AN5" s="144">
        <f>'Development Phase'!AP27</f>
        <v>-6583997.0703125</v>
      </c>
      <c r="AO5" s="144">
        <f>'Development Phase'!AQ27</f>
        <v>-6583997.0703125</v>
      </c>
      <c r="AP5" s="144">
        <f>'Development Phase'!AR27</f>
        <v>-6583997.0703125</v>
      </c>
      <c r="AQ5" s="144">
        <f>'Development Phase'!AS27</f>
        <v>-6583997.0703125</v>
      </c>
      <c r="AR5" s="144">
        <f>'Development Phase'!AT27</f>
        <v>-6583997.0703125</v>
      </c>
      <c r="AS5" s="144">
        <f>'Development Phase'!AU27</f>
        <v>-6583997.0703125</v>
      </c>
      <c r="AT5" s="144">
        <f>'Development Phase'!AV27</f>
        <v>-6583997.0703125</v>
      </c>
      <c r="AU5" s="144">
        <f>'Development Phase'!AW27</f>
        <v>-6583997.0703125</v>
      </c>
      <c r="AV5" s="144">
        <f>'Development Phase'!AX27</f>
        <v>-4731365.7233449398</v>
      </c>
      <c r="AW5" s="144">
        <f>'Development Phase'!AY27</f>
        <v>-4731365.7233449398</v>
      </c>
      <c r="AX5" s="144">
        <f>'Development Phase'!AZ27</f>
        <v>-4731365.7233449398</v>
      </c>
      <c r="AY5" s="144">
        <f>'Development Phase'!BA27</f>
        <v>-4731365.7233449398</v>
      </c>
      <c r="AZ5" s="144">
        <f>'Development Phase'!BB27</f>
        <v>-4731365.7233449398</v>
      </c>
      <c r="BA5" s="144">
        <f>'Development Phase'!BC27</f>
        <v>-4731365.7233449398</v>
      </c>
      <c r="BB5" s="144">
        <f>'Development Phase'!BD27</f>
        <v>75340341.443347454</v>
      </c>
      <c r="BC5" s="144">
        <f>'Development Phase'!BE27</f>
        <v>12350875.646450398</v>
      </c>
      <c r="BD5" s="144">
        <f>'Development Phase'!BF27</f>
        <v>12350875.646450398</v>
      </c>
      <c r="BE5" s="144">
        <f>'Development Phase'!BG27</f>
        <v>12350875.646450398</v>
      </c>
      <c r="BF5" s="144">
        <f>'Development Phase'!BH27</f>
        <v>12350875.646450398</v>
      </c>
      <c r="BG5" s="144">
        <f>'Development Phase'!BI27</f>
        <v>12350875.646450398</v>
      </c>
      <c r="BH5" s="144">
        <f>'Development Phase'!BJ27</f>
        <v>12350875.646450398</v>
      </c>
      <c r="BI5" s="144">
        <f>'Development Phase'!BK27</f>
        <v>12350875.646450398</v>
      </c>
      <c r="BJ5" s="144">
        <f>'Development Phase'!BL27</f>
        <v>12350875.646450398</v>
      </c>
      <c r="BK5" s="144">
        <f>'Development Phase'!BM27</f>
        <v>12350875.646450398</v>
      </c>
      <c r="BL5" s="144">
        <f>'Development Phase'!BN27</f>
        <v>12350875.646450398</v>
      </c>
      <c r="BM5" s="144">
        <f>'Development Phase'!BO27</f>
        <v>12350875.646450398</v>
      </c>
      <c r="BN5" s="144">
        <f>'Development Phase'!BP27</f>
        <v>0</v>
      </c>
      <c r="BO5" s="144">
        <f>'Development Phase'!BQ27</f>
        <v>0</v>
      </c>
      <c r="BP5" s="144">
        <f>'Development Phase'!BR27</f>
        <v>0</v>
      </c>
      <c r="BQ5" s="144">
        <f>'Development Phase'!BS27</f>
        <v>0</v>
      </c>
      <c r="BR5" s="144">
        <f>'Development Phase'!BT27</f>
        <v>0</v>
      </c>
      <c r="BS5" s="144">
        <f>'Development Phase'!BU27</f>
        <v>0</v>
      </c>
      <c r="BT5" s="144">
        <f>'Development Phase'!BV27</f>
        <v>0</v>
      </c>
      <c r="BU5" s="144">
        <f>'Development Phase'!BW27</f>
        <v>0</v>
      </c>
      <c r="BV5" s="144">
        <f>'Development Phase'!BX27</f>
        <v>0</v>
      </c>
      <c r="BW5" s="144">
        <f>'Development Phase'!BY27</f>
        <v>0</v>
      </c>
      <c r="BX5" s="144">
        <f>'Development Phase'!BZ27</f>
        <v>0</v>
      </c>
      <c r="BY5" s="144">
        <f>'Development Phase'!CA27</f>
        <v>0</v>
      </c>
      <c r="BZ5" s="144">
        <f>'Development Phase'!CB27</f>
        <v>0</v>
      </c>
      <c r="CA5" s="144">
        <f>'Development Phase'!CC27</f>
        <v>0</v>
      </c>
      <c r="CB5" s="144">
        <f>'Development Phase'!CD27</f>
        <v>0</v>
      </c>
      <c r="CC5" s="144">
        <f>'Development Phase'!CE27</f>
        <v>0</v>
      </c>
      <c r="CD5" s="144">
        <f>'Development Phase'!CF27</f>
        <v>0</v>
      </c>
      <c r="CE5" s="144">
        <f>'Development Phase'!CG27</f>
        <v>0</v>
      </c>
      <c r="CF5" s="144">
        <f>'Development Phase'!CH27</f>
        <v>0</v>
      </c>
      <c r="CG5" s="144">
        <f>'Development Phase'!CI27</f>
        <v>0</v>
      </c>
      <c r="CH5" s="144">
        <f>'Development Phase'!CJ27</f>
        <v>0</v>
      </c>
      <c r="CI5" s="144">
        <f>'Development Phase'!CK27</f>
        <v>0</v>
      </c>
      <c r="CJ5" s="144">
        <f>'Development Phase'!CL27</f>
        <v>0</v>
      </c>
      <c r="CK5" s="144">
        <f>'Development Phase'!CM27</f>
        <v>0</v>
      </c>
      <c r="CL5" s="144">
        <f>'Development Phase'!CN27</f>
        <v>0</v>
      </c>
      <c r="CM5" s="144">
        <f>'Development Phase'!CO27</f>
        <v>0</v>
      </c>
      <c r="CN5" s="144">
        <f>'Development Phase'!CP27</f>
        <v>0</v>
      </c>
      <c r="CO5" s="144">
        <f>'Development Phase'!CQ27</f>
        <v>0</v>
      </c>
      <c r="CP5" s="144">
        <f>'Development Phase'!CR27</f>
        <v>0</v>
      </c>
      <c r="CQ5" s="144">
        <f>'Development Phase'!CS27</f>
        <v>0</v>
      </c>
      <c r="CR5" s="144">
        <f>'Development Phase'!CT27</f>
        <v>0</v>
      </c>
      <c r="CS5" s="144">
        <f>'Development Phase'!CU27</f>
        <v>0</v>
      </c>
      <c r="CT5" s="144">
        <f>'Development Phase'!CV27</f>
        <v>0</v>
      </c>
      <c r="CU5" s="144">
        <f>'Development Phase'!CW27</f>
        <v>0</v>
      </c>
      <c r="CV5" s="144">
        <f>'Development Phase'!CX27</f>
        <v>0</v>
      </c>
      <c r="CW5" s="144">
        <f>'Development Phase'!CY27</f>
        <v>0</v>
      </c>
      <c r="CX5" s="144">
        <f>'Development Phase'!CZ27</f>
        <v>0</v>
      </c>
      <c r="CY5" s="144">
        <f>'Development Phase'!DA27</f>
        <v>0</v>
      </c>
      <c r="CZ5" s="144">
        <f>'Development Phase'!DB27</f>
        <v>0</v>
      </c>
      <c r="DA5" s="144">
        <f>'Development Phase'!DC27</f>
        <v>0</v>
      </c>
      <c r="DB5" s="144">
        <f>'Development Phase'!DD27</f>
        <v>0</v>
      </c>
      <c r="DC5" s="144">
        <f>'Development Phase'!DE27</f>
        <v>0</v>
      </c>
      <c r="DD5" s="144">
        <f>'Development Phase'!DF27</f>
        <v>0</v>
      </c>
      <c r="DE5" s="144">
        <f>'Development Phase'!DG27</f>
        <v>0</v>
      </c>
      <c r="DF5" s="144">
        <f>'Development Phase'!DH27</f>
        <v>0</v>
      </c>
      <c r="DG5" s="144">
        <f>'Development Phase'!DI27</f>
        <v>0</v>
      </c>
      <c r="DH5" s="144">
        <f>'Development Phase'!DJ27</f>
        <v>0</v>
      </c>
      <c r="DI5" s="144">
        <f>'Development Phase'!DK27</f>
        <v>0</v>
      </c>
      <c r="DJ5" s="144">
        <f>'Development Phase'!DL27</f>
        <v>0</v>
      </c>
      <c r="DK5" s="144">
        <f>'Development Phase'!DM27</f>
        <v>0</v>
      </c>
      <c r="DL5" s="144">
        <f>'Development Phase'!DN27</f>
        <v>0</v>
      </c>
      <c r="DM5" s="144">
        <f>'Development Phase'!DO27</f>
        <v>0</v>
      </c>
      <c r="DN5" s="144">
        <f>'Development Phase'!DP27</f>
        <v>0</v>
      </c>
      <c r="DO5" s="144">
        <f>'Development Phase'!DQ27</f>
        <v>0</v>
      </c>
      <c r="DP5" s="144">
        <f>'Development Phase'!DR27</f>
        <v>0</v>
      </c>
      <c r="DQ5" s="144">
        <f>'Development Phase'!DS27</f>
        <v>0</v>
      </c>
      <c r="DR5" s="144">
        <f>'Development Phase'!DT27</f>
        <v>0</v>
      </c>
    </row>
    <row r="6" spans="1:122">
      <c r="A6" s="142" t="s">
        <v>306</v>
      </c>
      <c r="C6" s="144">
        <f>'Development Phase'!E13</f>
        <v>0</v>
      </c>
      <c r="D6" s="144">
        <f>'Development Phase'!F13</f>
        <v>0</v>
      </c>
      <c r="E6" s="144">
        <f>'Development Phase'!G13</f>
        <v>0</v>
      </c>
      <c r="F6" s="144">
        <f>'Development Phase'!H13</f>
        <v>0</v>
      </c>
      <c r="G6" s="144">
        <f>'Development Phase'!I13</f>
        <v>0</v>
      </c>
      <c r="H6" s="144">
        <f>'Development Phase'!J13</f>
        <v>0</v>
      </c>
      <c r="I6" s="144">
        <f>'Development Phase'!K13</f>
        <v>0</v>
      </c>
      <c r="J6" s="144">
        <f>'Development Phase'!L13</f>
        <v>0</v>
      </c>
      <c r="K6" s="144">
        <f>'Development Phase'!M13</f>
        <v>0</v>
      </c>
      <c r="L6" s="144">
        <f>'Development Phase'!N13</f>
        <v>0</v>
      </c>
      <c r="M6" s="144">
        <f>'Development Phase'!O13</f>
        <v>0</v>
      </c>
      <c r="N6" s="144">
        <f>'Development Phase'!P13</f>
        <v>0</v>
      </c>
      <c r="O6" s="144">
        <f>'Development Phase'!Q13</f>
        <v>0</v>
      </c>
      <c r="P6" s="144">
        <f>'Development Phase'!R13</f>
        <v>0</v>
      </c>
      <c r="Q6" s="144">
        <f>'Development Phase'!S13</f>
        <v>0</v>
      </c>
      <c r="R6" s="144">
        <f>'Development Phase'!T13</f>
        <v>0</v>
      </c>
      <c r="S6" s="144">
        <f>'Development Phase'!U13</f>
        <v>0</v>
      </c>
      <c r="T6" s="144">
        <f>'Development Phase'!V13</f>
        <v>0</v>
      </c>
      <c r="U6" s="144">
        <f>'Development Phase'!W13</f>
        <v>0</v>
      </c>
      <c r="V6" s="144">
        <f>'Development Phase'!X13</f>
        <v>0</v>
      </c>
      <c r="W6" s="144">
        <f>'Development Phase'!Y13</f>
        <v>0</v>
      </c>
      <c r="X6" s="144">
        <f>'Development Phase'!Z13</f>
        <v>0</v>
      </c>
      <c r="Y6" s="144">
        <f>'Development Phase'!AA13</f>
        <v>0</v>
      </c>
      <c r="Z6" s="144">
        <f>'Development Phase'!AB13</f>
        <v>0</v>
      </c>
      <c r="AA6" s="144">
        <f>'Development Phase'!AC13</f>
        <v>0</v>
      </c>
      <c r="AB6" s="144">
        <f>'Development Phase'!AD13</f>
        <v>0</v>
      </c>
      <c r="AC6" s="144">
        <f>'Development Phase'!AE13</f>
        <v>0</v>
      </c>
      <c r="AD6" s="144">
        <f>'Development Phase'!AF13</f>
        <v>0</v>
      </c>
      <c r="AE6" s="144">
        <f>'Development Phase'!AG13</f>
        <v>0</v>
      </c>
      <c r="AF6" s="144">
        <f>'Development Phase'!AH13</f>
        <v>0</v>
      </c>
      <c r="AG6" s="144">
        <f>'Development Phase'!AI13</f>
        <v>0</v>
      </c>
      <c r="AH6" s="144">
        <f>'Development Phase'!AJ13</f>
        <v>0</v>
      </c>
      <c r="AI6" s="144">
        <f>'Development Phase'!AK13</f>
        <v>0</v>
      </c>
      <c r="AJ6" s="144">
        <f>'Development Phase'!AL13</f>
        <v>0</v>
      </c>
      <c r="AK6" s="144">
        <f>'Development Phase'!AM13</f>
        <v>0</v>
      </c>
      <c r="AL6" s="144">
        <f>'Development Phase'!AN13</f>
        <v>0</v>
      </c>
      <c r="AM6" s="144">
        <f>'Development Phase'!AO13</f>
        <v>0</v>
      </c>
      <c r="AN6" s="144">
        <f>'Development Phase'!AP13</f>
        <v>0</v>
      </c>
      <c r="AO6" s="144">
        <f>'Development Phase'!AQ13</f>
        <v>0</v>
      </c>
      <c r="AP6" s="144">
        <f>'Development Phase'!AR13</f>
        <v>0</v>
      </c>
      <c r="AQ6" s="144">
        <f>'Development Phase'!AS13</f>
        <v>0</v>
      </c>
      <c r="AR6" s="144">
        <f>'Development Phase'!AT13</f>
        <v>0</v>
      </c>
      <c r="AS6" s="144">
        <f>'Development Phase'!AU13</f>
        <v>0</v>
      </c>
      <c r="AT6" s="144">
        <f>'Development Phase'!AV13</f>
        <v>0</v>
      </c>
      <c r="AU6" s="144">
        <f>'Development Phase'!AW13</f>
        <v>0</v>
      </c>
      <c r="AV6" s="144">
        <f>'Development Phase'!AX13</f>
        <v>1875000.0000000002</v>
      </c>
      <c r="AW6" s="144">
        <f>'Development Phase'!AY13</f>
        <v>1875000.0000000002</v>
      </c>
      <c r="AX6" s="144">
        <f>'Development Phase'!AZ13</f>
        <v>1875000.0000000002</v>
      </c>
      <c r="AY6" s="144">
        <f>'Development Phase'!BA13</f>
        <v>1875000.0000000002</v>
      </c>
      <c r="AZ6" s="144">
        <f>'Development Phase'!BB13</f>
        <v>1875000.0000000002</v>
      </c>
      <c r="BA6" s="144">
        <f>'Development Phase'!BC13</f>
        <v>1875000.0000000002</v>
      </c>
      <c r="BB6" s="144">
        <f>'Development Phase'!BD13</f>
        <v>76250000.000000015</v>
      </c>
      <c r="BC6" s="144">
        <f>'Development Phase'!BE13</f>
        <v>12500000</v>
      </c>
      <c r="BD6" s="144">
        <f>'Development Phase'!BF13</f>
        <v>12500000</v>
      </c>
      <c r="BE6" s="144">
        <f>'Development Phase'!BG13</f>
        <v>12500000</v>
      </c>
      <c r="BF6" s="144">
        <f>'Development Phase'!BH13</f>
        <v>12500000</v>
      </c>
      <c r="BG6" s="144">
        <f>'Development Phase'!BI13</f>
        <v>12500000</v>
      </c>
      <c r="BH6" s="144">
        <f>'Development Phase'!BJ13</f>
        <v>12500000</v>
      </c>
      <c r="BI6" s="144">
        <f>'Development Phase'!BK13</f>
        <v>12500000</v>
      </c>
      <c r="BJ6" s="144">
        <f>'Development Phase'!BL13</f>
        <v>12500000</v>
      </c>
      <c r="BK6" s="144">
        <f>'Development Phase'!BM13</f>
        <v>12500000</v>
      </c>
      <c r="BL6" s="144">
        <f>'Development Phase'!BN13</f>
        <v>12500000</v>
      </c>
      <c r="BM6" s="144">
        <f>'Development Phase'!BO13</f>
        <v>12500000</v>
      </c>
      <c r="BN6" s="144">
        <f>'Development Phase'!BP13</f>
        <v>0</v>
      </c>
      <c r="BO6" s="144">
        <f>'Development Phase'!BQ13</f>
        <v>0</v>
      </c>
      <c r="BP6" s="144">
        <f>'Development Phase'!BR13</f>
        <v>0</v>
      </c>
      <c r="BQ6" s="144">
        <f>'Development Phase'!BS13</f>
        <v>0</v>
      </c>
      <c r="BR6" s="144">
        <f>'Development Phase'!BT13</f>
        <v>0</v>
      </c>
      <c r="BS6" s="144">
        <f>'Development Phase'!BU13</f>
        <v>0</v>
      </c>
      <c r="BT6" s="144">
        <f>'Development Phase'!BV13</f>
        <v>0</v>
      </c>
      <c r="BU6" s="144">
        <f>'Development Phase'!BW13</f>
        <v>0</v>
      </c>
      <c r="BV6" s="144">
        <f>'Development Phase'!BX13</f>
        <v>0</v>
      </c>
      <c r="BW6" s="144">
        <f>'Development Phase'!BY13</f>
        <v>0</v>
      </c>
      <c r="BX6" s="144">
        <f>'Development Phase'!BZ13</f>
        <v>0</v>
      </c>
      <c r="BY6" s="144">
        <f>'Development Phase'!CA13</f>
        <v>0</v>
      </c>
      <c r="BZ6" s="144">
        <f>'Development Phase'!CB13</f>
        <v>0</v>
      </c>
      <c r="CA6" s="144">
        <f>'Development Phase'!CC13</f>
        <v>0</v>
      </c>
      <c r="CB6" s="144">
        <f>'Development Phase'!CD13</f>
        <v>0</v>
      </c>
      <c r="CC6" s="144">
        <f>'Development Phase'!CE13</f>
        <v>0</v>
      </c>
      <c r="CD6" s="144">
        <f>'Development Phase'!CF13</f>
        <v>0</v>
      </c>
      <c r="CE6" s="144">
        <f>'Development Phase'!CG13</f>
        <v>0</v>
      </c>
      <c r="CF6" s="144">
        <f>'Development Phase'!CH13</f>
        <v>0</v>
      </c>
      <c r="CG6" s="144">
        <f>'Development Phase'!CI13</f>
        <v>0</v>
      </c>
      <c r="CH6" s="144">
        <f>'Development Phase'!CJ13</f>
        <v>0</v>
      </c>
      <c r="CI6" s="144">
        <f>'Development Phase'!CK13</f>
        <v>0</v>
      </c>
      <c r="CJ6" s="144">
        <f>'Development Phase'!CL13</f>
        <v>0</v>
      </c>
      <c r="CK6" s="144">
        <f>'Development Phase'!CM13</f>
        <v>0</v>
      </c>
      <c r="CL6" s="144">
        <f>'Development Phase'!CN13</f>
        <v>0</v>
      </c>
      <c r="CM6" s="144">
        <f>'Development Phase'!CO13</f>
        <v>0</v>
      </c>
      <c r="CN6" s="144">
        <f>'Development Phase'!CP13</f>
        <v>0</v>
      </c>
      <c r="CO6" s="144">
        <f>'Development Phase'!CQ13</f>
        <v>0</v>
      </c>
      <c r="CP6" s="144">
        <f>'Development Phase'!CR13</f>
        <v>0</v>
      </c>
      <c r="CQ6" s="144">
        <f>'Development Phase'!CS13</f>
        <v>0</v>
      </c>
      <c r="CR6" s="144">
        <f>'Development Phase'!CT13</f>
        <v>0</v>
      </c>
      <c r="CS6" s="144">
        <f>'Development Phase'!CU13</f>
        <v>0</v>
      </c>
      <c r="CT6" s="144">
        <f>'Development Phase'!CV13</f>
        <v>0</v>
      </c>
      <c r="CU6" s="144">
        <f>'Development Phase'!CW13</f>
        <v>0</v>
      </c>
      <c r="CV6" s="144">
        <f>'Development Phase'!CX13</f>
        <v>0</v>
      </c>
      <c r="CW6" s="144">
        <f>'Development Phase'!CY13</f>
        <v>0</v>
      </c>
      <c r="CX6" s="144">
        <f>'Development Phase'!CZ13</f>
        <v>0</v>
      </c>
      <c r="CY6" s="144">
        <f>'Development Phase'!DA13</f>
        <v>0</v>
      </c>
      <c r="CZ6" s="144">
        <f>'Development Phase'!DB13</f>
        <v>0</v>
      </c>
      <c r="DA6" s="144">
        <f>'Development Phase'!DC13</f>
        <v>0</v>
      </c>
      <c r="DB6" s="144">
        <f>'Development Phase'!DD13</f>
        <v>0</v>
      </c>
      <c r="DC6" s="144">
        <f>'Development Phase'!DE13</f>
        <v>0</v>
      </c>
      <c r="DD6" s="144">
        <f>'Development Phase'!DF13</f>
        <v>0</v>
      </c>
      <c r="DE6" s="144">
        <f>'Development Phase'!DG13</f>
        <v>0</v>
      </c>
      <c r="DF6" s="144">
        <f>'Development Phase'!DH13</f>
        <v>0</v>
      </c>
      <c r="DG6" s="144">
        <f>'Development Phase'!DI13</f>
        <v>0</v>
      </c>
      <c r="DH6" s="144">
        <f>'Development Phase'!DJ13</f>
        <v>0</v>
      </c>
      <c r="DI6" s="144">
        <f>'Development Phase'!DK13</f>
        <v>0</v>
      </c>
      <c r="DJ6" s="144">
        <f>'Development Phase'!DL13</f>
        <v>0</v>
      </c>
      <c r="DK6" s="144">
        <f>'Development Phase'!DM13</f>
        <v>0</v>
      </c>
      <c r="DL6" s="144">
        <f>'Development Phase'!DN13</f>
        <v>0</v>
      </c>
      <c r="DM6" s="144">
        <f>'Development Phase'!DO13</f>
        <v>0</v>
      </c>
      <c r="DN6" s="144">
        <f>'Development Phase'!DP13</f>
        <v>0</v>
      </c>
      <c r="DO6" s="144">
        <f>'Development Phase'!DQ13</f>
        <v>0</v>
      </c>
      <c r="DP6" s="144">
        <f>'Development Phase'!DR13</f>
        <v>0</v>
      </c>
      <c r="DQ6" s="144">
        <f>'Development Phase'!DS13</f>
        <v>0</v>
      </c>
      <c r="DR6" s="144">
        <f>'Development Phase'!DT13</f>
        <v>0</v>
      </c>
    </row>
    <row r="7" spans="1:122">
      <c r="A7" s="142" t="s">
        <v>307</v>
      </c>
      <c r="C7" s="144">
        <f>'Development Phase'!E12</f>
        <v>0</v>
      </c>
      <c r="D7" s="144">
        <f>'Development Phase'!F12</f>
        <v>0</v>
      </c>
      <c r="E7" s="144">
        <f>'Development Phase'!G12</f>
        <v>0</v>
      </c>
      <c r="F7" s="144">
        <f>'Development Phase'!H12</f>
        <v>0</v>
      </c>
      <c r="G7" s="144">
        <f>'Development Phase'!I12</f>
        <v>0</v>
      </c>
      <c r="H7" s="144">
        <f>'Development Phase'!J12</f>
        <v>0</v>
      </c>
      <c r="I7" s="144">
        <f>'Development Phase'!K12</f>
        <v>0</v>
      </c>
      <c r="J7" s="144">
        <f>'Development Phase'!L12</f>
        <v>0</v>
      </c>
      <c r="K7" s="144">
        <f>'Development Phase'!M12</f>
        <v>0</v>
      </c>
      <c r="L7" s="144">
        <f>'Development Phase'!N12</f>
        <v>0</v>
      </c>
      <c r="M7" s="144">
        <f>'Development Phase'!O12</f>
        <v>0</v>
      </c>
      <c r="N7" s="144">
        <f>'Development Phase'!P12</f>
        <v>0</v>
      </c>
      <c r="O7" s="144">
        <f>'Development Phase'!Q12</f>
        <v>0</v>
      </c>
      <c r="P7" s="144">
        <f>'Development Phase'!R12</f>
        <v>0</v>
      </c>
      <c r="Q7" s="144">
        <f>'Development Phase'!S12</f>
        <v>0</v>
      </c>
      <c r="R7" s="144">
        <f>'Development Phase'!T12</f>
        <v>0</v>
      </c>
      <c r="S7" s="144">
        <f>'Development Phase'!U12</f>
        <v>0</v>
      </c>
      <c r="T7" s="144">
        <f>'Development Phase'!V12</f>
        <v>0</v>
      </c>
      <c r="U7" s="144">
        <f>'Development Phase'!W12</f>
        <v>0</v>
      </c>
      <c r="V7" s="144">
        <f>'Development Phase'!X12</f>
        <v>0</v>
      </c>
      <c r="W7" s="144">
        <f>'Development Phase'!Y12</f>
        <v>0</v>
      </c>
      <c r="X7" s="144">
        <f>'Development Phase'!Z12</f>
        <v>0</v>
      </c>
      <c r="Y7" s="144">
        <f>'Development Phase'!AA12</f>
        <v>0</v>
      </c>
      <c r="Z7" s="144">
        <f>'Development Phase'!AB12</f>
        <v>0</v>
      </c>
      <c r="AA7" s="144">
        <f>'Development Phase'!AC12</f>
        <v>0</v>
      </c>
      <c r="AB7" s="144">
        <f>'Development Phase'!AD12</f>
        <v>0</v>
      </c>
      <c r="AC7" s="144">
        <f>'Development Phase'!AE12</f>
        <v>0</v>
      </c>
      <c r="AD7" s="144">
        <f>'Development Phase'!AF12</f>
        <v>0</v>
      </c>
      <c r="AE7" s="144">
        <f>'Development Phase'!AG12</f>
        <v>0</v>
      </c>
      <c r="AF7" s="144">
        <f>'Development Phase'!AH12</f>
        <v>0</v>
      </c>
      <c r="AG7" s="144">
        <f>'Development Phase'!AI12</f>
        <v>0</v>
      </c>
      <c r="AH7" s="144">
        <f>'Development Phase'!AJ12</f>
        <v>0</v>
      </c>
      <c r="AI7" s="144">
        <f>'Development Phase'!AK12</f>
        <v>0</v>
      </c>
      <c r="AJ7" s="144">
        <f>'Development Phase'!AL12</f>
        <v>0</v>
      </c>
      <c r="AK7" s="144">
        <f>'Development Phase'!AM12</f>
        <v>0</v>
      </c>
      <c r="AL7" s="144">
        <f>'Development Phase'!AN12</f>
        <v>0</v>
      </c>
      <c r="AM7" s="144">
        <f>'Development Phase'!AO12</f>
        <v>0</v>
      </c>
      <c r="AN7" s="144">
        <f>'Development Phase'!AP12</f>
        <v>0</v>
      </c>
      <c r="AO7" s="144">
        <f>'Development Phase'!AQ12</f>
        <v>0</v>
      </c>
      <c r="AP7" s="144">
        <f>'Development Phase'!AR12</f>
        <v>0</v>
      </c>
      <c r="AQ7" s="144">
        <f>'Development Phase'!AS12</f>
        <v>0</v>
      </c>
      <c r="AR7" s="144">
        <f>'Development Phase'!AT12</f>
        <v>0</v>
      </c>
      <c r="AS7" s="144">
        <f>'Development Phase'!AU12</f>
        <v>0</v>
      </c>
      <c r="AT7" s="144">
        <f>'Development Phase'!AV12</f>
        <v>0</v>
      </c>
      <c r="AU7" s="144">
        <f>'Development Phase'!AW12</f>
        <v>0</v>
      </c>
      <c r="AV7" s="144">
        <f>'Development Phase'!AX12</f>
        <v>0</v>
      </c>
      <c r="AW7" s="144">
        <f>'Development Phase'!AY12</f>
        <v>0</v>
      </c>
      <c r="AX7" s="144">
        <f>'Development Phase'!AZ12</f>
        <v>0</v>
      </c>
      <c r="AY7" s="144">
        <f>'Development Phase'!BA12</f>
        <v>0</v>
      </c>
      <c r="AZ7" s="144">
        <f>'Development Phase'!BB12</f>
        <v>0</v>
      </c>
      <c r="BA7" s="144">
        <f>'Development Phase'!BC12</f>
        <v>0</v>
      </c>
      <c r="BB7" s="144">
        <f>'Development Phase'!BD12</f>
        <v>74375000.000000015</v>
      </c>
      <c r="BC7" s="144">
        <f>'Development Phase'!BE12</f>
        <v>10625000</v>
      </c>
      <c r="BD7" s="144">
        <f>'Development Phase'!BF12</f>
        <v>10625000</v>
      </c>
      <c r="BE7" s="144">
        <f>'Development Phase'!BG12</f>
        <v>10625000</v>
      </c>
      <c r="BF7" s="144">
        <f>'Development Phase'!BH12</f>
        <v>10625000</v>
      </c>
      <c r="BG7" s="144">
        <f>'Development Phase'!BI12</f>
        <v>10625000</v>
      </c>
      <c r="BH7" s="144">
        <f>'Development Phase'!BJ12</f>
        <v>10625000</v>
      </c>
      <c r="BI7" s="144">
        <f>'Development Phase'!BK12</f>
        <v>10625000</v>
      </c>
      <c r="BJ7" s="144">
        <f>'Development Phase'!BL12</f>
        <v>10625000</v>
      </c>
      <c r="BK7" s="144">
        <f>'Development Phase'!BM12</f>
        <v>10625000</v>
      </c>
      <c r="BL7" s="144">
        <f>'Development Phase'!BN12</f>
        <v>10625000</v>
      </c>
      <c r="BM7" s="144">
        <f>'Development Phase'!BO12</f>
        <v>10625000</v>
      </c>
      <c r="BN7" s="144">
        <f>'Development Phase'!BP12</f>
        <v>0</v>
      </c>
      <c r="BO7" s="144">
        <f>'Development Phase'!BQ12</f>
        <v>0</v>
      </c>
      <c r="BP7" s="144">
        <f>'Development Phase'!BR12</f>
        <v>0</v>
      </c>
      <c r="BQ7" s="144">
        <f>'Development Phase'!BS12</f>
        <v>0</v>
      </c>
      <c r="BR7" s="144">
        <f>'Development Phase'!BT12</f>
        <v>0</v>
      </c>
      <c r="BS7" s="144">
        <f>'Development Phase'!BU12</f>
        <v>0</v>
      </c>
      <c r="BT7" s="144">
        <f>'Development Phase'!BV12</f>
        <v>0</v>
      </c>
      <c r="BU7" s="144">
        <f>'Development Phase'!BW12</f>
        <v>0</v>
      </c>
      <c r="BV7" s="144">
        <f>'Development Phase'!BX12</f>
        <v>0</v>
      </c>
      <c r="BW7" s="144">
        <f>'Development Phase'!BY12</f>
        <v>0</v>
      </c>
      <c r="BX7" s="144">
        <f>'Development Phase'!BZ12</f>
        <v>0</v>
      </c>
      <c r="BY7" s="144">
        <f>'Development Phase'!CA12</f>
        <v>0</v>
      </c>
      <c r="BZ7" s="144">
        <f>'Development Phase'!CB12</f>
        <v>0</v>
      </c>
      <c r="CA7" s="144">
        <f>'Development Phase'!CC12</f>
        <v>0</v>
      </c>
      <c r="CB7" s="144">
        <f>'Development Phase'!CD12</f>
        <v>0</v>
      </c>
      <c r="CC7" s="144">
        <f>'Development Phase'!CE12</f>
        <v>0</v>
      </c>
      <c r="CD7" s="144">
        <f>'Development Phase'!CF12</f>
        <v>0</v>
      </c>
      <c r="CE7" s="144">
        <f>'Development Phase'!CG12</f>
        <v>0</v>
      </c>
      <c r="CF7" s="144">
        <f>'Development Phase'!CH12</f>
        <v>0</v>
      </c>
      <c r="CG7" s="144">
        <f>'Development Phase'!CI12</f>
        <v>0</v>
      </c>
      <c r="CH7" s="144">
        <f>'Development Phase'!CJ12</f>
        <v>0</v>
      </c>
      <c r="CI7" s="144">
        <f>'Development Phase'!CK12</f>
        <v>0</v>
      </c>
      <c r="CJ7" s="144">
        <f>'Development Phase'!CL12</f>
        <v>0</v>
      </c>
      <c r="CK7" s="144">
        <f>'Development Phase'!CM12</f>
        <v>0</v>
      </c>
      <c r="CL7" s="144">
        <f>'Development Phase'!CN12</f>
        <v>0</v>
      </c>
      <c r="CM7" s="144">
        <f>'Development Phase'!CO12</f>
        <v>0</v>
      </c>
      <c r="CN7" s="144">
        <f>'Development Phase'!CP12</f>
        <v>0</v>
      </c>
      <c r="CO7" s="144">
        <f>'Development Phase'!CQ12</f>
        <v>0</v>
      </c>
      <c r="CP7" s="144">
        <f>'Development Phase'!CR12</f>
        <v>0</v>
      </c>
      <c r="CQ7" s="144">
        <f>'Development Phase'!CS12</f>
        <v>0</v>
      </c>
      <c r="CR7" s="144">
        <f>'Development Phase'!CT12</f>
        <v>0</v>
      </c>
      <c r="CS7" s="144">
        <f>'Development Phase'!CU12</f>
        <v>0</v>
      </c>
      <c r="CT7" s="144">
        <f>'Development Phase'!CV12</f>
        <v>0</v>
      </c>
      <c r="CU7" s="144">
        <f>'Development Phase'!CW12</f>
        <v>0</v>
      </c>
      <c r="CV7" s="144">
        <f>'Development Phase'!CX12</f>
        <v>0</v>
      </c>
      <c r="CW7" s="144">
        <f>'Development Phase'!CY12</f>
        <v>0</v>
      </c>
      <c r="CX7" s="144">
        <f>'Development Phase'!CZ12</f>
        <v>0</v>
      </c>
      <c r="CY7" s="144">
        <f>'Development Phase'!DA12</f>
        <v>0</v>
      </c>
      <c r="CZ7" s="144">
        <f>'Development Phase'!DB12</f>
        <v>0</v>
      </c>
      <c r="DA7" s="144">
        <f>'Development Phase'!DC12</f>
        <v>0</v>
      </c>
      <c r="DB7" s="144">
        <f>'Development Phase'!DD12</f>
        <v>0</v>
      </c>
      <c r="DC7" s="144">
        <f>'Development Phase'!DE12</f>
        <v>0</v>
      </c>
      <c r="DD7" s="144">
        <f>'Development Phase'!DF12</f>
        <v>0</v>
      </c>
      <c r="DE7" s="144">
        <f>'Development Phase'!DG12</f>
        <v>0</v>
      </c>
      <c r="DF7" s="144">
        <f>'Development Phase'!DH12</f>
        <v>0</v>
      </c>
      <c r="DG7" s="144">
        <f>'Development Phase'!DI12</f>
        <v>0</v>
      </c>
      <c r="DH7" s="144">
        <f>'Development Phase'!DJ12</f>
        <v>0</v>
      </c>
      <c r="DI7" s="144">
        <f>'Development Phase'!DK12</f>
        <v>0</v>
      </c>
      <c r="DJ7" s="144">
        <f>'Development Phase'!DL12</f>
        <v>0</v>
      </c>
      <c r="DK7" s="144">
        <f>'Development Phase'!DM12</f>
        <v>0</v>
      </c>
      <c r="DL7" s="144">
        <f>'Development Phase'!DN12</f>
        <v>0</v>
      </c>
      <c r="DM7" s="144">
        <f>'Development Phase'!DO12</f>
        <v>0</v>
      </c>
      <c r="DN7" s="144">
        <f>'Development Phase'!DP12</f>
        <v>0</v>
      </c>
      <c r="DO7" s="144">
        <f>'Development Phase'!DQ12</f>
        <v>0</v>
      </c>
      <c r="DP7" s="144">
        <f>'Development Phase'!DR12</f>
        <v>0</v>
      </c>
      <c r="DQ7" s="144">
        <f>'Development Phase'!DS12</f>
        <v>0</v>
      </c>
      <c r="DR7" s="144">
        <f>'Development Phase'!DT12</f>
        <v>0</v>
      </c>
    </row>
    <row r="9" spans="1:122">
      <c r="A9" s="142" t="s">
        <v>308</v>
      </c>
      <c r="B9" s="142" t="s">
        <v>62</v>
      </c>
      <c r="C9" s="142" t="s">
        <v>309</v>
      </c>
      <c r="D9" s="142" t="s">
        <v>310</v>
      </c>
    </row>
    <row r="10" spans="1:122">
      <c r="A10">
        <v>1</v>
      </c>
      <c r="B10" s="141">
        <f>'Platform Assumptions'!D6</f>
        <v>46387</v>
      </c>
      <c r="C10" t="str">
        <f>'Platform Assumptions'!E6</f>
        <v>Yes</v>
      </c>
    </row>
    <row r="11" spans="1:122">
      <c r="A11">
        <v>2</v>
      </c>
      <c r="B11" s="141">
        <f>'Platform Assumptions'!D7</f>
        <v>46477</v>
      </c>
      <c r="C11" t="str">
        <f>'Platform Assumptions'!E7</f>
        <v>No</v>
      </c>
    </row>
    <row r="12" spans="1:122">
      <c r="A12">
        <v>3</v>
      </c>
      <c r="B12" s="141">
        <f>'Platform Assumptions'!D8</f>
        <v>46568</v>
      </c>
      <c r="C12" t="str">
        <f>'Platform Assumptions'!E8</f>
        <v>Yes</v>
      </c>
    </row>
    <row r="13" spans="1:122">
      <c r="A13">
        <v>4</v>
      </c>
      <c r="B13" s="141">
        <f>'Platform Assumptions'!D9</f>
        <v>46660</v>
      </c>
      <c r="C13" t="str">
        <f>'Platform Assumptions'!E9</f>
        <v>No</v>
      </c>
    </row>
    <row r="14" spans="1:122">
      <c r="A14">
        <v>5</v>
      </c>
      <c r="B14" s="141">
        <f>'Platform Assumptions'!D10</f>
        <v>46752</v>
      </c>
      <c r="C14" t="str">
        <f>'Platform Assumptions'!E10</f>
        <v>Yes</v>
      </c>
    </row>
    <row r="15" spans="1:122">
      <c r="A15">
        <v>6</v>
      </c>
      <c r="B15" s="141">
        <f>'Platform Assumptions'!D11</f>
        <v>46843</v>
      </c>
      <c r="C15" t="str">
        <f>'Platform Assumptions'!E11</f>
        <v>No</v>
      </c>
    </row>
    <row r="16" spans="1:122">
      <c r="A16">
        <v>7</v>
      </c>
      <c r="B16" s="141">
        <f>'Platform Assumptions'!D12</f>
        <v>46934</v>
      </c>
      <c r="C16" t="str">
        <f>'Platform Assumptions'!E12</f>
        <v>Yes</v>
      </c>
    </row>
    <row r="17" spans="1:122">
      <c r="A17">
        <v>8</v>
      </c>
      <c r="B17" s="141">
        <f>'Platform Assumptions'!D13</f>
        <v>47026</v>
      </c>
      <c r="C17" t="str">
        <f>'Platform Assumptions'!E13</f>
        <v>No</v>
      </c>
    </row>
    <row r="18" spans="1:122">
      <c r="A18">
        <v>9</v>
      </c>
      <c r="B18" s="141">
        <f>'Platform Assumptions'!D14</f>
        <v>47118</v>
      </c>
      <c r="C18" t="str">
        <f>'Platform Assumptions'!E14</f>
        <v>Yes</v>
      </c>
    </row>
    <row r="19" spans="1:122">
      <c r="A19">
        <v>10</v>
      </c>
      <c r="B19" s="141">
        <f>'Platform Assumptions'!D15</f>
        <v>47208</v>
      </c>
      <c r="C19" t="str">
        <f>'Platform Assumptions'!E15</f>
        <v>No</v>
      </c>
    </row>
    <row r="25" spans="1:122">
      <c r="A25" s="142" t="s">
        <v>311</v>
      </c>
      <c r="C25" s="144">
        <f t="shared" ref="C25:AH25" si="0">IF($C10&lt;&gt;"Yes",0,IF(AND(C$3&gt;=$B10,C$3&lt;=EOMONTH($B10,119)),INDEX($C$5:$DR$5,1,12*(YEAR(C$3)-YEAR($B10))+MONTH(C$3)-MONTH($B10)+1),0))</f>
        <v>0</v>
      </c>
      <c r="D25" s="144">
        <f t="shared" si="0"/>
        <v>0</v>
      </c>
      <c r="E25" s="144">
        <f t="shared" si="0"/>
        <v>0</v>
      </c>
      <c r="F25" s="144">
        <f t="shared" si="0"/>
        <v>0</v>
      </c>
      <c r="G25" s="144">
        <f t="shared" si="0"/>
        <v>0</v>
      </c>
      <c r="H25" s="144">
        <f t="shared" si="0"/>
        <v>0</v>
      </c>
      <c r="I25" s="144">
        <f t="shared" si="0"/>
        <v>0</v>
      </c>
      <c r="J25" s="144">
        <f t="shared" si="0"/>
        <v>0</v>
      </c>
      <c r="K25" s="144">
        <f t="shared" si="0"/>
        <v>0</v>
      </c>
      <c r="L25" s="144">
        <f t="shared" si="0"/>
        <v>0</v>
      </c>
      <c r="M25" s="144">
        <f t="shared" si="0"/>
        <v>0</v>
      </c>
      <c r="N25" s="144">
        <f t="shared" si="0"/>
        <v>0</v>
      </c>
      <c r="O25" s="144">
        <f t="shared" si="0"/>
        <v>0</v>
      </c>
      <c r="P25" s="144">
        <f t="shared" si="0"/>
        <v>0</v>
      </c>
      <c r="Q25" s="144">
        <f t="shared" si="0"/>
        <v>0</v>
      </c>
      <c r="R25" s="144">
        <f t="shared" si="0"/>
        <v>0</v>
      </c>
      <c r="S25" s="144">
        <f t="shared" si="0"/>
        <v>0</v>
      </c>
      <c r="T25" s="144">
        <f t="shared" si="0"/>
        <v>0</v>
      </c>
      <c r="U25" s="144">
        <f t="shared" si="0"/>
        <v>0</v>
      </c>
      <c r="V25" s="144">
        <f t="shared" si="0"/>
        <v>0</v>
      </c>
      <c r="W25" s="144">
        <f t="shared" si="0"/>
        <v>0</v>
      </c>
      <c r="X25" s="144">
        <f t="shared" si="0"/>
        <v>0</v>
      </c>
      <c r="Y25" s="144">
        <f t="shared" si="0"/>
        <v>0</v>
      </c>
      <c r="Z25" s="144">
        <f t="shared" si="0"/>
        <v>0</v>
      </c>
      <c r="AA25" s="144">
        <f t="shared" si="0"/>
        <v>-7959375</v>
      </c>
      <c r="AB25" s="144">
        <f t="shared" si="0"/>
        <v>0</v>
      </c>
      <c r="AC25" s="144">
        <f t="shared" si="0"/>
        <v>0</v>
      </c>
      <c r="AD25" s="144">
        <f t="shared" si="0"/>
        <v>-6583997.0703125</v>
      </c>
      <c r="AE25" s="144">
        <f t="shared" si="0"/>
        <v>-6583997.0703125</v>
      </c>
      <c r="AF25" s="144">
        <f t="shared" si="0"/>
        <v>-6583997.0703125</v>
      </c>
      <c r="AG25" s="144">
        <f t="shared" si="0"/>
        <v>-6583997.0703125</v>
      </c>
      <c r="AH25" s="144">
        <f t="shared" si="0"/>
        <v>-6583997.0703125</v>
      </c>
      <c r="AI25" s="144">
        <f t="shared" ref="AI25:BN25" si="1">IF($C10&lt;&gt;"Yes",0,IF(AND(AI$3&gt;=$B10,AI$3&lt;=EOMONTH($B10,119)),INDEX($C$5:$DR$5,1,12*(YEAR(AI$3)-YEAR($B10))+MONTH(AI$3)-MONTH($B10)+1),0))</f>
        <v>-6583997.0703125</v>
      </c>
      <c r="AJ25" s="144">
        <f t="shared" si="1"/>
        <v>-6583997.0703125</v>
      </c>
      <c r="AK25" s="144">
        <f t="shared" si="1"/>
        <v>-6583997.0703125</v>
      </c>
      <c r="AL25" s="144">
        <f t="shared" si="1"/>
        <v>-6583997.0703125</v>
      </c>
      <c r="AM25" s="144">
        <f t="shared" si="1"/>
        <v>-6583997.0703125</v>
      </c>
      <c r="AN25" s="144">
        <f t="shared" si="1"/>
        <v>-6583997.0703125</v>
      </c>
      <c r="AO25" s="144">
        <f t="shared" si="1"/>
        <v>-6583997.0703125</v>
      </c>
      <c r="AP25" s="144">
        <f t="shared" si="1"/>
        <v>-6583997.0703125</v>
      </c>
      <c r="AQ25" s="144">
        <f t="shared" si="1"/>
        <v>-6583997.0703125</v>
      </c>
      <c r="AR25" s="144">
        <f t="shared" si="1"/>
        <v>-6583997.0703125</v>
      </c>
      <c r="AS25" s="144">
        <f t="shared" si="1"/>
        <v>-6583997.0703125</v>
      </c>
      <c r="AT25" s="144">
        <f t="shared" si="1"/>
        <v>-6583997.0703125</v>
      </c>
      <c r="AU25" s="144">
        <f t="shared" si="1"/>
        <v>-6583997.0703125</v>
      </c>
      <c r="AV25" s="144">
        <f t="shared" si="1"/>
        <v>-4731365.7233449398</v>
      </c>
      <c r="AW25" s="144">
        <f t="shared" si="1"/>
        <v>-4731365.7233449398</v>
      </c>
      <c r="AX25" s="144">
        <f t="shared" si="1"/>
        <v>-4731365.7233449398</v>
      </c>
      <c r="AY25" s="144">
        <f t="shared" si="1"/>
        <v>-4731365.7233449398</v>
      </c>
      <c r="AZ25" s="144">
        <f t="shared" si="1"/>
        <v>-4731365.7233449398</v>
      </c>
      <c r="BA25" s="144">
        <f t="shared" si="1"/>
        <v>-4731365.7233449398</v>
      </c>
      <c r="BB25" s="144">
        <f t="shared" si="1"/>
        <v>75340341.443347454</v>
      </c>
      <c r="BC25" s="144">
        <f t="shared" si="1"/>
        <v>12350875.646450398</v>
      </c>
      <c r="BD25" s="144">
        <f t="shared" si="1"/>
        <v>12350875.646450398</v>
      </c>
      <c r="BE25" s="144">
        <f t="shared" si="1"/>
        <v>12350875.646450398</v>
      </c>
      <c r="BF25" s="144">
        <f t="shared" si="1"/>
        <v>12350875.646450398</v>
      </c>
      <c r="BG25" s="144">
        <f t="shared" si="1"/>
        <v>12350875.646450398</v>
      </c>
      <c r="BH25" s="144">
        <f t="shared" si="1"/>
        <v>12350875.646450398</v>
      </c>
      <c r="BI25" s="144">
        <f t="shared" si="1"/>
        <v>12350875.646450398</v>
      </c>
      <c r="BJ25" s="144">
        <f t="shared" si="1"/>
        <v>12350875.646450398</v>
      </c>
      <c r="BK25" s="144">
        <f t="shared" si="1"/>
        <v>12350875.646450398</v>
      </c>
      <c r="BL25" s="144">
        <f t="shared" si="1"/>
        <v>12350875.646450398</v>
      </c>
      <c r="BM25" s="144">
        <f t="shared" si="1"/>
        <v>12350875.646450398</v>
      </c>
      <c r="BN25" s="144">
        <f t="shared" si="1"/>
        <v>0</v>
      </c>
      <c r="BO25" s="144">
        <f t="shared" ref="BO25:CT25" si="2">IF($C10&lt;&gt;"Yes",0,IF(AND(BO$3&gt;=$B10,BO$3&lt;=EOMONTH($B10,119)),INDEX($C$5:$DR$5,1,12*(YEAR(BO$3)-YEAR($B10))+MONTH(BO$3)-MONTH($B10)+1),0))</f>
        <v>0</v>
      </c>
      <c r="BP25" s="144">
        <f t="shared" si="2"/>
        <v>0</v>
      </c>
      <c r="BQ25" s="144">
        <f t="shared" si="2"/>
        <v>0</v>
      </c>
      <c r="BR25" s="144">
        <f t="shared" si="2"/>
        <v>0</v>
      </c>
      <c r="BS25" s="144">
        <f t="shared" si="2"/>
        <v>0</v>
      </c>
      <c r="BT25" s="144">
        <f t="shared" si="2"/>
        <v>0</v>
      </c>
      <c r="BU25" s="144">
        <f t="shared" si="2"/>
        <v>0</v>
      </c>
      <c r="BV25" s="144">
        <f t="shared" si="2"/>
        <v>0</v>
      </c>
      <c r="BW25" s="144">
        <f t="shared" si="2"/>
        <v>0</v>
      </c>
      <c r="BX25" s="144">
        <f t="shared" si="2"/>
        <v>0</v>
      </c>
      <c r="BY25" s="144">
        <f t="shared" si="2"/>
        <v>0</v>
      </c>
      <c r="BZ25" s="144">
        <f t="shared" si="2"/>
        <v>0</v>
      </c>
      <c r="CA25" s="144">
        <f t="shared" si="2"/>
        <v>0</v>
      </c>
      <c r="CB25" s="144">
        <f t="shared" si="2"/>
        <v>0</v>
      </c>
      <c r="CC25" s="144">
        <f t="shared" si="2"/>
        <v>0</v>
      </c>
      <c r="CD25" s="144">
        <f t="shared" si="2"/>
        <v>0</v>
      </c>
      <c r="CE25" s="144">
        <f t="shared" si="2"/>
        <v>0</v>
      </c>
      <c r="CF25" s="144">
        <f t="shared" si="2"/>
        <v>0</v>
      </c>
      <c r="CG25" s="144">
        <f t="shared" si="2"/>
        <v>0</v>
      </c>
      <c r="CH25" s="144">
        <f t="shared" si="2"/>
        <v>0</v>
      </c>
      <c r="CI25" s="144">
        <f t="shared" si="2"/>
        <v>0</v>
      </c>
      <c r="CJ25" s="144">
        <f t="shared" si="2"/>
        <v>0</v>
      </c>
      <c r="CK25" s="144">
        <f t="shared" si="2"/>
        <v>0</v>
      </c>
      <c r="CL25" s="144">
        <f t="shared" si="2"/>
        <v>0</v>
      </c>
      <c r="CM25" s="144">
        <f t="shared" si="2"/>
        <v>0</v>
      </c>
      <c r="CN25" s="144">
        <f t="shared" si="2"/>
        <v>0</v>
      </c>
      <c r="CO25" s="144">
        <f t="shared" si="2"/>
        <v>0</v>
      </c>
      <c r="CP25" s="144">
        <f t="shared" si="2"/>
        <v>0</v>
      </c>
      <c r="CQ25" s="144">
        <f t="shared" si="2"/>
        <v>0</v>
      </c>
      <c r="CR25" s="144">
        <f t="shared" si="2"/>
        <v>0</v>
      </c>
      <c r="CS25" s="144">
        <f t="shared" si="2"/>
        <v>0</v>
      </c>
      <c r="CT25" s="144">
        <f t="shared" si="2"/>
        <v>0</v>
      </c>
      <c r="CU25" s="144">
        <f t="shared" ref="CU25:DR25" si="3">IF($C10&lt;&gt;"Yes",0,IF(AND(CU$3&gt;=$B10,CU$3&lt;=EOMONTH($B10,119)),INDEX($C$5:$DR$5,1,12*(YEAR(CU$3)-YEAR($B10))+MONTH(CU$3)-MONTH($B10)+1),0))</f>
        <v>0</v>
      </c>
      <c r="CV25" s="144">
        <f t="shared" si="3"/>
        <v>0</v>
      </c>
      <c r="CW25" s="144">
        <f t="shared" si="3"/>
        <v>0</v>
      </c>
      <c r="CX25" s="144">
        <f t="shared" si="3"/>
        <v>0</v>
      </c>
      <c r="CY25" s="144">
        <f t="shared" si="3"/>
        <v>0</v>
      </c>
      <c r="CZ25" s="144">
        <f t="shared" si="3"/>
        <v>0</v>
      </c>
      <c r="DA25" s="144">
        <f t="shared" si="3"/>
        <v>0</v>
      </c>
      <c r="DB25" s="144">
        <f t="shared" si="3"/>
        <v>0</v>
      </c>
      <c r="DC25" s="144">
        <f t="shared" si="3"/>
        <v>0</v>
      </c>
      <c r="DD25" s="144">
        <f t="shared" si="3"/>
        <v>0</v>
      </c>
      <c r="DE25" s="144">
        <f t="shared" si="3"/>
        <v>0</v>
      </c>
      <c r="DF25" s="144">
        <f t="shared" si="3"/>
        <v>0</v>
      </c>
      <c r="DG25" s="144">
        <f t="shared" si="3"/>
        <v>0</v>
      </c>
      <c r="DH25" s="144">
        <f t="shared" si="3"/>
        <v>0</v>
      </c>
      <c r="DI25" s="144">
        <f t="shared" si="3"/>
        <v>0</v>
      </c>
      <c r="DJ25" s="144">
        <f t="shared" si="3"/>
        <v>0</v>
      </c>
      <c r="DK25" s="144">
        <f t="shared" si="3"/>
        <v>0</v>
      </c>
      <c r="DL25" s="144">
        <f t="shared" si="3"/>
        <v>0</v>
      </c>
      <c r="DM25" s="144">
        <f t="shared" si="3"/>
        <v>0</v>
      </c>
      <c r="DN25" s="144">
        <f t="shared" si="3"/>
        <v>0</v>
      </c>
      <c r="DO25" s="144">
        <f t="shared" si="3"/>
        <v>0</v>
      </c>
      <c r="DP25" s="144">
        <f t="shared" si="3"/>
        <v>0</v>
      </c>
      <c r="DQ25" s="144">
        <f t="shared" si="3"/>
        <v>0</v>
      </c>
      <c r="DR25" s="144">
        <f t="shared" si="3"/>
        <v>0</v>
      </c>
    </row>
    <row r="26" spans="1:122">
      <c r="A26" s="142" t="s">
        <v>312</v>
      </c>
      <c r="C26" s="144">
        <f t="shared" ref="C26:AH26" si="4">IF($C10&lt;&gt;"Yes",0,IF(AND(C$3&gt;=$B10,C$3&lt;=EOMONTH($B10,119)),INDEX($C$6:$DR$6,1,12*(YEAR(C$3)-YEAR($B10))+MONTH(C$3)-MONTH($B10)+1),0))</f>
        <v>0</v>
      </c>
      <c r="D26" s="144">
        <f t="shared" si="4"/>
        <v>0</v>
      </c>
      <c r="E26" s="144">
        <f t="shared" si="4"/>
        <v>0</v>
      </c>
      <c r="F26" s="144">
        <f t="shared" si="4"/>
        <v>0</v>
      </c>
      <c r="G26" s="144">
        <f t="shared" si="4"/>
        <v>0</v>
      </c>
      <c r="H26" s="144">
        <f t="shared" si="4"/>
        <v>0</v>
      </c>
      <c r="I26" s="144">
        <f t="shared" si="4"/>
        <v>0</v>
      </c>
      <c r="J26" s="144">
        <f t="shared" si="4"/>
        <v>0</v>
      </c>
      <c r="K26" s="144">
        <f t="shared" si="4"/>
        <v>0</v>
      </c>
      <c r="L26" s="144">
        <f t="shared" si="4"/>
        <v>0</v>
      </c>
      <c r="M26" s="144">
        <f t="shared" si="4"/>
        <v>0</v>
      </c>
      <c r="N26" s="144">
        <f t="shared" si="4"/>
        <v>0</v>
      </c>
      <c r="O26" s="144">
        <f t="shared" si="4"/>
        <v>0</v>
      </c>
      <c r="P26" s="144">
        <f t="shared" si="4"/>
        <v>0</v>
      </c>
      <c r="Q26" s="144">
        <f t="shared" si="4"/>
        <v>0</v>
      </c>
      <c r="R26" s="144">
        <f t="shared" si="4"/>
        <v>0</v>
      </c>
      <c r="S26" s="144">
        <f t="shared" si="4"/>
        <v>0</v>
      </c>
      <c r="T26" s="144">
        <f t="shared" si="4"/>
        <v>0</v>
      </c>
      <c r="U26" s="144">
        <f t="shared" si="4"/>
        <v>0</v>
      </c>
      <c r="V26" s="144">
        <f t="shared" si="4"/>
        <v>0</v>
      </c>
      <c r="W26" s="144">
        <f t="shared" si="4"/>
        <v>0</v>
      </c>
      <c r="X26" s="144">
        <f t="shared" si="4"/>
        <v>0</v>
      </c>
      <c r="Y26" s="144">
        <f t="shared" si="4"/>
        <v>0</v>
      </c>
      <c r="Z26" s="144">
        <f t="shared" si="4"/>
        <v>0</v>
      </c>
      <c r="AA26" s="144">
        <f t="shared" si="4"/>
        <v>0</v>
      </c>
      <c r="AB26" s="144">
        <f t="shared" si="4"/>
        <v>0</v>
      </c>
      <c r="AC26" s="144">
        <f t="shared" si="4"/>
        <v>0</v>
      </c>
      <c r="AD26" s="144">
        <f t="shared" si="4"/>
        <v>0</v>
      </c>
      <c r="AE26" s="144">
        <f t="shared" si="4"/>
        <v>0</v>
      </c>
      <c r="AF26" s="144">
        <f t="shared" si="4"/>
        <v>0</v>
      </c>
      <c r="AG26" s="144">
        <f t="shared" si="4"/>
        <v>0</v>
      </c>
      <c r="AH26" s="144">
        <f t="shared" si="4"/>
        <v>0</v>
      </c>
      <c r="AI26" s="144">
        <f t="shared" ref="AI26:BN26" si="5">IF($C10&lt;&gt;"Yes",0,IF(AND(AI$3&gt;=$B10,AI$3&lt;=EOMONTH($B10,119)),INDEX($C$6:$DR$6,1,12*(YEAR(AI$3)-YEAR($B10))+MONTH(AI$3)-MONTH($B10)+1),0))</f>
        <v>0</v>
      </c>
      <c r="AJ26" s="144">
        <f t="shared" si="5"/>
        <v>0</v>
      </c>
      <c r="AK26" s="144">
        <f t="shared" si="5"/>
        <v>0</v>
      </c>
      <c r="AL26" s="144">
        <f t="shared" si="5"/>
        <v>0</v>
      </c>
      <c r="AM26" s="144">
        <f t="shared" si="5"/>
        <v>0</v>
      </c>
      <c r="AN26" s="144">
        <f t="shared" si="5"/>
        <v>0</v>
      </c>
      <c r="AO26" s="144">
        <f t="shared" si="5"/>
        <v>0</v>
      </c>
      <c r="AP26" s="144">
        <f t="shared" si="5"/>
        <v>0</v>
      </c>
      <c r="AQ26" s="144">
        <f t="shared" si="5"/>
        <v>0</v>
      </c>
      <c r="AR26" s="144">
        <f t="shared" si="5"/>
        <v>0</v>
      </c>
      <c r="AS26" s="144">
        <f t="shared" si="5"/>
        <v>0</v>
      </c>
      <c r="AT26" s="144">
        <f t="shared" si="5"/>
        <v>0</v>
      </c>
      <c r="AU26" s="144">
        <f t="shared" si="5"/>
        <v>0</v>
      </c>
      <c r="AV26" s="144">
        <f t="shared" si="5"/>
        <v>1875000.0000000002</v>
      </c>
      <c r="AW26" s="144">
        <f t="shared" si="5"/>
        <v>1875000.0000000002</v>
      </c>
      <c r="AX26" s="144">
        <f t="shared" si="5"/>
        <v>1875000.0000000002</v>
      </c>
      <c r="AY26" s="144">
        <f t="shared" si="5"/>
        <v>1875000.0000000002</v>
      </c>
      <c r="AZ26" s="144">
        <f t="shared" si="5"/>
        <v>1875000.0000000002</v>
      </c>
      <c r="BA26" s="144">
        <f t="shared" si="5"/>
        <v>1875000.0000000002</v>
      </c>
      <c r="BB26" s="144">
        <f t="shared" si="5"/>
        <v>76250000.000000015</v>
      </c>
      <c r="BC26" s="144">
        <f t="shared" si="5"/>
        <v>12500000</v>
      </c>
      <c r="BD26" s="144">
        <f t="shared" si="5"/>
        <v>12500000</v>
      </c>
      <c r="BE26" s="144">
        <f t="shared" si="5"/>
        <v>12500000</v>
      </c>
      <c r="BF26" s="144">
        <f t="shared" si="5"/>
        <v>12500000</v>
      </c>
      <c r="BG26" s="144">
        <f t="shared" si="5"/>
        <v>12500000</v>
      </c>
      <c r="BH26" s="144">
        <f t="shared" si="5"/>
        <v>12500000</v>
      </c>
      <c r="BI26" s="144">
        <f t="shared" si="5"/>
        <v>12500000</v>
      </c>
      <c r="BJ26" s="144">
        <f t="shared" si="5"/>
        <v>12500000</v>
      </c>
      <c r="BK26" s="144">
        <f t="shared" si="5"/>
        <v>12500000</v>
      </c>
      <c r="BL26" s="144">
        <f t="shared" si="5"/>
        <v>12500000</v>
      </c>
      <c r="BM26" s="144">
        <f t="shared" si="5"/>
        <v>12500000</v>
      </c>
      <c r="BN26" s="144">
        <f t="shared" si="5"/>
        <v>0</v>
      </c>
      <c r="BO26" s="144">
        <f t="shared" ref="BO26:CT26" si="6">IF($C10&lt;&gt;"Yes",0,IF(AND(BO$3&gt;=$B10,BO$3&lt;=EOMONTH($B10,119)),INDEX($C$6:$DR$6,1,12*(YEAR(BO$3)-YEAR($B10))+MONTH(BO$3)-MONTH($B10)+1),0))</f>
        <v>0</v>
      </c>
      <c r="BP26" s="144">
        <f t="shared" si="6"/>
        <v>0</v>
      </c>
      <c r="BQ26" s="144">
        <f t="shared" si="6"/>
        <v>0</v>
      </c>
      <c r="BR26" s="144">
        <f t="shared" si="6"/>
        <v>0</v>
      </c>
      <c r="BS26" s="144">
        <f t="shared" si="6"/>
        <v>0</v>
      </c>
      <c r="BT26" s="144">
        <f t="shared" si="6"/>
        <v>0</v>
      </c>
      <c r="BU26" s="144">
        <f t="shared" si="6"/>
        <v>0</v>
      </c>
      <c r="BV26" s="144">
        <f t="shared" si="6"/>
        <v>0</v>
      </c>
      <c r="BW26" s="144">
        <f t="shared" si="6"/>
        <v>0</v>
      </c>
      <c r="BX26" s="144">
        <f t="shared" si="6"/>
        <v>0</v>
      </c>
      <c r="BY26" s="144">
        <f t="shared" si="6"/>
        <v>0</v>
      </c>
      <c r="BZ26" s="144">
        <f t="shared" si="6"/>
        <v>0</v>
      </c>
      <c r="CA26" s="144">
        <f t="shared" si="6"/>
        <v>0</v>
      </c>
      <c r="CB26" s="144">
        <f t="shared" si="6"/>
        <v>0</v>
      </c>
      <c r="CC26" s="144">
        <f t="shared" si="6"/>
        <v>0</v>
      </c>
      <c r="CD26" s="144">
        <f t="shared" si="6"/>
        <v>0</v>
      </c>
      <c r="CE26" s="144">
        <f t="shared" si="6"/>
        <v>0</v>
      </c>
      <c r="CF26" s="144">
        <f t="shared" si="6"/>
        <v>0</v>
      </c>
      <c r="CG26" s="144">
        <f t="shared" si="6"/>
        <v>0</v>
      </c>
      <c r="CH26" s="144">
        <f t="shared" si="6"/>
        <v>0</v>
      </c>
      <c r="CI26" s="144">
        <f t="shared" si="6"/>
        <v>0</v>
      </c>
      <c r="CJ26" s="144">
        <f t="shared" si="6"/>
        <v>0</v>
      </c>
      <c r="CK26" s="144">
        <f t="shared" si="6"/>
        <v>0</v>
      </c>
      <c r="CL26" s="144">
        <f t="shared" si="6"/>
        <v>0</v>
      </c>
      <c r="CM26" s="144">
        <f t="shared" si="6"/>
        <v>0</v>
      </c>
      <c r="CN26" s="144">
        <f t="shared" si="6"/>
        <v>0</v>
      </c>
      <c r="CO26" s="144">
        <f t="shared" si="6"/>
        <v>0</v>
      </c>
      <c r="CP26" s="144">
        <f t="shared" si="6"/>
        <v>0</v>
      </c>
      <c r="CQ26" s="144">
        <f t="shared" si="6"/>
        <v>0</v>
      </c>
      <c r="CR26" s="144">
        <f t="shared" si="6"/>
        <v>0</v>
      </c>
      <c r="CS26" s="144">
        <f t="shared" si="6"/>
        <v>0</v>
      </c>
      <c r="CT26" s="144">
        <f t="shared" si="6"/>
        <v>0</v>
      </c>
      <c r="CU26" s="144">
        <f t="shared" ref="CU26:DR26" si="7">IF($C10&lt;&gt;"Yes",0,IF(AND(CU$3&gt;=$B10,CU$3&lt;=EOMONTH($B10,119)),INDEX($C$6:$DR$6,1,12*(YEAR(CU$3)-YEAR($B10))+MONTH(CU$3)-MONTH($B10)+1),0))</f>
        <v>0</v>
      </c>
      <c r="CV26" s="144">
        <f t="shared" si="7"/>
        <v>0</v>
      </c>
      <c r="CW26" s="144">
        <f t="shared" si="7"/>
        <v>0</v>
      </c>
      <c r="CX26" s="144">
        <f t="shared" si="7"/>
        <v>0</v>
      </c>
      <c r="CY26" s="144">
        <f t="shared" si="7"/>
        <v>0</v>
      </c>
      <c r="CZ26" s="144">
        <f t="shared" si="7"/>
        <v>0</v>
      </c>
      <c r="DA26" s="144">
        <f t="shared" si="7"/>
        <v>0</v>
      </c>
      <c r="DB26" s="144">
        <f t="shared" si="7"/>
        <v>0</v>
      </c>
      <c r="DC26" s="144">
        <f t="shared" si="7"/>
        <v>0</v>
      </c>
      <c r="DD26" s="144">
        <f t="shared" si="7"/>
        <v>0</v>
      </c>
      <c r="DE26" s="144">
        <f t="shared" si="7"/>
        <v>0</v>
      </c>
      <c r="DF26" s="144">
        <f t="shared" si="7"/>
        <v>0</v>
      </c>
      <c r="DG26" s="144">
        <f t="shared" si="7"/>
        <v>0</v>
      </c>
      <c r="DH26" s="144">
        <f t="shared" si="7"/>
        <v>0</v>
      </c>
      <c r="DI26" s="144">
        <f t="shared" si="7"/>
        <v>0</v>
      </c>
      <c r="DJ26" s="144">
        <f t="shared" si="7"/>
        <v>0</v>
      </c>
      <c r="DK26" s="144">
        <f t="shared" si="7"/>
        <v>0</v>
      </c>
      <c r="DL26" s="144">
        <f t="shared" si="7"/>
        <v>0</v>
      </c>
      <c r="DM26" s="144">
        <f t="shared" si="7"/>
        <v>0</v>
      </c>
      <c r="DN26" s="144">
        <f t="shared" si="7"/>
        <v>0</v>
      </c>
      <c r="DO26" s="144">
        <f t="shared" si="7"/>
        <v>0</v>
      </c>
      <c r="DP26" s="144">
        <f t="shared" si="7"/>
        <v>0</v>
      </c>
      <c r="DQ26" s="144">
        <f t="shared" si="7"/>
        <v>0</v>
      </c>
      <c r="DR26" s="144">
        <f t="shared" si="7"/>
        <v>0</v>
      </c>
    </row>
    <row r="27" spans="1:122">
      <c r="A27" s="142" t="s">
        <v>313</v>
      </c>
      <c r="C27" s="144">
        <f t="shared" ref="C27:AH27" si="8">IF($C10&lt;&gt;"Yes",0,IF(AND(C$3&gt;=$B10,C$3&lt;=EOMONTH($B10,119)),INDEX($C$7:$DR$7,1,12*(YEAR(C$3)-YEAR($B10))+MONTH(C$3)-MONTH($B10)+1),0))</f>
        <v>0</v>
      </c>
      <c r="D27" s="144">
        <f t="shared" si="8"/>
        <v>0</v>
      </c>
      <c r="E27" s="144">
        <f t="shared" si="8"/>
        <v>0</v>
      </c>
      <c r="F27" s="144">
        <f t="shared" si="8"/>
        <v>0</v>
      </c>
      <c r="G27" s="144">
        <f t="shared" si="8"/>
        <v>0</v>
      </c>
      <c r="H27" s="144">
        <f t="shared" si="8"/>
        <v>0</v>
      </c>
      <c r="I27" s="144">
        <f t="shared" si="8"/>
        <v>0</v>
      </c>
      <c r="J27" s="144">
        <f t="shared" si="8"/>
        <v>0</v>
      </c>
      <c r="K27" s="144">
        <f t="shared" si="8"/>
        <v>0</v>
      </c>
      <c r="L27" s="144">
        <f t="shared" si="8"/>
        <v>0</v>
      </c>
      <c r="M27" s="144">
        <f t="shared" si="8"/>
        <v>0</v>
      </c>
      <c r="N27" s="144">
        <f t="shared" si="8"/>
        <v>0</v>
      </c>
      <c r="O27" s="144">
        <f t="shared" si="8"/>
        <v>0</v>
      </c>
      <c r="P27" s="144">
        <f t="shared" si="8"/>
        <v>0</v>
      </c>
      <c r="Q27" s="144">
        <f t="shared" si="8"/>
        <v>0</v>
      </c>
      <c r="R27" s="144">
        <f t="shared" si="8"/>
        <v>0</v>
      </c>
      <c r="S27" s="144">
        <f t="shared" si="8"/>
        <v>0</v>
      </c>
      <c r="T27" s="144">
        <f t="shared" si="8"/>
        <v>0</v>
      </c>
      <c r="U27" s="144">
        <f t="shared" si="8"/>
        <v>0</v>
      </c>
      <c r="V27" s="144">
        <f t="shared" si="8"/>
        <v>0</v>
      </c>
      <c r="W27" s="144">
        <f t="shared" si="8"/>
        <v>0</v>
      </c>
      <c r="X27" s="144">
        <f t="shared" si="8"/>
        <v>0</v>
      </c>
      <c r="Y27" s="144">
        <f t="shared" si="8"/>
        <v>0</v>
      </c>
      <c r="Z27" s="144">
        <f t="shared" si="8"/>
        <v>0</v>
      </c>
      <c r="AA27" s="144">
        <f t="shared" si="8"/>
        <v>0</v>
      </c>
      <c r="AB27" s="144">
        <f t="shared" si="8"/>
        <v>0</v>
      </c>
      <c r="AC27" s="144">
        <f t="shared" si="8"/>
        <v>0</v>
      </c>
      <c r="AD27" s="144">
        <f t="shared" si="8"/>
        <v>0</v>
      </c>
      <c r="AE27" s="144">
        <f t="shared" si="8"/>
        <v>0</v>
      </c>
      <c r="AF27" s="144">
        <f t="shared" si="8"/>
        <v>0</v>
      </c>
      <c r="AG27" s="144">
        <f t="shared" si="8"/>
        <v>0</v>
      </c>
      <c r="AH27" s="144">
        <f t="shared" si="8"/>
        <v>0</v>
      </c>
      <c r="AI27" s="144">
        <f t="shared" ref="AI27:BN27" si="9">IF($C10&lt;&gt;"Yes",0,IF(AND(AI$3&gt;=$B10,AI$3&lt;=EOMONTH($B10,119)),INDEX($C$7:$DR$7,1,12*(YEAR(AI$3)-YEAR($B10))+MONTH(AI$3)-MONTH($B10)+1),0))</f>
        <v>0</v>
      </c>
      <c r="AJ27" s="144">
        <f t="shared" si="9"/>
        <v>0</v>
      </c>
      <c r="AK27" s="144">
        <f t="shared" si="9"/>
        <v>0</v>
      </c>
      <c r="AL27" s="144">
        <f t="shared" si="9"/>
        <v>0</v>
      </c>
      <c r="AM27" s="144">
        <f t="shared" si="9"/>
        <v>0</v>
      </c>
      <c r="AN27" s="144">
        <f t="shared" si="9"/>
        <v>0</v>
      </c>
      <c r="AO27" s="144">
        <f t="shared" si="9"/>
        <v>0</v>
      </c>
      <c r="AP27" s="144">
        <f t="shared" si="9"/>
        <v>0</v>
      </c>
      <c r="AQ27" s="144">
        <f t="shared" si="9"/>
        <v>0</v>
      </c>
      <c r="AR27" s="144">
        <f t="shared" si="9"/>
        <v>0</v>
      </c>
      <c r="AS27" s="144">
        <f t="shared" si="9"/>
        <v>0</v>
      </c>
      <c r="AT27" s="144">
        <f t="shared" si="9"/>
        <v>0</v>
      </c>
      <c r="AU27" s="144">
        <f t="shared" si="9"/>
        <v>0</v>
      </c>
      <c r="AV27" s="144">
        <f t="shared" si="9"/>
        <v>0</v>
      </c>
      <c r="AW27" s="144">
        <f t="shared" si="9"/>
        <v>0</v>
      </c>
      <c r="AX27" s="144">
        <f t="shared" si="9"/>
        <v>0</v>
      </c>
      <c r="AY27" s="144">
        <f t="shared" si="9"/>
        <v>0</v>
      </c>
      <c r="AZ27" s="144">
        <f t="shared" si="9"/>
        <v>0</v>
      </c>
      <c r="BA27" s="144">
        <f t="shared" si="9"/>
        <v>0</v>
      </c>
      <c r="BB27" s="144">
        <f t="shared" si="9"/>
        <v>74375000.000000015</v>
      </c>
      <c r="BC27" s="144">
        <f t="shared" si="9"/>
        <v>10625000</v>
      </c>
      <c r="BD27" s="144">
        <f t="shared" si="9"/>
        <v>10625000</v>
      </c>
      <c r="BE27" s="144">
        <f t="shared" si="9"/>
        <v>10625000</v>
      </c>
      <c r="BF27" s="144">
        <f t="shared" si="9"/>
        <v>10625000</v>
      </c>
      <c r="BG27" s="144">
        <f t="shared" si="9"/>
        <v>10625000</v>
      </c>
      <c r="BH27" s="144">
        <f t="shared" si="9"/>
        <v>10625000</v>
      </c>
      <c r="BI27" s="144">
        <f t="shared" si="9"/>
        <v>10625000</v>
      </c>
      <c r="BJ27" s="144">
        <f t="shared" si="9"/>
        <v>10625000</v>
      </c>
      <c r="BK27" s="144">
        <f t="shared" si="9"/>
        <v>10625000</v>
      </c>
      <c r="BL27" s="144">
        <f t="shared" si="9"/>
        <v>10625000</v>
      </c>
      <c r="BM27" s="144">
        <f t="shared" si="9"/>
        <v>10625000</v>
      </c>
      <c r="BN27" s="144">
        <f t="shared" si="9"/>
        <v>0</v>
      </c>
      <c r="BO27" s="144">
        <f t="shared" ref="BO27:CT27" si="10">IF($C10&lt;&gt;"Yes",0,IF(AND(BO$3&gt;=$B10,BO$3&lt;=EOMONTH($B10,119)),INDEX($C$7:$DR$7,1,12*(YEAR(BO$3)-YEAR($B10))+MONTH(BO$3)-MONTH($B10)+1),0))</f>
        <v>0</v>
      </c>
      <c r="BP27" s="144">
        <f t="shared" si="10"/>
        <v>0</v>
      </c>
      <c r="BQ27" s="144">
        <f t="shared" si="10"/>
        <v>0</v>
      </c>
      <c r="BR27" s="144">
        <f t="shared" si="10"/>
        <v>0</v>
      </c>
      <c r="BS27" s="144">
        <f t="shared" si="10"/>
        <v>0</v>
      </c>
      <c r="BT27" s="144">
        <f t="shared" si="10"/>
        <v>0</v>
      </c>
      <c r="BU27" s="144">
        <f t="shared" si="10"/>
        <v>0</v>
      </c>
      <c r="BV27" s="144">
        <f t="shared" si="10"/>
        <v>0</v>
      </c>
      <c r="BW27" s="144">
        <f t="shared" si="10"/>
        <v>0</v>
      </c>
      <c r="BX27" s="144">
        <f t="shared" si="10"/>
        <v>0</v>
      </c>
      <c r="BY27" s="144">
        <f t="shared" si="10"/>
        <v>0</v>
      </c>
      <c r="BZ27" s="144">
        <f t="shared" si="10"/>
        <v>0</v>
      </c>
      <c r="CA27" s="144">
        <f t="shared" si="10"/>
        <v>0</v>
      </c>
      <c r="CB27" s="144">
        <f t="shared" si="10"/>
        <v>0</v>
      </c>
      <c r="CC27" s="144">
        <f t="shared" si="10"/>
        <v>0</v>
      </c>
      <c r="CD27" s="144">
        <f t="shared" si="10"/>
        <v>0</v>
      </c>
      <c r="CE27" s="144">
        <f t="shared" si="10"/>
        <v>0</v>
      </c>
      <c r="CF27" s="144">
        <f t="shared" si="10"/>
        <v>0</v>
      </c>
      <c r="CG27" s="144">
        <f t="shared" si="10"/>
        <v>0</v>
      </c>
      <c r="CH27" s="144">
        <f t="shared" si="10"/>
        <v>0</v>
      </c>
      <c r="CI27" s="144">
        <f t="shared" si="10"/>
        <v>0</v>
      </c>
      <c r="CJ27" s="144">
        <f t="shared" si="10"/>
        <v>0</v>
      </c>
      <c r="CK27" s="144">
        <f t="shared" si="10"/>
        <v>0</v>
      </c>
      <c r="CL27" s="144">
        <f t="shared" si="10"/>
        <v>0</v>
      </c>
      <c r="CM27" s="144">
        <f t="shared" si="10"/>
        <v>0</v>
      </c>
      <c r="CN27" s="144">
        <f t="shared" si="10"/>
        <v>0</v>
      </c>
      <c r="CO27" s="144">
        <f t="shared" si="10"/>
        <v>0</v>
      </c>
      <c r="CP27" s="144">
        <f t="shared" si="10"/>
        <v>0</v>
      </c>
      <c r="CQ27" s="144">
        <f t="shared" si="10"/>
        <v>0</v>
      </c>
      <c r="CR27" s="144">
        <f t="shared" si="10"/>
        <v>0</v>
      </c>
      <c r="CS27" s="144">
        <f t="shared" si="10"/>
        <v>0</v>
      </c>
      <c r="CT27" s="144">
        <f t="shared" si="10"/>
        <v>0</v>
      </c>
      <c r="CU27" s="144">
        <f t="shared" ref="CU27:DR27" si="11">IF($C10&lt;&gt;"Yes",0,IF(AND(CU$3&gt;=$B10,CU$3&lt;=EOMONTH($B10,119)),INDEX($C$7:$DR$7,1,12*(YEAR(CU$3)-YEAR($B10))+MONTH(CU$3)-MONTH($B10)+1),0))</f>
        <v>0</v>
      </c>
      <c r="CV27" s="144">
        <f t="shared" si="11"/>
        <v>0</v>
      </c>
      <c r="CW27" s="144">
        <f t="shared" si="11"/>
        <v>0</v>
      </c>
      <c r="CX27" s="144">
        <f t="shared" si="11"/>
        <v>0</v>
      </c>
      <c r="CY27" s="144">
        <f t="shared" si="11"/>
        <v>0</v>
      </c>
      <c r="CZ27" s="144">
        <f t="shared" si="11"/>
        <v>0</v>
      </c>
      <c r="DA27" s="144">
        <f t="shared" si="11"/>
        <v>0</v>
      </c>
      <c r="DB27" s="144">
        <f t="shared" si="11"/>
        <v>0</v>
      </c>
      <c r="DC27" s="144">
        <f t="shared" si="11"/>
        <v>0</v>
      </c>
      <c r="DD27" s="144">
        <f t="shared" si="11"/>
        <v>0</v>
      </c>
      <c r="DE27" s="144">
        <f t="shared" si="11"/>
        <v>0</v>
      </c>
      <c r="DF27" s="144">
        <f t="shared" si="11"/>
        <v>0</v>
      </c>
      <c r="DG27" s="144">
        <f t="shared" si="11"/>
        <v>0</v>
      </c>
      <c r="DH27" s="144">
        <f t="shared" si="11"/>
        <v>0</v>
      </c>
      <c r="DI27" s="144">
        <f t="shared" si="11"/>
        <v>0</v>
      </c>
      <c r="DJ27" s="144">
        <f t="shared" si="11"/>
        <v>0</v>
      </c>
      <c r="DK27" s="144">
        <f t="shared" si="11"/>
        <v>0</v>
      </c>
      <c r="DL27" s="144">
        <f t="shared" si="11"/>
        <v>0</v>
      </c>
      <c r="DM27" s="144">
        <f t="shared" si="11"/>
        <v>0</v>
      </c>
      <c r="DN27" s="144">
        <f t="shared" si="11"/>
        <v>0</v>
      </c>
      <c r="DO27" s="144">
        <f t="shared" si="11"/>
        <v>0</v>
      </c>
      <c r="DP27" s="144">
        <f t="shared" si="11"/>
        <v>0</v>
      </c>
      <c r="DQ27" s="144">
        <f t="shared" si="11"/>
        <v>0</v>
      </c>
      <c r="DR27" s="144">
        <f t="shared" si="11"/>
        <v>0</v>
      </c>
    </row>
    <row r="28" spans="1:122">
      <c r="A28" s="142" t="s">
        <v>314</v>
      </c>
      <c r="C28" s="144">
        <f t="shared" ref="C28:AH28" si="12">IF($C11&lt;&gt;"Yes",0,IF(AND(C$3&gt;=$B11,C$3&lt;=EOMONTH($B11,119)),INDEX($C$5:$DR$5,1,12*(YEAR(C$3)-YEAR($B11))+MONTH(C$3)-MONTH($B11)+1),0))</f>
        <v>0</v>
      </c>
      <c r="D28" s="144">
        <f t="shared" si="12"/>
        <v>0</v>
      </c>
      <c r="E28" s="144">
        <f t="shared" si="12"/>
        <v>0</v>
      </c>
      <c r="F28" s="144">
        <f t="shared" si="12"/>
        <v>0</v>
      </c>
      <c r="G28" s="144">
        <f t="shared" si="12"/>
        <v>0</v>
      </c>
      <c r="H28" s="144">
        <f t="shared" si="12"/>
        <v>0</v>
      </c>
      <c r="I28" s="144">
        <f t="shared" si="12"/>
        <v>0</v>
      </c>
      <c r="J28" s="144">
        <f t="shared" si="12"/>
        <v>0</v>
      </c>
      <c r="K28" s="144">
        <f t="shared" si="12"/>
        <v>0</v>
      </c>
      <c r="L28" s="144">
        <f t="shared" si="12"/>
        <v>0</v>
      </c>
      <c r="M28" s="144">
        <f t="shared" si="12"/>
        <v>0</v>
      </c>
      <c r="N28" s="144">
        <f t="shared" si="12"/>
        <v>0</v>
      </c>
      <c r="O28" s="144">
        <f t="shared" si="12"/>
        <v>0</v>
      </c>
      <c r="P28" s="144">
        <f t="shared" si="12"/>
        <v>0</v>
      </c>
      <c r="Q28" s="144">
        <f t="shared" si="12"/>
        <v>0</v>
      </c>
      <c r="R28" s="144">
        <f t="shared" si="12"/>
        <v>0</v>
      </c>
      <c r="S28" s="144">
        <f t="shared" si="12"/>
        <v>0</v>
      </c>
      <c r="T28" s="144">
        <f t="shared" si="12"/>
        <v>0</v>
      </c>
      <c r="U28" s="144">
        <f t="shared" si="12"/>
        <v>0</v>
      </c>
      <c r="V28" s="144">
        <f t="shared" si="12"/>
        <v>0</v>
      </c>
      <c r="W28" s="144">
        <f t="shared" si="12"/>
        <v>0</v>
      </c>
      <c r="X28" s="144">
        <f t="shared" si="12"/>
        <v>0</v>
      </c>
      <c r="Y28" s="144">
        <f t="shared" si="12"/>
        <v>0</v>
      </c>
      <c r="Z28" s="144">
        <f t="shared" si="12"/>
        <v>0</v>
      </c>
      <c r="AA28" s="144">
        <f t="shared" si="12"/>
        <v>0</v>
      </c>
      <c r="AB28" s="144">
        <f t="shared" si="12"/>
        <v>0</v>
      </c>
      <c r="AC28" s="144">
        <f t="shared" si="12"/>
        <v>0</v>
      </c>
      <c r="AD28" s="144">
        <f t="shared" si="12"/>
        <v>0</v>
      </c>
      <c r="AE28" s="144">
        <f t="shared" si="12"/>
        <v>0</v>
      </c>
      <c r="AF28" s="144">
        <f t="shared" si="12"/>
        <v>0</v>
      </c>
      <c r="AG28" s="144">
        <f t="shared" si="12"/>
        <v>0</v>
      </c>
      <c r="AH28" s="144">
        <f t="shared" si="12"/>
        <v>0</v>
      </c>
      <c r="AI28" s="144">
        <f t="shared" ref="AI28:BN28" si="13">IF($C11&lt;&gt;"Yes",0,IF(AND(AI$3&gt;=$B11,AI$3&lt;=EOMONTH($B11,119)),INDEX($C$5:$DR$5,1,12*(YEAR(AI$3)-YEAR($B11))+MONTH(AI$3)-MONTH($B11)+1),0))</f>
        <v>0</v>
      </c>
      <c r="AJ28" s="144">
        <f t="shared" si="13"/>
        <v>0</v>
      </c>
      <c r="AK28" s="144">
        <f t="shared" si="13"/>
        <v>0</v>
      </c>
      <c r="AL28" s="144">
        <f t="shared" si="13"/>
        <v>0</v>
      </c>
      <c r="AM28" s="144">
        <f t="shared" si="13"/>
        <v>0</v>
      </c>
      <c r="AN28" s="144">
        <f t="shared" si="13"/>
        <v>0</v>
      </c>
      <c r="AO28" s="144">
        <f t="shared" si="13"/>
        <v>0</v>
      </c>
      <c r="AP28" s="144">
        <f t="shared" si="13"/>
        <v>0</v>
      </c>
      <c r="AQ28" s="144">
        <f t="shared" si="13"/>
        <v>0</v>
      </c>
      <c r="AR28" s="144">
        <f t="shared" si="13"/>
        <v>0</v>
      </c>
      <c r="AS28" s="144">
        <f t="shared" si="13"/>
        <v>0</v>
      </c>
      <c r="AT28" s="144">
        <f t="shared" si="13"/>
        <v>0</v>
      </c>
      <c r="AU28" s="144">
        <f t="shared" si="13"/>
        <v>0</v>
      </c>
      <c r="AV28" s="144">
        <f t="shared" si="13"/>
        <v>0</v>
      </c>
      <c r="AW28" s="144">
        <f t="shared" si="13"/>
        <v>0</v>
      </c>
      <c r="AX28" s="144">
        <f t="shared" si="13"/>
        <v>0</v>
      </c>
      <c r="AY28" s="144">
        <f t="shared" si="13"/>
        <v>0</v>
      </c>
      <c r="AZ28" s="144">
        <f t="shared" si="13"/>
        <v>0</v>
      </c>
      <c r="BA28" s="144">
        <f t="shared" si="13"/>
        <v>0</v>
      </c>
      <c r="BB28" s="144">
        <f t="shared" si="13"/>
        <v>0</v>
      </c>
      <c r="BC28" s="144">
        <f t="shared" si="13"/>
        <v>0</v>
      </c>
      <c r="BD28" s="144">
        <f t="shared" si="13"/>
        <v>0</v>
      </c>
      <c r="BE28" s="144">
        <f t="shared" si="13"/>
        <v>0</v>
      </c>
      <c r="BF28" s="144">
        <f t="shared" si="13"/>
        <v>0</v>
      </c>
      <c r="BG28" s="144">
        <f t="shared" si="13"/>
        <v>0</v>
      </c>
      <c r="BH28" s="144">
        <f t="shared" si="13"/>
        <v>0</v>
      </c>
      <c r="BI28" s="144">
        <f t="shared" si="13"/>
        <v>0</v>
      </c>
      <c r="BJ28" s="144">
        <f t="shared" si="13"/>
        <v>0</v>
      </c>
      <c r="BK28" s="144">
        <f t="shared" si="13"/>
        <v>0</v>
      </c>
      <c r="BL28" s="144">
        <f t="shared" si="13"/>
        <v>0</v>
      </c>
      <c r="BM28" s="144">
        <f t="shared" si="13"/>
        <v>0</v>
      </c>
      <c r="BN28" s="144">
        <f t="shared" si="13"/>
        <v>0</v>
      </c>
      <c r="BO28" s="144">
        <f t="shared" ref="BO28:CT28" si="14">IF($C11&lt;&gt;"Yes",0,IF(AND(BO$3&gt;=$B11,BO$3&lt;=EOMONTH($B11,119)),INDEX($C$5:$DR$5,1,12*(YEAR(BO$3)-YEAR($B11))+MONTH(BO$3)-MONTH($B11)+1),0))</f>
        <v>0</v>
      </c>
      <c r="BP28" s="144">
        <f t="shared" si="14"/>
        <v>0</v>
      </c>
      <c r="BQ28" s="144">
        <f t="shared" si="14"/>
        <v>0</v>
      </c>
      <c r="BR28" s="144">
        <f t="shared" si="14"/>
        <v>0</v>
      </c>
      <c r="BS28" s="144">
        <f t="shared" si="14"/>
        <v>0</v>
      </c>
      <c r="BT28" s="144">
        <f t="shared" si="14"/>
        <v>0</v>
      </c>
      <c r="BU28" s="144">
        <f t="shared" si="14"/>
        <v>0</v>
      </c>
      <c r="BV28" s="144">
        <f t="shared" si="14"/>
        <v>0</v>
      </c>
      <c r="BW28" s="144">
        <f t="shared" si="14"/>
        <v>0</v>
      </c>
      <c r="BX28" s="144">
        <f t="shared" si="14"/>
        <v>0</v>
      </c>
      <c r="BY28" s="144">
        <f t="shared" si="14"/>
        <v>0</v>
      </c>
      <c r="BZ28" s="144">
        <f t="shared" si="14"/>
        <v>0</v>
      </c>
      <c r="CA28" s="144">
        <f t="shared" si="14"/>
        <v>0</v>
      </c>
      <c r="CB28" s="144">
        <f t="shared" si="14"/>
        <v>0</v>
      </c>
      <c r="CC28" s="144">
        <f t="shared" si="14"/>
        <v>0</v>
      </c>
      <c r="CD28" s="144">
        <f t="shared" si="14"/>
        <v>0</v>
      </c>
      <c r="CE28" s="144">
        <f t="shared" si="14"/>
        <v>0</v>
      </c>
      <c r="CF28" s="144">
        <f t="shared" si="14"/>
        <v>0</v>
      </c>
      <c r="CG28" s="144">
        <f t="shared" si="14"/>
        <v>0</v>
      </c>
      <c r="CH28" s="144">
        <f t="shared" si="14"/>
        <v>0</v>
      </c>
      <c r="CI28" s="144">
        <f t="shared" si="14"/>
        <v>0</v>
      </c>
      <c r="CJ28" s="144">
        <f t="shared" si="14"/>
        <v>0</v>
      </c>
      <c r="CK28" s="144">
        <f t="shared" si="14"/>
        <v>0</v>
      </c>
      <c r="CL28" s="144">
        <f t="shared" si="14"/>
        <v>0</v>
      </c>
      <c r="CM28" s="144">
        <f t="shared" si="14"/>
        <v>0</v>
      </c>
      <c r="CN28" s="144">
        <f t="shared" si="14"/>
        <v>0</v>
      </c>
      <c r="CO28" s="144">
        <f t="shared" si="14"/>
        <v>0</v>
      </c>
      <c r="CP28" s="144">
        <f t="shared" si="14"/>
        <v>0</v>
      </c>
      <c r="CQ28" s="144">
        <f t="shared" si="14"/>
        <v>0</v>
      </c>
      <c r="CR28" s="144">
        <f t="shared" si="14"/>
        <v>0</v>
      </c>
      <c r="CS28" s="144">
        <f t="shared" si="14"/>
        <v>0</v>
      </c>
      <c r="CT28" s="144">
        <f t="shared" si="14"/>
        <v>0</v>
      </c>
      <c r="CU28" s="144">
        <f t="shared" ref="CU28:DR28" si="15">IF($C11&lt;&gt;"Yes",0,IF(AND(CU$3&gt;=$B11,CU$3&lt;=EOMONTH($B11,119)),INDEX($C$5:$DR$5,1,12*(YEAR(CU$3)-YEAR($B11))+MONTH(CU$3)-MONTH($B11)+1),0))</f>
        <v>0</v>
      </c>
      <c r="CV28" s="144">
        <f t="shared" si="15"/>
        <v>0</v>
      </c>
      <c r="CW28" s="144">
        <f t="shared" si="15"/>
        <v>0</v>
      </c>
      <c r="CX28" s="144">
        <f t="shared" si="15"/>
        <v>0</v>
      </c>
      <c r="CY28" s="144">
        <f t="shared" si="15"/>
        <v>0</v>
      </c>
      <c r="CZ28" s="144">
        <f t="shared" si="15"/>
        <v>0</v>
      </c>
      <c r="DA28" s="144">
        <f t="shared" si="15"/>
        <v>0</v>
      </c>
      <c r="DB28" s="144">
        <f t="shared" si="15"/>
        <v>0</v>
      </c>
      <c r="DC28" s="144">
        <f t="shared" si="15"/>
        <v>0</v>
      </c>
      <c r="DD28" s="144">
        <f t="shared" si="15"/>
        <v>0</v>
      </c>
      <c r="DE28" s="144">
        <f t="shared" si="15"/>
        <v>0</v>
      </c>
      <c r="DF28" s="144">
        <f t="shared" si="15"/>
        <v>0</v>
      </c>
      <c r="DG28" s="144">
        <f t="shared" si="15"/>
        <v>0</v>
      </c>
      <c r="DH28" s="144">
        <f t="shared" si="15"/>
        <v>0</v>
      </c>
      <c r="DI28" s="144">
        <f t="shared" si="15"/>
        <v>0</v>
      </c>
      <c r="DJ28" s="144">
        <f t="shared" si="15"/>
        <v>0</v>
      </c>
      <c r="DK28" s="144">
        <f t="shared" si="15"/>
        <v>0</v>
      </c>
      <c r="DL28" s="144">
        <f t="shared" si="15"/>
        <v>0</v>
      </c>
      <c r="DM28" s="144">
        <f t="shared" si="15"/>
        <v>0</v>
      </c>
      <c r="DN28" s="144">
        <f t="shared" si="15"/>
        <v>0</v>
      </c>
      <c r="DO28" s="144">
        <f t="shared" si="15"/>
        <v>0</v>
      </c>
      <c r="DP28" s="144">
        <f t="shared" si="15"/>
        <v>0</v>
      </c>
      <c r="DQ28" s="144">
        <f t="shared" si="15"/>
        <v>0</v>
      </c>
      <c r="DR28" s="144">
        <f t="shared" si="15"/>
        <v>0</v>
      </c>
    </row>
    <row r="29" spans="1:122">
      <c r="A29" s="142" t="s">
        <v>315</v>
      </c>
      <c r="C29" s="144">
        <f t="shared" ref="C29:AH29" si="16">IF($C11&lt;&gt;"Yes",0,IF(AND(C$3&gt;=$B11,C$3&lt;=EOMONTH($B11,119)),INDEX($C$6:$DR$6,1,12*(YEAR(C$3)-YEAR($B11))+MONTH(C$3)-MONTH($B11)+1),0))</f>
        <v>0</v>
      </c>
      <c r="D29" s="144">
        <f t="shared" si="16"/>
        <v>0</v>
      </c>
      <c r="E29" s="144">
        <f t="shared" si="16"/>
        <v>0</v>
      </c>
      <c r="F29" s="144">
        <f t="shared" si="16"/>
        <v>0</v>
      </c>
      <c r="G29" s="144">
        <f t="shared" si="16"/>
        <v>0</v>
      </c>
      <c r="H29" s="144">
        <f t="shared" si="16"/>
        <v>0</v>
      </c>
      <c r="I29" s="144">
        <f t="shared" si="16"/>
        <v>0</v>
      </c>
      <c r="J29" s="144">
        <f t="shared" si="16"/>
        <v>0</v>
      </c>
      <c r="K29" s="144">
        <f t="shared" si="16"/>
        <v>0</v>
      </c>
      <c r="L29" s="144">
        <f t="shared" si="16"/>
        <v>0</v>
      </c>
      <c r="M29" s="144">
        <f t="shared" si="16"/>
        <v>0</v>
      </c>
      <c r="N29" s="144">
        <f t="shared" si="16"/>
        <v>0</v>
      </c>
      <c r="O29" s="144">
        <f t="shared" si="16"/>
        <v>0</v>
      </c>
      <c r="P29" s="144">
        <f t="shared" si="16"/>
        <v>0</v>
      </c>
      <c r="Q29" s="144">
        <f t="shared" si="16"/>
        <v>0</v>
      </c>
      <c r="R29" s="144">
        <f t="shared" si="16"/>
        <v>0</v>
      </c>
      <c r="S29" s="144">
        <f t="shared" si="16"/>
        <v>0</v>
      </c>
      <c r="T29" s="144">
        <f t="shared" si="16"/>
        <v>0</v>
      </c>
      <c r="U29" s="144">
        <f t="shared" si="16"/>
        <v>0</v>
      </c>
      <c r="V29" s="144">
        <f t="shared" si="16"/>
        <v>0</v>
      </c>
      <c r="W29" s="144">
        <f t="shared" si="16"/>
        <v>0</v>
      </c>
      <c r="X29" s="144">
        <f t="shared" si="16"/>
        <v>0</v>
      </c>
      <c r="Y29" s="144">
        <f t="shared" si="16"/>
        <v>0</v>
      </c>
      <c r="Z29" s="144">
        <f t="shared" si="16"/>
        <v>0</v>
      </c>
      <c r="AA29" s="144">
        <f t="shared" si="16"/>
        <v>0</v>
      </c>
      <c r="AB29" s="144">
        <f t="shared" si="16"/>
        <v>0</v>
      </c>
      <c r="AC29" s="144">
        <f t="shared" si="16"/>
        <v>0</v>
      </c>
      <c r="AD29" s="144">
        <f t="shared" si="16"/>
        <v>0</v>
      </c>
      <c r="AE29" s="144">
        <f t="shared" si="16"/>
        <v>0</v>
      </c>
      <c r="AF29" s="144">
        <f t="shared" si="16"/>
        <v>0</v>
      </c>
      <c r="AG29" s="144">
        <f t="shared" si="16"/>
        <v>0</v>
      </c>
      <c r="AH29" s="144">
        <f t="shared" si="16"/>
        <v>0</v>
      </c>
      <c r="AI29" s="144">
        <f t="shared" ref="AI29:BN29" si="17">IF($C11&lt;&gt;"Yes",0,IF(AND(AI$3&gt;=$B11,AI$3&lt;=EOMONTH($B11,119)),INDEX($C$6:$DR$6,1,12*(YEAR(AI$3)-YEAR($B11))+MONTH(AI$3)-MONTH($B11)+1),0))</f>
        <v>0</v>
      </c>
      <c r="AJ29" s="144">
        <f t="shared" si="17"/>
        <v>0</v>
      </c>
      <c r="AK29" s="144">
        <f t="shared" si="17"/>
        <v>0</v>
      </c>
      <c r="AL29" s="144">
        <f t="shared" si="17"/>
        <v>0</v>
      </c>
      <c r="AM29" s="144">
        <f t="shared" si="17"/>
        <v>0</v>
      </c>
      <c r="AN29" s="144">
        <f t="shared" si="17"/>
        <v>0</v>
      </c>
      <c r="AO29" s="144">
        <f t="shared" si="17"/>
        <v>0</v>
      </c>
      <c r="AP29" s="144">
        <f t="shared" si="17"/>
        <v>0</v>
      </c>
      <c r="AQ29" s="144">
        <f t="shared" si="17"/>
        <v>0</v>
      </c>
      <c r="AR29" s="144">
        <f t="shared" si="17"/>
        <v>0</v>
      </c>
      <c r="AS29" s="144">
        <f t="shared" si="17"/>
        <v>0</v>
      </c>
      <c r="AT29" s="144">
        <f t="shared" si="17"/>
        <v>0</v>
      </c>
      <c r="AU29" s="144">
        <f t="shared" si="17"/>
        <v>0</v>
      </c>
      <c r="AV29" s="144">
        <f t="shared" si="17"/>
        <v>0</v>
      </c>
      <c r="AW29" s="144">
        <f t="shared" si="17"/>
        <v>0</v>
      </c>
      <c r="AX29" s="144">
        <f t="shared" si="17"/>
        <v>0</v>
      </c>
      <c r="AY29" s="144">
        <f t="shared" si="17"/>
        <v>0</v>
      </c>
      <c r="AZ29" s="144">
        <f t="shared" si="17"/>
        <v>0</v>
      </c>
      <c r="BA29" s="144">
        <f t="shared" si="17"/>
        <v>0</v>
      </c>
      <c r="BB29" s="144">
        <f t="shared" si="17"/>
        <v>0</v>
      </c>
      <c r="BC29" s="144">
        <f t="shared" si="17"/>
        <v>0</v>
      </c>
      <c r="BD29" s="144">
        <f t="shared" si="17"/>
        <v>0</v>
      </c>
      <c r="BE29" s="144">
        <f t="shared" si="17"/>
        <v>0</v>
      </c>
      <c r="BF29" s="144">
        <f t="shared" si="17"/>
        <v>0</v>
      </c>
      <c r="BG29" s="144">
        <f t="shared" si="17"/>
        <v>0</v>
      </c>
      <c r="BH29" s="144">
        <f t="shared" si="17"/>
        <v>0</v>
      </c>
      <c r="BI29" s="144">
        <f t="shared" si="17"/>
        <v>0</v>
      </c>
      <c r="BJ29" s="144">
        <f t="shared" si="17"/>
        <v>0</v>
      </c>
      <c r="BK29" s="144">
        <f t="shared" si="17"/>
        <v>0</v>
      </c>
      <c r="BL29" s="144">
        <f t="shared" si="17"/>
        <v>0</v>
      </c>
      <c r="BM29" s="144">
        <f t="shared" si="17"/>
        <v>0</v>
      </c>
      <c r="BN29" s="144">
        <f t="shared" si="17"/>
        <v>0</v>
      </c>
      <c r="BO29" s="144">
        <f t="shared" ref="BO29:CT29" si="18">IF($C11&lt;&gt;"Yes",0,IF(AND(BO$3&gt;=$B11,BO$3&lt;=EOMONTH($B11,119)),INDEX($C$6:$DR$6,1,12*(YEAR(BO$3)-YEAR($B11))+MONTH(BO$3)-MONTH($B11)+1),0))</f>
        <v>0</v>
      </c>
      <c r="BP29" s="144">
        <f t="shared" si="18"/>
        <v>0</v>
      </c>
      <c r="BQ29" s="144">
        <f t="shared" si="18"/>
        <v>0</v>
      </c>
      <c r="BR29" s="144">
        <f t="shared" si="18"/>
        <v>0</v>
      </c>
      <c r="BS29" s="144">
        <f t="shared" si="18"/>
        <v>0</v>
      </c>
      <c r="BT29" s="144">
        <f t="shared" si="18"/>
        <v>0</v>
      </c>
      <c r="BU29" s="144">
        <f t="shared" si="18"/>
        <v>0</v>
      </c>
      <c r="BV29" s="144">
        <f t="shared" si="18"/>
        <v>0</v>
      </c>
      <c r="BW29" s="144">
        <f t="shared" si="18"/>
        <v>0</v>
      </c>
      <c r="BX29" s="144">
        <f t="shared" si="18"/>
        <v>0</v>
      </c>
      <c r="BY29" s="144">
        <f t="shared" si="18"/>
        <v>0</v>
      </c>
      <c r="BZ29" s="144">
        <f t="shared" si="18"/>
        <v>0</v>
      </c>
      <c r="CA29" s="144">
        <f t="shared" si="18"/>
        <v>0</v>
      </c>
      <c r="CB29" s="144">
        <f t="shared" si="18"/>
        <v>0</v>
      </c>
      <c r="CC29" s="144">
        <f t="shared" si="18"/>
        <v>0</v>
      </c>
      <c r="CD29" s="144">
        <f t="shared" si="18"/>
        <v>0</v>
      </c>
      <c r="CE29" s="144">
        <f t="shared" si="18"/>
        <v>0</v>
      </c>
      <c r="CF29" s="144">
        <f t="shared" si="18"/>
        <v>0</v>
      </c>
      <c r="CG29" s="144">
        <f t="shared" si="18"/>
        <v>0</v>
      </c>
      <c r="CH29" s="144">
        <f t="shared" si="18"/>
        <v>0</v>
      </c>
      <c r="CI29" s="144">
        <f t="shared" si="18"/>
        <v>0</v>
      </c>
      <c r="CJ29" s="144">
        <f t="shared" si="18"/>
        <v>0</v>
      </c>
      <c r="CK29" s="144">
        <f t="shared" si="18"/>
        <v>0</v>
      </c>
      <c r="CL29" s="144">
        <f t="shared" si="18"/>
        <v>0</v>
      </c>
      <c r="CM29" s="144">
        <f t="shared" si="18"/>
        <v>0</v>
      </c>
      <c r="CN29" s="144">
        <f t="shared" si="18"/>
        <v>0</v>
      </c>
      <c r="CO29" s="144">
        <f t="shared" si="18"/>
        <v>0</v>
      </c>
      <c r="CP29" s="144">
        <f t="shared" si="18"/>
        <v>0</v>
      </c>
      <c r="CQ29" s="144">
        <f t="shared" si="18"/>
        <v>0</v>
      </c>
      <c r="CR29" s="144">
        <f t="shared" si="18"/>
        <v>0</v>
      </c>
      <c r="CS29" s="144">
        <f t="shared" si="18"/>
        <v>0</v>
      </c>
      <c r="CT29" s="144">
        <f t="shared" si="18"/>
        <v>0</v>
      </c>
      <c r="CU29" s="144">
        <f t="shared" ref="CU29:DR29" si="19">IF($C11&lt;&gt;"Yes",0,IF(AND(CU$3&gt;=$B11,CU$3&lt;=EOMONTH($B11,119)),INDEX($C$6:$DR$6,1,12*(YEAR(CU$3)-YEAR($B11))+MONTH(CU$3)-MONTH($B11)+1),0))</f>
        <v>0</v>
      </c>
      <c r="CV29" s="144">
        <f t="shared" si="19"/>
        <v>0</v>
      </c>
      <c r="CW29" s="144">
        <f t="shared" si="19"/>
        <v>0</v>
      </c>
      <c r="CX29" s="144">
        <f t="shared" si="19"/>
        <v>0</v>
      </c>
      <c r="CY29" s="144">
        <f t="shared" si="19"/>
        <v>0</v>
      </c>
      <c r="CZ29" s="144">
        <f t="shared" si="19"/>
        <v>0</v>
      </c>
      <c r="DA29" s="144">
        <f t="shared" si="19"/>
        <v>0</v>
      </c>
      <c r="DB29" s="144">
        <f t="shared" si="19"/>
        <v>0</v>
      </c>
      <c r="DC29" s="144">
        <f t="shared" si="19"/>
        <v>0</v>
      </c>
      <c r="DD29" s="144">
        <f t="shared" si="19"/>
        <v>0</v>
      </c>
      <c r="DE29" s="144">
        <f t="shared" si="19"/>
        <v>0</v>
      </c>
      <c r="DF29" s="144">
        <f t="shared" si="19"/>
        <v>0</v>
      </c>
      <c r="DG29" s="144">
        <f t="shared" si="19"/>
        <v>0</v>
      </c>
      <c r="DH29" s="144">
        <f t="shared" si="19"/>
        <v>0</v>
      </c>
      <c r="DI29" s="144">
        <f t="shared" si="19"/>
        <v>0</v>
      </c>
      <c r="DJ29" s="144">
        <f t="shared" si="19"/>
        <v>0</v>
      </c>
      <c r="DK29" s="144">
        <f t="shared" si="19"/>
        <v>0</v>
      </c>
      <c r="DL29" s="144">
        <f t="shared" si="19"/>
        <v>0</v>
      </c>
      <c r="DM29" s="144">
        <f t="shared" si="19"/>
        <v>0</v>
      </c>
      <c r="DN29" s="144">
        <f t="shared" si="19"/>
        <v>0</v>
      </c>
      <c r="DO29" s="144">
        <f t="shared" si="19"/>
        <v>0</v>
      </c>
      <c r="DP29" s="144">
        <f t="shared" si="19"/>
        <v>0</v>
      </c>
      <c r="DQ29" s="144">
        <f t="shared" si="19"/>
        <v>0</v>
      </c>
      <c r="DR29" s="144">
        <f t="shared" si="19"/>
        <v>0</v>
      </c>
    </row>
    <row r="30" spans="1:122">
      <c r="A30" s="142" t="s">
        <v>316</v>
      </c>
      <c r="C30" s="144">
        <f t="shared" ref="C30:AH30" si="20">IF($C11&lt;&gt;"Yes",0,IF(AND(C$3&gt;=$B11,C$3&lt;=EOMONTH($B11,119)),INDEX($C$7:$DR$7,1,12*(YEAR(C$3)-YEAR($B11))+MONTH(C$3)-MONTH($B11)+1),0))</f>
        <v>0</v>
      </c>
      <c r="D30" s="144">
        <f t="shared" si="20"/>
        <v>0</v>
      </c>
      <c r="E30" s="144">
        <f t="shared" si="20"/>
        <v>0</v>
      </c>
      <c r="F30" s="144">
        <f t="shared" si="20"/>
        <v>0</v>
      </c>
      <c r="G30" s="144">
        <f t="shared" si="20"/>
        <v>0</v>
      </c>
      <c r="H30" s="144">
        <f t="shared" si="20"/>
        <v>0</v>
      </c>
      <c r="I30" s="144">
        <f t="shared" si="20"/>
        <v>0</v>
      </c>
      <c r="J30" s="144">
        <f t="shared" si="20"/>
        <v>0</v>
      </c>
      <c r="K30" s="144">
        <f t="shared" si="20"/>
        <v>0</v>
      </c>
      <c r="L30" s="144">
        <f t="shared" si="20"/>
        <v>0</v>
      </c>
      <c r="M30" s="144">
        <f t="shared" si="20"/>
        <v>0</v>
      </c>
      <c r="N30" s="144">
        <f t="shared" si="20"/>
        <v>0</v>
      </c>
      <c r="O30" s="144">
        <f t="shared" si="20"/>
        <v>0</v>
      </c>
      <c r="P30" s="144">
        <f t="shared" si="20"/>
        <v>0</v>
      </c>
      <c r="Q30" s="144">
        <f t="shared" si="20"/>
        <v>0</v>
      </c>
      <c r="R30" s="144">
        <f t="shared" si="20"/>
        <v>0</v>
      </c>
      <c r="S30" s="144">
        <f t="shared" si="20"/>
        <v>0</v>
      </c>
      <c r="T30" s="144">
        <f t="shared" si="20"/>
        <v>0</v>
      </c>
      <c r="U30" s="144">
        <f t="shared" si="20"/>
        <v>0</v>
      </c>
      <c r="V30" s="144">
        <f t="shared" si="20"/>
        <v>0</v>
      </c>
      <c r="W30" s="144">
        <f t="shared" si="20"/>
        <v>0</v>
      </c>
      <c r="X30" s="144">
        <f t="shared" si="20"/>
        <v>0</v>
      </c>
      <c r="Y30" s="144">
        <f t="shared" si="20"/>
        <v>0</v>
      </c>
      <c r="Z30" s="144">
        <f t="shared" si="20"/>
        <v>0</v>
      </c>
      <c r="AA30" s="144">
        <f t="shared" si="20"/>
        <v>0</v>
      </c>
      <c r="AB30" s="144">
        <f t="shared" si="20"/>
        <v>0</v>
      </c>
      <c r="AC30" s="144">
        <f t="shared" si="20"/>
        <v>0</v>
      </c>
      <c r="AD30" s="144">
        <f t="shared" si="20"/>
        <v>0</v>
      </c>
      <c r="AE30" s="144">
        <f t="shared" si="20"/>
        <v>0</v>
      </c>
      <c r="AF30" s="144">
        <f t="shared" si="20"/>
        <v>0</v>
      </c>
      <c r="AG30" s="144">
        <f t="shared" si="20"/>
        <v>0</v>
      </c>
      <c r="AH30" s="144">
        <f t="shared" si="20"/>
        <v>0</v>
      </c>
      <c r="AI30" s="144">
        <f t="shared" ref="AI30:BN30" si="21">IF($C11&lt;&gt;"Yes",0,IF(AND(AI$3&gt;=$B11,AI$3&lt;=EOMONTH($B11,119)),INDEX($C$7:$DR$7,1,12*(YEAR(AI$3)-YEAR($B11))+MONTH(AI$3)-MONTH($B11)+1),0))</f>
        <v>0</v>
      </c>
      <c r="AJ30" s="144">
        <f t="shared" si="21"/>
        <v>0</v>
      </c>
      <c r="AK30" s="144">
        <f t="shared" si="21"/>
        <v>0</v>
      </c>
      <c r="AL30" s="144">
        <f t="shared" si="21"/>
        <v>0</v>
      </c>
      <c r="AM30" s="144">
        <f t="shared" si="21"/>
        <v>0</v>
      </c>
      <c r="AN30" s="144">
        <f t="shared" si="21"/>
        <v>0</v>
      </c>
      <c r="AO30" s="144">
        <f t="shared" si="21"/>
        <v>0</v>
      </c>
      <c r="AP30" s="144">
        <f t="shared" si="21"/>
        <v>0</v>
      </c>
      <c r="AQ30" s="144">
        <f t="shared" si="21"/>
        <v>0</v>
      </c>
      <c r="AR30" s="144">
        <f t="shared" si="21"/>
        <v>0</v>
      </c>
      <c r="AS30" s="144">
        <f t="shared" si="21"/>
        <v>0</v>
      </c>
      <c r="AT30" s="144">
        <f t="shared" si="21"/>
        <v>0</v>
      </c>
      <c r="AU30" s="144">
        <f t="shared" si="21"/>
        <v>0</v>
      </c>
      <c r="AV30" s="144">
        <f t="shared" si="21"/>
        <v>0</v>
      </c>
      <c r="AW30" s="144">
        <f t="shared" si="21"/>
        <v>0</v>
      </c>
      <c r="AX30" s="144">
        <f t="shared" si="21"/>
        <v>0</v>
      </c>
      <c r="AY30" s="144">
        <f t="shared" si="21"/>
        <v>0</v>
      </c>
      <c r="AZ30" s="144">
        <f t="shared" si="21"/>
        <v>0</v>
      </c>
      <c r="BA30" s="144">
        <f t="shared" si="21"/>
        <v>0</v>
      </c>
      <c r="BB30" s="144">
        <f t="shared" si="21"/>
        <v>0</v>
      </c>
      <c r="BC30" s="144">
        <f t="shared" si="21"/>
        <v>0</v>
      </c>
      <c r="BD30" s="144">
        <f t="shared" si="21"/>
        <v>0</v>
      </c>
      <c r="BE30" s="144">
        <f t="shared" si="21"/>
        <v>0</v>
      </c>
      <c r="BF30" s="144">
        <f t="shared" si="21"/>
        <v>0</v>
      </c>
      <c r="BG30" s="144">
        <f t="shared" si="21"/>
        <v>0</v>
      </c>
      <c r="BH30" s="144">
        <f t="shared" si="21"/>
        <v>0</v>
      </c>
      <c r="BI30" s="144">
        <f t="shared" si="21"/>
        <v>0</v>
      </c>
      <c r="BJ30" s="144">
        <f t="shared" si="21"/>
        <v>0</v>
      </c>
      <c r="BK30" s="144">
        <f t="shared" si="21"/>
        <v>0</v>
      </c>
      <c r="BL30" s="144">
        <f t="shared" si="21"/>
        <v>0</v>
      </c>
      <c r="BM30" s="144">
        <f t="shared" si="21"/>
        <v>0</v>
      </c>
      <c r="BN30" s="144">
        <f t="shared" si="21"/>
        <v>0</v>
      </c>
      <c r="BO30" s="144">
        <f t="shared" ref="BO30:CT30" si="22">IF($C11&lt;&gt;"Yes",0,IF(AND(BO$3&gt;=$B11,BO$3&lt;=EOMONTH($B11,119)),INDEX($C$7:$DR$7,1,12*(YEAR(BO$3)-YEAR($B11))+MONTH(BO$3)-MONTH($B11)+1),0))</f>
        <v>0</v>
      </c>
      <c r="BP30" s="144">
        <f t="shared" si="22"/>
        <v>0</v>
      </c>
      <c r="BQ30" s="144">
        <f t="shared" si="22"/>
        <v>0</v>
      </c>
      <c r="BR30" s="144">
        <f t="shared" si="22"/>
        <v>0</v>
      </c>
      <c r="BS30" s="144">
        <f t="shared" si="22"/>
        <v>0</v>
      </c>
      <c r="BT30" s="144">
        <f t="shared" si="22"/>
        <v>0</v>
      </c>
      <c r="BU30" s="144">
        <f t="shared" si="22"/>
        <v>0</v>
      </c>
      <c r="BV30" s="144">
        <f t="shared" si="22"/>
        <v>0</v>
      </c>
      <c r="BW30" s="144">
        <f t="shared" si="22"/>
        <v>0</v>
      </c>
      <c r="BX30" s="144">
        <f t="shared" si="22"/>
        <v>0</v>
      </c>
      <c r="BY30" s="144">
        <f t="shared" si="22"/>
        <v>0</v>
      </c>
      <c r="BZ30" s="144">
        <f t="shared" si="22"/>
        <v>0</v>
      </c>
      <c r="CA30" s="144">
        <f t="shared" si="22"/>
        <v>0</v>
      </c>
      <c r="CB30" s="144">
        <f t="shared" si="22"/>
        <v>0</v>
      </c>
      <c r="CC30" s="144">
        <f t="shared" si="22"/>
        <v>0</v>
      </c>
      <c r="CD30" s="144">
        <f t="shared" si="22"/>
        <v>0</v>
      </c>
      <c r="CE30" s="144">
        <f t="shared" si="22"/>
        <v>0</v>
      </c>
      <c r="CF30" s="144">
        <f t="shared" si="22"/>
        <v>0</v>
      </c>
      <c r="CG30" s="144">
        <f t="shared" si="22"/>
        <v>0</v>
      </c>
      <c r="CH30" s="144">
        <f t="shared" si="22"/>
        <v>0</v>
      </c>
      <c r="CI30" s="144">
        <f t="shared" si="22"/>
        <v>0</v>
      </c>
      <c r="CJ30" s="144">
        <f t="shared" si="22"/>
        <v>0</v>
      </c>
      <c r="CK30" s="144">
        <f t="shared" si="22"/>
        <v>0</v>
      </c>
      <c r="CL30" s="144">
        <f t="shared" si="22"/>
        <v>0</v>
      </c>
      <c r="CM30" s="144">
        <f t="shared" si="22"/>
        <v>0</v>
      </c>
      <c r="CN30" s="144">
        <f t="shared" si="22"/>
        <v>0</v>
      </c>
      <c r="CO30" s="144">
        <f t="shared" si="22"/>
        <v>0</v>
      </c>
      <c r="CP30" s="144">
        <f t="shared" si="22"/>
        <v>0</v>
      </c>
      <c r="CQ30" s="144">
        <f t="shared" si="22"/>
        <v>0</v>
      </c>
      <c r="CR30" s="144">
        <f t="shared" si="22"/>
        <v>0</v>
      </c>
      <c r="CS30" s="144">
        <f t="shared" si="22"/>
        <v>0</v>
      </c>
      <c r="CT30" s="144">
        <f t="shared" si="22"/>
        <v>0</v>
      </c>
      <c r="CU30" s="144">
        <f t="shared" ref="CU30:DR30" si="23">IF($C11&lt;&gt;"Yes",0,IF(AND(CU$3&gt;=$B11,CU$3&lt;=EOMONTH($B11,119)),INDEX($C$7:$DR$7,1,12*(YEAR(CU$3)-YEAR($B11))+MONTH(CU$3)-MONTH($B11)+1),0))</f>
        <v>0</v>
      </c>
      <c r="CV30" s="144">
        <f t="shared" si="23"/>
        <v>0</v>
      </c>
      <c r="CW30" s="144">
        <f t="shared" si="23"/>
        <v>0</v>
      </c>
      <c r="CX30" s="144">
        <f t="shared" si="23"/>
        <v>0</v>
      </c>
      <c r="CY30" s="144">
        <f t="shared" si="23"/>
        <v>0</v>
      </c>
      <c r="CZ30" s="144">
        <f t="shared" si="23"/>
        <v>0</v>
      </c>
      <c r="DA30" s="144">
        <f t="shared" si="23"/>
        <v>0</v>
      </c>
      <c r="DB30" s="144">
        <f t="shared" si="23"/>
        <v>0</v>
      </c>
      <c r="DC30" s="144">
        <f t="shared" si="23"/>
        <v>0</v>
      </c>
      <c r="DD30" s="144">
        <f t="shared" si="23"/>
        <v>0</v>
      </c>
      <c r="DE30" s="144">
        <f t="shared" si="23"/>
        <v>0</v>
      </c>
      <c r="DF30" s="144">
        <f t="shared" si="23"/>
        <v>0</v>
      </c>
      <c r="DG30" s="144">
        <f t="shared" si="23"/>
        <v>0</v>
      </c>
      <c r="DH30" s="144">
        <f t="shared" si="23"/>
        <v>0</v>
      </c>
      <c r="DI30" s="144">
        <f t="shared" si="23"/>
        <v>0</v>
      </c>
      <c r="DJ30" s="144">
        <f t="shared" si="23"/>
        <v>0</v>
      </c>
      <c r="DK30" s="144">
        <f t="shared" si="23"/>
        <v>0</v>
      </c>
      <c r="DL30" s="144">
        <f t="shared" si="23"/>
        <v>0</v>
      </c>
      <c r="DM30" s="144">
        <f t="shared" si="23"/>
        <v>0</v>
      </c>
      <c r="DN30" s="144">
        <f t="shared" si="23"/>
        <v>0</v>
      </c>
      <c r="DO30" s="144">
        <f t="shared" si="23"/>
        <v>0</v>
      </c>
      <c r="DP30" s="144">
        <f t="shared" si="23"/>
        <v>0</v>
      </c>
      <c r="DQ30" s="144">
        <f t="shared" si="23"/>
        <v>0</v>
      </c>
      <c r="DR30" s="144">
        <f t="shared" si="23"/>
        <v>0</v>
      </c>
    </row>
    <row r="31" spans="1:122">
      <c r="A31" s="142" t="s">
        <v>317</v>
      </c>
      <c r="C31" s="144">
        <f t="shared" ref="C31:AH31" si="24">IF($C12&lt;&gt;"Yes",0,IF(AND(C$3&gt;=$B12,C$3&lt;=EOMONTH($B12,119)),INDEX($C$5:$DR$5,1,12*(YEAR(C$3)-YEAR($B12))+MONTH(C$3)-MONTH($B12)+1),0))</f>
        <v>0</v>
      </c>
      <c r="D31" s="144">
        <f t="shared" si="24"/>
        <v>0</v>
      </c>
      <c r="E31" s="144">
        <f t="shared" si="24"/>
        <v>0</v>
      </c>
      <c r="F31" s="144">
        <f t="shared" si="24"/>
        <v>0</v>
      </c>
      <c r="G31" s="144">
        <f t="shared" si="24"/>
        <v>0</v>
      </c>
      <c r="H31" s="144">
        <f t="shared" si="24"/>
        <v>0</v>
      </c>
      <c r="I31" s="144">
        <f t="shared" si="24"/>
        <v>0</v>
      </c>
      <c r="J31" s="144">
        <f t="shared" si="24"/>
        <v>0</v>
      </c>
      <c r="K31" s="144">
        <f t="shared" si="24"/>
        <v>0</v>
      </c>
      <c r="L31" s="144">
        <f t="shared" si="24"/>
        <v>0</v>
      </c>
      <c r="M31" s="144">
        <f t="shared" si="24"/>
        <v>0</v>
      </c>
      <c r="N31" s="144">
        <f t="shared" si="24"/>
        <v>0</v>
      </c>
      <c r="O31" s="144">
        <f t="shared" si="24"/>
        <v>0</v>
      </c>
      <c r="P31" s="144">
        <f t="shared" si="24"/>
        <v>0</v>
      </c>
      <c r="Q31" s="144">
        <f t="shared" si="24"/>
        <v>0</v>
      </c>
      <c r="R31" s="144">
        <f t="shared" si="24"/>
        <v>0</v>
      </c>
      <c r="S31" s="144">
        <f t="shared" si="24"/>
        <v>0</v>
      </c>
      <c r="T31" s="144">
        <f t="shared" si="24"/>
        <v>0</v>
      </c>
      <c r="U31" s="144">
        <f t="shared" si="24"/>
        <v>0</v>
      </c>
      <c r="V31" s="144">
        <f t="shared" si="24"/>
        <v>0</v>
      </c>
      <c r="W31" s="144">
        <f t="shared" si="24"/>
        <v>0</v>
      </c>
      <c r="X31" s="144">
        <f t="shared" si="24"/>
        <v>0</v>
      </c>
      <c r="Y31" s="144">
        <f t="shared" si="24"/>
        <v>0</v>
      </c>
      <c r="Z31" s="144">
        <f t="shared" si="24"/>
        <v>0</v>
      </c>
      <c r="AA31" s="144">
        <f t="shared" si="24"/>
        <v>0</v>
      </c>
      <c r="AB31" s="144">
        <f t="shared" si="24"/>
        <v>0</v>
      </c>
      <c r="AC31" s="144">
        <f t="shared" si="24"/>
        <v>0</v>
      </c>
      <c r="AD31" s="144">
        <f t="shared" si="24"/>
        <v>0</v>
      </c>
      <c r="AE31" s="144">
        <f t="shared" si="24"/>
        <v>0</v>
      </c>
      <c r="AF31" s="144">
        <f t="shared" si="24"/>
        <v>0</v>
      </c>
      <c r="AG31" s="144">
        <f t="shared" si="24"/>
        <v>-7959375</v>
      </c>
      <c r="AH31" s="144">
        <f t="shared" si="24"/>
        <v>0</v>
      </c>
      <c r="AI31" s="144">
        <f t="shared" ref="AI31:BN31" si="25">IF($C12&lt;&gt;"Yes",0,IF(AND(AI$3&gt;=$B12,AI$3&lt;=EOMONTH($B12,119)),INDEX($C$5:$DR$5,1,12*(YEAR(AI$3)-YEAR($B12))+MONTH(AI$3)-MONTH($B12)+1),0))</f>
        <v>0</v>
      </c>
      <c r="AJ31" s="144">
        <f t="shared" si="25"/>
        <v>-6583997.0703125</v>
      </c>
      <c r="AK31" s="144">
        <f t="shared" si="25"/>
        <v>-6583997.0703125</v>
      </c>
      <c r="AL31" s="144">
        <f t="shared" si="25"/>
        <v>-6583997.0703125</v>
      </c>
      <c r="AM31" s="144">
        <f t="shared" si="25"/>
        <v>-6583997.0703125</v>
      </c>
      <c r="AN31" s="144">
        <f t="shared" si="25"/>
        <v>-6583997.0703125</v>
      </c>
      <c r="AO31" s="144">
        <f t="shared" si="25"/>
        <v>-6583997.0703125</v>
      </c>
      <c r="AP31" s="144">
        <f t="shared" si="25"/>
        <v>-6583997.0703125</v>
      </c>
      <c r="AQ31" s="144">
        <f t="shared" si="25"/>
        <v>-6583997.0703125</v>
      </c>
      <c r="AR31" s="144">
        <f t="shared" si="25"/>
        <v>-6583997.0703125</v>
      </c>
      <c r="AS31" s="144">
        <f t="shared" si="25"/>
        <v>-6583997.0703125</v>
      </c>
      <c r="AT31" s="144">
        <f t="shared" si="25"/>
        <v>-6583997.0703125</v>
      </c>
      <c r="AU31" s="144">
        <f t="shared" si="25"/>
        <v>-6583997.0703125</v>
      </c>
      <c r="AV31" s="144">
        <f t="shared" si="25"/>
        <v>-6583997.0703125</v>
      </c>
      <c r="AW31" s="144">
        <f t="shared" si="25"/>
        <v>-6583997.0703125</v>
      </c>
      <c r="AX31" s="144">
        <f t="shared" si="25"/>
        <v>-6583997.0703125</v>
      </c>
      <c r="AY31" s="144">
        <f t="shared" si="25"/>
        <v>-6583997.0703125</v>
      </c>
      <c r="AZ31" s="144">
        <f t="shared" si="25"/>
        <v>-6583997.0703125</v>
      </c>
      <c r="BA31" s="144">
        <f t="shared" si="25"/>
        <v>-6583997.0703125</v>
      </c>
      <c r="BB31" s="144">
        <f t="shared" si="25"/>
        <v>-4731365.7233449398</v>
      </c>
      <c r="BC31" s="144">
        <f t="shared" si="25"/>
        <v>-4731365.7233449398</v>
      </c>
      <c r="BD31" s="144">
        <f t="shared" si="25"/>
        <v>-4731365.7233449398</v>
      </c>
      <c r="BE31" s="144">
        <f t="shared" si="25"/>
        <v>-4731365.7233449398</v>
      </c>
      <c r="BF31" s="144">
        <f t="shared" si="25"/>
        <v>-4731365.7233449398</v>
      </c>
      <c r="BG31" s="144">
        <f t="shared" si="25"/>
        <v>-4731365.7233449398</v>
      </c>
      <c r="BH31" s="144">
        <f t="shared" si="25"/>
        <v>75340341.443347454</v>
      </c>
      <c r="BI31" s="144">
        <f t="shared" si="25"/>
        <v>12350875.646450398</v>
      </c>
      <c r="BJ31" s="144">
        <f t="shared" si="25"/>
        <v>12350875.646450398</v>
      </c>
      <c r="BK31" s="144">
        <f t="shared" si="25"/>
        <v>12350875.646450398</v>
      </c>
      <c r="BL31" s="144">
        <f t="shared" si="25"/>
        <v>12350875.646450398</v>
      </c>
      <c r="BM31" s="144">
        <f t="shared" si="25"/>
        <v>12350875.646450398</v>
      </c>
      <c r="BN31" s="144">
        <f t="shared" si="25"/>
        <v>12350875.646450398</v>
      </c>
      <c r="BO31" s="144">
        <f t="shared" ref="BO31:CT31" si="26">IF($C12&lt;&gt;"Yes",0,IF(AND(BO$3&gt;=$B12,BO$3&lt;=EOMONTH($B12,119)),INDEX($C$5:$DR$5,1,12*(YEAR(BO$3)-YEAR($B12))+MONTH(BO$3)-MONTH($B12)+1),0))</f>
        <v>12350875.646450398</v>
      </c>
      <c r="BP31" s="144">
        <f t="shared" si="26"/>
        <v>12350875.646450398</v>
      </c>
      <c r="BQ31" s="144">
        <f t="shared" si="26"/>
        <v>12350875.646450398</v>
      </c>
      <c r="BR31" s="144">
        <f t="shared" si="26"/>
        <v>12350875.646450398</v>
      </c>
      <c r="BS31" s="144">
        <f t="shared" si="26"/>
        <v>12350875.646450398</v>
      </c>
      <c r="BT31" s="144">
        <f t="shared" si="26"/>
        <v>0</v>
      </c>
      <c r="BU31" s="144">
        <f t="shared" si="26"/>
        <v>0</v>
      </c>
      <c r="BV31" s="144">
        <f t="shared" si="26"/>
        <v>0</v>
      </c>
      <c r="BW31" s="144">
        <f t="shared" si="26"/>
        <v>0</v>
      </c>
      <c r="BX31" s="144">
        <f t="shared" si="26"/>
        <v>0</v>
      </c>
      <c r="BY31" s="144">
        <f t="shared" si="26"/>
        <v>0</v>
      </c>
      <c r="BZ31" s="144">
        <f t="shared" si="26"/>
        <v>0</v>
      </c>
      <c r="CA31" s="144">
        <f t="shared" si="26"/>
        <v>0</v>
      </c>
      <c r="CB31" s="144">
        <f t="shared" si="26"/>
        <v>0</v>
      </c>
      <c r="CC31" s="144">
        <f t="shared" si="26"/>
        <v>0</v>
      </c>
      <c r="CD31" s="144">
        <f t="shared" si="26"/>
        <v>0</v>
      </c>
      <c r="CE31" s="144">
        <f t="shared" si="26"/>
        <v>0</v>
      </c>
      <c r="CF31" s="144">
        <f t="shared" si="26"/>
        <v>0</v>
      </c>
      <c r="CG31" s="144">
        <f t="shared" si="26"/>
        <v>0</v>
      </c>
      <c r="CH31" s="144">
        <f t="shared" si="26"/>
        <v>0</v>
      </c>
      <c r="CI31" s="144">
        <f t="shared" si="26"/>
        <v>0</v>
      </c>
      <c r="CJ31" s="144">
        <f t="shared" si="26"/>
        <v>0</v>
      </c>
      <c r="CK31" s="144">
        <f t="shared" si="26"/>
        <v>0</v>
      </c>
      <c r="CL31" s="144">
        <f t="shared" si="26"/>
        <v>0</v>
      </c>
      <c r="CM31" s="144">
        <f t="shared" si="26"/>
        <v>0</v>
      </c>
      <c r="CN31" s="144">
        <f t="shared" si="26"/>
        <v>0</v>
      </c>
      <c r="CO31" s="144">
        <f t="shared" si="26"/>
        <v>0</v>
      </c>
      <c r="CP31" s="144">
        <f t="shared" si="26"/>
        <v>0</v>
      </c>
      <c r="CQ31" s="144">
        <f t="shared" si="26"/>
        <v>0</v>
      </c>
      <c r="CR31" s="144">
        <f t="shared" si="26"/>
        <v>0</v>
      </c>
      <c r="CS31" s="144">
        <f t="shared" si="26"/>
        <v>0</v>
      </c>
      <c r="CT31" s="144">
        <f t="shared" si="26"/>
        <v>0</v>
      </c>
      <c r="CU31" s="144">
        <f t="shared" ref="CU31:DR31" si="27">IF($C12&lt;&gt;"Yes",0,IF(AND(CU$3&gt;=$B12,CU$3&lt;=EOMONTH($B12,119)),INDEX($C$5:$DR$5,1,12*(YEAR(CU$3)-YEAR($B12))+MONTH(CU$3)-MONTH($B12)+1),0))</f>
        <v>0</v>
      </c>
      <c r="CV31" s="144">
        <f t="shared" si="27"/>
        <v>0</v>
      </c>
      <c r="CW31" s="144">
        <f t="shared" si="27"/>
        <v>0</v>
      </c>
      <c r="CX31" s="144">
        <f t="shared" si="27"/>
        <v>0</v>
      </c>
      <c r="CY31" s="144">
        <f t="shared" si="27"/>
        <v>0</v>
      </c>
      <c r="CZ31" s="144">
        <f t="shared" si="27"/>
        <v>0</v>
      </c>
      <c r="DA31" s="144">
        <f t="shared" si="27"/>
        <v>0</v>
      </c>
      <c r="DB31" s="144">
        <f t="shared" si="27"/>
        <v>0</v>
      </c>
      <c r="DC31" s="144">
        <f t="shared" si="27"/>
        <v>0</v>
      </c>
      <c r="DD31" s="144">
        <f t="shared" si="27"/>
        <v>0</v>
      </c>
      <c r="DE31" s="144">
        <f t="shared" si="27"/>
        <v>0</v>
      </c>
      <c r="DF31" s="144">
        <f t="shared" si="27"/>
        <v>0</v>
      </c>
      <c r="DG31" s="144">
        <f t="shared" si="27"/>
        <v>0</v>
      </c>
      <c r="DH31" s="144">
        <f t="shared" si="27"/>
        <v>0</v>
      </c>
      <c r="DI31" s="144">
        <f t="shared" si="27"/>
        <v>0</v>
      </c>
      <c r="DJ31" s="144">
        <f t="shared" si="27"/>
        <v>0</v>
      </c>
      <c r="DK31" s="144">
        <f t="shared" si="27"/>
        <v>0</v>
      </c>
      <c r="DL31" s="144">
        <f t="shared" si="27"/>
        <v>0</v>
      </c>
      <c r="DM31" s="144">
        <f t="shared" si="27"/>
        <v>0</v>
      </c>
      <c r="DN31" s="144">
        <f t="shared" si="27"/>
        <v>0</v>
      </c>
      <c r="DO31" s="144">
        <f t="shared" si="27"/>
        <v>0</v>
      </c>
      <c r="DP31" s="144">
        <f t="shared" si="27"/>
        <v>0</v>
      </c>
      <c r="DQ31" s="144">
        <f t="shared" si="27"/>
        <v>0</v>
      </c>
      <c r="DR31" s="144">
        <f t="shared" si="27"/>
        <v>0</v>
      </c>
    </row>
    <row r="32" spans="1:122">
      <c r="A32" s="142" t="s">
        <v>318</v>
      </c>
      <c r="C32" s="144">
        <f t="shared" ref="C32:AH32" si="28">IF($C12&lt;&gt;"Yes",0,IF(AND(C$3&gt;=$B12,C$3&lt;=EOMONTH($B12,119)),INDEX($C$6:$DR$6,1,12*(YEAR(C$3)-YEAR($B12))+MONTH(C$3)-MONTH($B12)+1),0))</f>
        <v>0</v>
      </c>
      <c r="D32" s="144">
        <f t="shared" si="28"/>
        <v>0</v>
      </c>
      <c r="E32" s="144">
        <f t="shared" si="28"/>
        <v>0</v>
      </c>
      <c r="F32" s="144">
        <f t="shared" si="28"/>
        <v>0</v>
      </c>
      <c r="G32" s="144">
        <f t="shared" si="28"/>
        <v>0</v>
      </c>
      <c r="H32" s="144">
        <f t="shared" si="28"/>
        <v>0</v>
      </c>
      <c r="I32" s="144">
        <f t="shared" si="28"/>
        <v>0</v>
      </c>
      <c r="J32" s="144">
        <f t="shared" si="28"/>
        <v>0</v>
      </c>
      <c r="K32" s="144">
        <f t="shared" si="28"/>
        <v>0</v>
      </c>
      <c r="L32" s="144">
        <f t="shared" si="28"/>
        <v>0</v>
      </c>
      <c r="M32" s="144">
        <f t="shared" si="28"/>
        <v>0</v>
      </c>
      <c r="N32" s="144">
        <f t="shared" si="28"/>
        <v>0</v>
      </c>
      <c r="O32" s="144">
        <f t="shared" si="28"/>
        <v>0</v>
      </c>
      <c r="P32" s="144">
        <f t="shared" si="28"/>
        <v>0</v>
      </c>
      <c r="Q32" s="144">
        <f t="shared" si="28"/>
        <v>0</v>
      </c>
      <c r="R32" s="144">
        <f t="shared" si="28"/>
        <v>0</v>
      </c>
      <c r="S32" s="144">
        <f t="shared" si="28"/>
        <v>0</v>
      </c>
      <c r="T32" s="144">
        <f t="shared" si="28"/>
        <v>0</v>
      </c>
      <c r="U32" s="144">
        <f t="shared" si="28"/>
        <v>0</v>
      </c>
      <c r="V32" s="144">
        <f t="shared" si="28"/>
        <v>0</v>
      </c>
      <c r="W32" s="144">
        <f t="shared" si="28"/>
        <v>0</v>
      </c>
      <c r="X32" s="144">
        <f t="shared" si="28"/>
        <v>0</v>
      </c>
      <c r="Y32" s="144">
        <f t="shared" si="28"/>
        <v>0</v>
      </c>
      <c r="Z32" s="144">
        <f t="shared" si="28"/>
        <v>0</v>
      </c>
      <c r="AA32" s="144">
        <f t="shared" si="28"/>
        <v>0</v>
      </c>
      <c r="AB32" s="144">
        <f t="shared" si="28"/>
        <v>0</v>
      </c>
      <c r="AC32" s="144">
        <f t="shared" si="28"/>
        <v>0</v>
      </c>
      <c r="AD32" s="144">
        <f t="shared" si="28"/>
        <v>0</v>
      </c>
      <c r="AE32" s="144">
        <f t="shared" si="28"/>
        <v>0</v>
      </c>
      <c r="AF32" s="144">
        <f t="shared" si="28"/>
        <v>0</v>
      </c>
      <c r="AG32" s="144">
        <f t="shared" si="28"/>
        <v>0</v>
      </c>
      <c r="AH32" s="144">
        <f t="shared" si="28"/>
        <v>0</v>
      </c>
      <c r="AI32" s="144">
        <f t="shared" ref="AI32:BN32" si="29">IF($C12&lt;&gt;"Yes",0,IF(AND(AI$3&gt;=$B12,AI$3&lt;=EOMONTH($B12,119)),INDEX($C$6:$DR$6,1,12*(YEAR(AI$3)-YEAR($B12))+MONTH(AI$3)-MONTH($B12)+1),0))</f>
        <v>0</v>
      </c>
      <c r="AJ32" s="144">
        <f t="shared" si="29"/>
        <v>0</v>
      </c>
      <c r="AK32" s="144">
        <f t="shared" si="29"/>
        <v>0</v>
      </c>
      <c r="AL32" s="144">
        <f t="shared" si="29"/>
        <v>0</v>
      </c>
      <c r="AM32" s="144">
        <f t="shared" si="29"/>
        <v>0</v>
      </c>
      <c r="AN32" s="144">
        <f t="shared" si="29"/>
        <v>0</v>
      </c>
      <c r="AO32" s="144">
        <f t="shared" si="29"/>
        <v>0</v>
      </c>
      <c r="AP32" s="144">
        <f t="shared" si="29"/>
        <v>0</v>
      </c>
      <c r="AQ32" s="144">
        <f t="shared" si="29"/>
        <v>0</v>
      </c>
      <c r="AR32" s="144">
        <f t="shared" si="29"/>
        <v>0</v>
      </c>
      <c r="AS32" s="144">
        <f t="shared" si="29"/>
        <v>0</v>
      </c>
      <c r="AT32" s="144">
        <f t="shared" si="29"/>
        <v>0</v>
      </c>
      <c r="AU32" s="144">
        <f t="shared" si="29"/>
        <v>0</v>
      </c>
      <c r="AV32" s="144">
        <f t="shared" si="29"/>
        <v>0</v>
      </c>
      <c r="AW32" s="144">
        <f t="shared" si="29"/>
        <v>0</v>
      </c>
      <c r="AX32" s="144">
        <f t="shared" si="29"/>
        <v>0</v>
      </c>
      <c r="AY32" s="144">
        <f t="shared" si="29"/>
        <v>0</v>
      </c>
      <c r="AZ32" s="144">
        <f t="shared" si="29"/>
        <v>0</v>
      </c>
      <c r="BA32" s="144">
        <f t="shared" si="29"/>
        <v>0</v>
      </c>
      <c r="BB32" s="144">
        <f t="shared" si="29"/>
        <v>1875000.0000000002</v>
      </c>
      <c r="BC32" s="144">
        <f t="shared" si="29"/>
        <v>1875000.0000000002</v>
      </c>
      <c r="BD32" s="144">
        <f t="shared" si="29"/>
        <v>1875000.0000000002</v>
      </c>
      <c r="BE32" s="144">
        <f t="shared" si="29"/>
        <v>1875000.0000000002</v>
      </c>
      <c r="BF32" s="144">
        <f t="shared" si="29"/>
        <v>1875000.0000000002</v>
      </c>
      <c r="BG32" s="144">
        <f t="shared" si="29"/>
        <v>1875000.0000000002</v>
      </c>
      <c r="BH32" s="144">
        <f t="shared" si="29"/>
        <v>76250000.000000015</v>
      </c>
      <c r="BI32" s="144">
        <f t="shared" si="29"/>
        <v>12500000</v>
      </c>
      <c r="BJ32" s="144">
        <f t="shared" si="29"/>
        <v>12500000</v>
      </c>
      <c r="BK32" s="144">
        <f t="shared" si="29"/>
        <v>12500000</v>
      </c>
      <c r="BL32" s="144">
        <f t="shared" si="29"/>
        <v>12500000</v>
      </c>
      <c r="BM32" s="144">
        <f t="shared" si="29"/>
        <v>12500000</v>
      </c>
      <c r="BN32" s="144">
        <f t="shared" si="29"/>
        <v>12500000</v>
      </c>
      <c r="BO32" s="144">
        <f t="shared" ref="BO32:CT32" si="30">IF($C12&lt;&gt;"Yes",0,IF(AND(BO$3&gt;=$B12,BO$3&lt;=EOMONTH($B12,119)),INDEX($C$6:$DR$6,1,12*(YEAR(BO$3)-YEAR($B12))+MONTH(BO$3)-MONTH($B12)+1),0))</f>
        <v>12500000</v>
      </c>
      <c r="BP32" s="144">
        <f t="shared" si="30"/>
        <v>12500000</v>
      </c>
      <c r="BQ32" s="144">
        <f t="shared" si="30"/>
        <v>12500000</v>
      </c>
      <c r="BR32" s="144">
        <f t="shared" si="30"/>
        <v>12500000</v>
      </c>
      <c r="BS32" s="144">
        <f t="shared" si="30"/>
        <v>12500000</v>
      </c>
      <c r="BT32" s="144">
        <f t="shared" si="30"/>
        <v>0</v>
      </c>
      <c r="BU32" s="144">
        <f t="shared" si="30"/>
        <v>0</v>
      </c>
      <c r="BV32" s="144">
        <f t="shared" si="30"/>
        <v>0</v>
      </c>
      <c r="BW32" s="144">
        <f t="shared" si="30"/>
        <v>0</v>
      </c>
      <c r="BX32" s="144">
        <f t="shared" si="30"/>
        <v>0</v>
      </c>
      <c r="BY32" s="144">
        <f t="shared" si="30"/>
        <v>0</v>
      </c>
      <c r="BZ32" s="144">
        <f t="shared" si="30"/>
        <v>0</v>
      </c>
      <c r="CA32" s="144">
        <f t="shared" si="30"/>
        <v>0</v>
      </c>
      <c r="CB32" s="144">
        <f t="shared" si="30"/>
        <v>0</v>
      </c>
      <c r="CC32" s="144">
        <f t="shared" si="30"/>
        <v>0</v>
      </c>
      <c r="CD32" s="144">
        <f t="shared" si="30"/>
        <v>0</v>
      </c>
      <c r="CE32" s="144">
        <f t="shared" si="30"/>
        <v>0</v>
      </c>
      <c r="CF32" s="144">
        <f t="shared" si="30"/>
        <v>0</v>
      </c>
      <c r="CG32" s="144">
        <f t="shared" si="30"/>
        <v>0</v>
      </c>
      <c r="CH32" s="144">
        <f t="shared" si="30"/>
        <v>0</v>
      </c>
      <c r="CI32" s="144">
        <f t="shared" si="30"/>
        <v>0</v>
      </c>
      <c r="CJ32" s="144">
        <f t="shared" si="30"/>
        <v>0</v>
      </c>
      <c r="CK32" s="144">
        <f t="shared" si="30"/>
        <v>0</v>
      </c>
      <c r="CL32" s="144">
        <f t="shared" si="30"/>
        <v>0</v>
      </c>
      <c r="CM32" s="144">
        <f t="shared" si="30"/>
        <v>0</v>
      </c>
      <c r="CN32" s="144">
        <f t="shared" si="30"/>
        <v>0</v>
      </c>
      <c r="CO32" s="144">
        <f t="shared" si="30"/>
        <v>0</v>
      </c>
      <c r="CP32" s="144">
        <f t="shared" si="30"/>
        <v>0</v>
      </c>
      <c r="CQ32" s="144">
        <f t="shared" si="30"/>
        <v>0</v>
      </c>
      <c r="CR32" s="144">
        <f t="shared" si="30"/>
        <v>0</v>
      </c>
      <c r="CS32" s="144">
        <f t="shared" si="30"/>
        <v>0</v>
      </c>
      <c r="CT32" s="144">
        <f t="shared" si="30"/>
        <v>0</v>
      </c>
      <c r="CU32" s="144">
        <f t="shared" ref="CU32:DR32" si="31">IF($C12&lt;&gt;"Yes",0,IF(AND(CU$3&gt;=$B12,CU$3&lt;=EOMONTH($B12,119)),INDEX($C$6:$DR$6,1,12*(YEAR(CU$3)-YEAR($B12))+MONTH(CU$3)-MONTH($B12)+1),0))</f>
        <v>0</v>
      </c>
      <c r="CV32" s="144">
        <f t="shared" si="31"/>
        <v>0</v>
      </c>
      <c r="CW32" s="144">
        <f t="shared" si="31"/>
        <v>0</v>
      </c>
      <c r="CX32" s="144">
        <f t="shared" si="31"/>
        <v>0</v>
      </c>
      <c r="CY32" s="144">
        <f t="shared" si="31"/>
        <v>0</v>
      </c>
      <c r="CZ32" s="144">
        <f t="shared" si="31"/>
        <v>0</v>
      </c>
      <c r="DA32" s="144">
        <f t="shared" si="31"/>
        <v>0</v>
      </c>
      <c r="DB32" s="144">
        <f t="shared" si="31"/>
        <v>0</v>
      </c>
      <c r="DC32" s="144">
        <f t="shared" si="31"/>
        <v>0</v>
      </c>
      <c r="DD32" s="144">
        <f t="shared" si="31"/>
        <v>0</v>
      </c>
      <c r="DE32" s="144">
        <f t="shared" si="31"/>
        <v>0</v>
      </c>
      <c r="DF32" s="144">
        <f t="shared" si="31"/>
        <v>0</v>
      </c>
      <c r="DG32" s="144">
        <f t="shared" si="31"/>
        <v>0</v>
      </c>
      <c r="DH32" s="144">
        <f t="shared" si="31"/>
        <v>0</v>
      </c>
      <c r="DI32" s="144">
        <f t="shared" si="31"/>
        <v>0</v>
      </c>
      <c r="DJ32" s="144">
        <f t="shared" si="31"/>
        <v>0</v>
      </c>
      <c r="DK32" s="144">
        <f t="shared" si="31"/>
        <v>0</v>
      </c>
      <c r="DL32" s="144">
        <f t="shared" si="31"/>
        <v>0</v>
      </c>
      <c r="DM32" s="144">
        <f t="shared" si="31"/>
        <v>0</v>
      </c>
      <c r="DN32" s="144">
        <f t="shared" si="31"/>
        <v>0</v>
      </c>
      <c r="DO32" s="144">
        <f t="shared" si="31"/>
        <v>0</v>
      </c>
      <c r="DP32" s="144">
        <f t="shared" si="31"/>
        <v>0</v>
      </c>
      <c r="DQ32" s="144">
        <f t="shared" si="31"/>
        <v>0</v>
      </c>
      <c r="DR32" s="144">
        <f t="shared" si="31"/>
        <v>0</v>
      </c>
    </row>
    <row r="33" spans="1:122">
      <c r="A33" s="142" t="s">
        <v>319</v>
      </c>
      <c r="C33" s="144">
        <f t="shared" ref="C33:AH33" si="32">IF($C12&lt;&gt;"Yes",0,IF(AND(C$3&gt;=$B12,C$3&lt;=EOMONTH($B12,119)),INDEX($C$7:$DR$7,1,12*(YEAR(C$3)-YEAR($B12))+MONTH(C$3)-MONTH($B12)+1),0))</f>
        <v>0</v>
      </c>
      <c r="D33" s="144">
        <f t="shared" si="32"/>
        <v>0</v>
      </c>
      <c r="E33" s="144">
        <f t="shared" si="32"/>
        <v>0</v>
      </c>
      <c r="F33" s="144">
        <f t="shared" si="32"/>
        <v>0</v>
      </c>
      <c r="G33" s="144">
        <f t="shared" si="32"/>
        <v>0</v>
      </c>
      <c r="H33" s="144">
        <f t="shared" si="32"/>
        <v>0</v>
      </c>
      <c r="I33" s="144">
        <f t="shared" si="32"/>
        <v>0</v>
      </c>
      <c r="J33" s="144">
        <f t="shared" si="32"/>
        <v>0</v>
      </c>
      <c r="K33" s="144">
        <f t="shared" si="32"/>
        <v>0</v>
      </c>
      <c r="L33" s="144">
        <f t="shared" si="32"/>
        <v>0</v>
      </c>
      <c r="M33" s="144">
        <f t="shared" si="32"/>
        <v>0</v>
      </c>
      <c r="N33" s="144">
        <f t="shared" si="32"/>
        <v>0</v>
      </c>
      <c r="O33" s="144">
        <f t="shared" si="32"/>
        <v>0</v>
      </c>
      <c r="P33" s="144">
        <f t="shared" si="32"/>
        <v>0</v>
      </c>
      <c r="Q33" s="144">
        <f t="shared" si="32"/>
        <v>0</v>
      </c>
      <c r="R33" s="144">
        <f t="shared" si="32"/>
        <v>0</v>
      </c>
      <c r="S33" s="144">
        <f t="shared" si="32"/>
        <v>0</v>
      </c>
      <c r="T33" s="144">
        <f t="shared" si="32"/>
        <v>0</v>
      </c>
      <c r="U33" s="144">
        <f t="shared" si="32"/>
        <v>0</v>
      </c>
      <c r="V33" s="144">
        <f t="shared" si="32"/>
        <v>0</v>
      </c>
      <c r="W33" s="144">
        <f t="shared" si="32"/>
        <v>0</v>
      </c>
      <c r="X33" s="144">
        <f t="shared" si="32"/>
        <v>0</v>
      </c>
      <c r="Y33" s="144">
        <f t="shared" si="32"/>
        <v>0</v>
      </c>
      <c r="Z33" s="144">
        <f t="shared" si="32"/>
        <v>0</v>
      </c>
      <c r="AA33" s="144">
        <f t="shared" si="32"/>
        <v>0</v>
      </c>
      <c r="AB33" s="144">
        <f t="shared" si="32"/>
        <v>0</v>
      </c>
      <c r="AC33" s="144">
        <f t="shared" si="32"/>
        <v>0</v>
      </c>
      <c r="AD33" s="144">
        <f t="shared" si="32"/>
        <v>0</v>
      </c>
      <c r="AE33" s="144">
        <f t="shared" si="32"/>
        <v>0</v>
      </c>
      <c r="AF33" s="144">
        <f t="shared" si="32"/>
        <v>0</v>
      </c>
      <c r="AG33" s="144">
        <f t="shared" si="32"/>
        <v>0</v>
      </c>
      <c r="AH33" s="144">
        <f t="shared" si="32"/>
        <v>0</v>
      </c>
      <c r="AI33" s="144">
        <f t="shared" ref="AI33:BN33" si="33">IF($C12&lt;&gt;"Yes",0,IF(AND(AI$3&gt;=$B12,AI$3&lt;=EOMONTH($B12,119)),INDEX($C$7:$DR$7,1,12*(YEAR(AI$3)-YEAR($B12))+MONTH(AI$3)-MONTH($B12)+1),0))</f>
        <v>0</v>
      </c>
      <c r="AJ33" s="144">
        <f t="shared" si="33"/>
        <v>0</v>
      </c>
      <c r="AK33" s="144">
        <f t="shared" si="33"/>
        <v>0</v>
      </c>
      <c r="AL33" s="144">
        <f t="shared" si="33"/>
        <v>0</v>
      </c>
      <c r="AM33" s="144">
        <f t="shared" si="33"/>
        <v>0</v>
      </c>
      <c r="AN33" s="144">
        <f t="shared" si="33"/>
        <v>0</v>
      </c>
      <c r="AO33" s="144">
        <f t="shared" si="33"/>
        <v>0</v>
      </c>
      <c r="AP33" s="144">
        <f t="shared" si="33"/>
        <v>0</v>
      </c>
      <c r="AQ33" s="144">
        <f t="shared" si="33"/>
        <v>0</v>
      </c>
      <c r="AR33" s="144">
        <f t="shared" si="33"/>
        <v>0</v>
      </c>
      <c r="AS33" s="144">
        <f t="shared" si="33"/>
        <v>0</v>
      </c>
      <c r="AT33" s="144">
        <f t="shared" si="33"/>
        <v>0</v>
      </c>
      <c r="AU33" s="144">
        <f t="shared" si="33"/>
        <v>0</v>
      </c>
      <c r="AV33" s="144">
        <f t="shared" si="33"/>
        <v>0</v>
      </c>
      <c r="AW33" s="144">
        <f t="shared" si="33"/>
        <v>0</v>
      </c>
      <c r="AX33" s="144">
        <f t="shared" si="33"/>
        <v>0</v>
      </c>
      <c r="AY33" s="144">
        <f t="shared" si="33"/>
        <v>0</v>
      </c>
      <c r="AZ33" s="144">
        <f t="shared" si="33"/>
        <v>0</v>
      </c>
      <c r="BA33" s="144">
        <f t="shared" si="33"/>
        <v>0</v>
      </c>
      <c r="BB33" s="144">
        <f t="shared" si="33"/>
        <v>0</v>
      </c>
      <c r="BC33" s="144">
        <f t="shared" si="33"/>
        <v>0</v>
      </c>
      <c r="BD33" s="144">
        <f t="shared" si="33"/>
        <v>0</v>
      </c>
      <c r="BE33" s="144">
        <f t="shared" si="33"/>
        <v>0</v>
      </c>
      <c r="BF33" s="144">
        <f t="shared" si="33"/>
        <v>0</v>
      </c>
      <c r="BG33" s="144">
        <f t="shared" si="33"/>
        <v>0</v>
      </c>
      <c r="BH33" s="144">
        <f t="shared" si="33"/>
        <v>74375000.000000015</v>
      </c>
      <c r="BI33" s="144">
        <f t="shared" si="33"/>
        <v>10625000</v>
      </c>
      <c r="BJ33" s="144">
        <f t="shared" si="33"/>
        <v>10625000</v>
      </c>
      <c r="BK33" s="144">
        <f t="shared" si="33"/>
        <v>10625000</v>
      </c>
      <c r="BL33" s="144">
        <f t="shared" si="33"/>
        <v>10625000</v>
      </c>
      <c r="BM33" s="144">
        <f t="shared" si="33"/>
        <v>10625000</v>
      </c>
      <c r="BN33" s="144">
        <f t="shared" si="33"/>
        <v>10625000</v>
      </c>
      <c r="BO33" s="144">
        <f t="shared" ref="BO33:CT33" si="34">IF($C12&lt;&gt;"Yes",0,IF(AND(BO$3&gt;=$B12,BO$3&lt;=EOMONTH($B12,119)),INDEX($C$7:$DR$7,1,12*(YEAR(BO$3)-YEAR($B12))+MONTH(BO$3)-MONTH($B12)+1),0))</f>
        <v>10625000</v>
      </c>
      <c r="BP33" s="144">
        <f t="shared" si="34"/>
        <v>10625000</v>
      </c>
      <c r="BQ33" s="144">
        <f t="shared" si="34"/>
        <v>10625000</v>
      </c>
      <c r="BR33" s="144">
        <f t="shared" si="34"/>
        <v>10625000</v>
      </c>
      <c r="BS33" s="144">
        <f t="shared" si="34"/>
        <v>10625000</v>
      </c>
      <c r="BT33" s="144">
        <f t="shared" si="34"/>
        <v>0</v>
      </c>
      <c r="BU33" s="144">
        <f t="shared" si="34"/>
        <v>0</v>
      </c>
      <c r="BV33" s="144">
        <f t="shared" si="34"/>
        <v>0</v>
      </c>
      <c r="BW33" s="144">
        <f t="shared" si="34"/>
        <v>0</v>
      </c>
      <c r="BX33" s="144">
        <f t="shared" si="34"/>
        <v>0</v>
      </c>
      <c r="BY33" s="144">
        <f t="shared" si="34"/>
        <v>0</v>
      </c>
      <c r="BZ33" s="144">
        <f t="shared" si="34"/>
        <v>0</v>
      </c>
      <c r="CA33" s="144">
        <f t="shared" si="34"/>
        <v>0</v>
      </c>
      <c r="CB33" s="144">
        <f t="shared" si="34"/>
        <v>0</v>
      </c>
      <c r="CC33" s="144">
        <f t="shared" si="34"/>
        <v>0</v>
      </c>
      <c r="CD33" s="144">
        <f t="shared" si="34"/>
        <v>0</v>
      </c>
      <c r="CE33" s="144">
        <f t="shared" si="34"/>
        <v>0</v>
      </c>
      <c r="CF33" s="144">
        <f t="shared" si="34"/>
        <v>0</v>
      </c>
      <c r="CG33" s="144">
        <f t="shared" si="34"/>
        <v>0</v>
      </c>
      <c r="CH33" s="144">
        <f t="shared" si="34"/>
        <v>0</v>
      </c>
      <c r="CI33" s="144">
        <f t="shared" si="34"/>
        <v>0</v>
      </c>
      <c r="CJ33" s="144">
        <f t="shared" si="34"/>
        <v>0</v>
      </c>
      <c r="CK33" s="144">
        <f t="shared" si="34"/>
        <v>0</v>
      </c>
      <c r="CL33" s="144">
        <f t="shared" si="34"/>
        <v>0</v>
      </c>
      <c r="CM33" s="144">
        <f t="shared" si="34"/>
        <v>0</v>
      </c>
      <c r="CN33" s="144">
        <f t="shared" si="34"/>
        <v>0</v>
      </c>
      <c r="CO33" s="144">
        <f t="shared" si="34"/>
        <v>0</v>
      </c>
      <c r="CP33" s="144">
        <f t="shared" si="34"/>
        <v>0</v>
      </c>
      <c r="CQ33" s="144">
        <f t="shared" si="34"/>
        <v>0</v>
      </c>
      <c r="CR33" s="144">
        <f t="shared" si="34"/>
        <v>0</v>
      </c>
      <c r="CS33" s="144">
        <f t="shared" si="34"/>
        <v>0</v>
      </c>
      <c r="CT33" s="144">
        <f t="shared" si="34"/>
        <v>0</v>
      </c>
      <c r="CU33" s="144">
        <f t="shared" ref="CU33:DR33" si="35">IF($C12&lt;&gt;"Yes",0,IF(AND(CU$3&gt;=$B12,CU$3&lt;=EOMONTH($B12,119)),INDEX($C$7:$DR$7,1,12*(YEAR(CU$3)-YEAR($B12))+MONTH(CU$3)-MONTH($B12)+1),0))</f>
        <v>0</v>
      </c>
      <c r="CV33" s="144">
        <f t="shared" si="35"/>
        <v>0</v>
      </c>
      <c r="CW33" s="144">
        <f t="shared" si="35"/>
        <v>0</v>
      </c>
      <c r="CX33" s="144">
        <f t="shared" si="35"/>
        <v>0</v>
      </c>
      <c r="CY33" s="144">
        <f t="shared" si="35"/>
        <v>0</v>
      </c>
      <c r="CZ33" s="144">
        <f t="shared" si="35"/>
        <v>0</v>
      </c>
      <c r="DA33" s="144">
        <f t="shared" si="35"/>
        <v>0</v>
      </c>
      <c r="DB33" s="144">
        <f t="shared" si="35"/>
        <v>0</v>
      </c>
      <c r="DC33" s="144">
        <f t="shared" si="35"/>
        <v>0</v>
      </c>
      <c r="DD33" s="144">
        <f t="shared" si="35"/>
        <v>0</v>
      </c>
      <c r="DE33" s="144">
        <f t="shared" si="35"/>
        <v>0</v>
      </c>
      <c r="DF33" s="144">
        <f t="shared" si="35"/>
        <v>0</v>
      </c>
      <c r="DG33" s="144">
        <f t="shared" si="35"/>
        <v>0</v>
      </c>
      <c r="DH33" s="144">
        <f t="shared" si="35"/>
        <v>0</v>
      </c>
      <c r="DI33" s="144">
        <f t="shared" si="35"/>
        <v>0</v>
      </c>
      <c r="DJ33" s="144">
        <f t="shared" si="35"/>
        <v>0</v>
      </c>
      <c r="DK33" s="144">
        <f t="shared" si="35"/>
        <v>0</v>
      </c>
      <c r="DL33" s="144">
        <f t="shared" si="35"/>
        <v>0</v>
      </c>
      <c r="DM33" s="144">
        <f t="shared" si="35"/>
        <v>0</v>
      </c>
      <c r="DN33" s="144">
        <f t="shared" si="35"/>
        <v>0</v>
      </c>
      <c r="DO33" s="144">
        <f t="shared" si="35"/>
        <v>0</v>
      </c>
      <c r="DP33" s="144">
        <f t="shared" si="35"/>
        <v>0</v>
      </c>
      <c r="DQ33" s="144">
        <f t="shared" si="35"/>
        <v>0</v>
      </c>
      <c r="DR33" s="144">
        <f t="shared" si="35"/>
        <v>0</v>
      </c>
    </row>
    <row r="34" spans="1:122">
      <c r="A34" s="142" t="s">
        <v>320</v>
      </c>
      <c r="C34" s="144">
        <f t="shared" ref="C34:AH34" si="36">IF($C13&lt;&gt;"Yes",0,IF(AND(C$3&gt;=$B13,C$3&lt;=EOMONTH($B13,119)),INDEX($C$5:$DR$5,1,12*(YEAR(C$3)-YEAR($B13))+MONTH(C$3)-MONTH($B13)+1),0))</f>
        <v>0</v>
      </c>
      <c r="D34" s="144">
        <f t="shared" si="36"/>
        <v>0</v>
      </c>
      <c r="E34" s="144">
        <f t="shared" si="36"/>
        <v>0</v>
      </c>
      <c r="F34" s="144">
        <f t="shared" si="36"/>
        <v>0</v>
      </c>
      <c r="G34" s="144">
        <f t="shared" si="36"/>
        <v>0</v>
      </c>
      <c r="H34" s="144">
        <f t="shared" si="36"/>
        <v>0</v>
      </c>
      <c r="I34" s="144">
        <f t="shared" si="36"/>
        <v>0</v>
      </c>
      <c r="J34" s="144">
        <f t="shared" si="36"/>
        <v>0</v>
      </c>
      <c r="K34" s="144">
        <f t="shared" si="36"/>
        <v>0</v>
      </c>
      <c r="L34" s="144">
        <f t="shared" si="36"/>
        <v>0</v>
      </c>
      <c r="M34" s="144">
        <f t="shared" si="36"/>
        <v>0</v>
      </c>
      <c r="N34" s="144">
        <f t="shared" si="36"/>
        <v>0</v>
      </c>
      <c r="O34" s="144">
        <f t="shared" si="36"/>
        <v>0</v>
      </c>
      <c r="P34" s="144">
        <f t="shared" si="36"/>
        <v>0</v>
      </c>
      <c r="Q34" s="144">
        <f t="shared" si="36"/>
        <v>0</v>
      </c>
      <c r="R34" s="144">
        <f t="shared" si="36"/>
        <v>0</v>
      </c>
      <c r="S34" s="144">
        <f t="shared" si="36"/>
        <v>0</v>
      </c>
      <c r="T34" s="144">
        <f t="shared" si="36"/>
        <v>0</v>
      </c>
      <c r="U34" s="144">
        <f t="shared" si="36"/>
        <v>0</v>
      </c>
      <c r="V34" s="144">
        <f t="shared" si="36"/>
        <v>0</v>
      </c>
      <c r="W34" s="144">
        <f t="shared" si="36"/>
        <v>0</v>
      </c>
      <c r="X34" s="144">
        <f t="shared" si="36"/>
        <v>0</v>
      </c>
      <c r="Y34" s="144">
        <f t="shared" si="36"/>
        <v>0</v>
      </c>
      <c r="Z34" s="144">
        <f t="shared" si="36"/>
        <v>0</v>
      </c>
      <c r="AA34" s="144">
        <f t="shared" si="36"/>
        <v>0</v>
      </c>
      <c r="AB34" s="144">
        <f t="shared" si="36"/>
        <v>0</v>
      </c>
      <c r="AC34" s="144">
        <f t="shared" si="36"/>
        <v>0</v>
      </c>
      <c r="AD34" s="144">
        <f t="shared" si="36"/>
        <v>0</v>
      </c>
      <c r="AE34" s="144">
        <f t="shared" si="36"/>
        <v>0</v>
      </c>
      <c r="AF34" s="144">
        <f t="shared" si="36"/>
        <v>0</v>
      </c>
      <c r="AG34" s="144">
        <f t="shared" si="36"/>
        <v>0</v>
      </c>
      <c r="AH34" s="144">
        <f t="shared" si="36"/>
        <v>0</v>
      </c>
      <c r="AI34" s="144">
        <f t="shared" ref="AI34:BN34" si="37">IF($C13&lt;&gt;"Yes",0,IF(AND(AI$3&gt;=$B13,AI$3&lt;=EOMONTH($B13,119)),INDEX($C$5:$DR$5,1,12*(YEAR(AI$3)-YEAR($B13))+MONTH(AI$3)-MONTH($B13)+1),0))</f>
        <v>0</v>
      </c>
      <c r="AJ34" s="144">
        <f t="shared" si="37"/>
        <v>0</v>
      </c>
      <c r="AK34" s="144">
        <f t="shared" si="37"/>
        <v>0</v>
      </c>
      <c r="AL34" s="144">
        <f t="shared" si="37"/>
        <v>0</v>
      </c>
      <c r="AM34" s="144">
        <f t="shared" si="37"/>
        <v>0</v>
      </c>
      <c r="AN34" s="144">
        <f t="shared" si="37"/>
        <v>0</v>
      </c>
      <c r="AO34" s="144">
        <f t="shared" si="37"/>
        <v>0</v>
      </c>
      <c r="AP34" s="144">
        <f t="shared" si="37"/>
        <v>0</v>
      </c>
      <c r="AQ34" s="144">
        <f t="shared" si="37"/>
        <v>0</v>
      </c>
      <c r="AR34" s="144">
        <f t="shared" si="37"/>
        <v>0</v>
      </c>
      <c r="AS34" s="144">
        <f t="shared" si="37"/>
        <v>0</v>
      </c>
      <c r="AT34" s="144">
        <f t="shared" si="37"/>
        <v>0</v>
      </c>
      <c r="AU34" s="144">
        <f t="shared" si="37"/>
        <v>0</v>
      </c>
      <c r="AV34" s="144">
        <f t="shared" si="37"/>
        <v>0</v>
      </c>
      <c r="AW34" s="144">
        <f t="shared" si="37"/>
        <v>0</v>
      </c>
      <c r="AX34" s="144">
        <f t="shared" si="37"/>
        <v>0</v>
      </c>
      <c r="AY34" s="144">
        <f t="shared" si="37"/>
        <v>0</v>
      </c>
      <c r="AZ34" s="144">
        <f t="shared" si="37"/>
        <v>0</v>
      </c>
      <c r="BA34" s="144">
        <f t="shared" si="37"/>
        <v>0</v>
      </c>
      <c r="BB34" s="144">
        <f t="shared" si="37"/>
        <v>0</v>
      </c>
      <c r="BC34" s="144">
        <f t="shared" si="37"/>
        <v>0</v>
      </c>
      <c r="BD34" s="144">
        <f t="shared" si="37"/>
        <v>0</v>
      </c>
      <c r="BE34" s="144">
        <f t="shared" si="37"/>
        <v>0</v>
      </c>
      <c r="BF34" s="144">
        <f t="shared" si="37"/>
        <v>0</v>
      </c>
      <c r="BG34" s="144">
        <f t="shared" si="37"/>
        <v>0</v>
      </c>
      <c r="BH34" s="144">
        <f t="shared" si="37"/>
        <v>0</v>
      </c>
      <c r="BI34" s="144">
        <f t="shared" si="37"/>
        <v>0</v>
      </c>
      <c r="BJ34" s="144">
        <f t="shared" si="37"/>
        <v>0</v>
      </c>
      <c r="BK34" s="144">
        <f t="shared" si="37"/>
        <v>0</v>
      </c>
      <c r="BL34" s="144">
        <f t="shared" si="37"/>
        <v>0</v>
      </c>
      <c r="BM34" s="144">
        <f t="shared" si="37"/>
        <v>0</v>
      </c>
      <c r="BN34" s="144">
        <f t="shared" si="37"/>
        <v>0</v>
      </c>
      <c r="BO34" s="144">
        <f t="shared" ref="BO34:CT34" si="38">IF($C13&lt;&gt;"Yes",0,IF(AND(BO$3&gt;=$B13,BO$3&lt;=EOMONTH($B13,119)),INDEX($C$5:$DR$5,1,12*(YEAR(BO$3)-YEAR($B13))+MONTH(BO$3)-MONTH($B13)+1),0))</f>
        <v>0</v>
      </c>
      <c r="BP34" s="144">
        <f t="shared" si="38"/>
        <v>0</v>
      </c>
      <c r="BQ34" s="144">
        <f t="shared" si="38"/>
        <v>0</v>
      </c>
      <c r="BR34" s="144">
        <f t="shared" si="38"/>
        <v>0</v>
      </c>
      <c r="BS34" s="144">
        <f t="shared" si="38"/>
        <v>0</v>
      </c>
      <c r="BT34" s="144">
        <f t="shared" si="38"/>
        <v>0</v>
      </c>
      <c r="BU34" s="144">
        <f t="shared" si="38"/>
        <v>0</v>
      </c>
      <c r="BV34" s="144">
        <f t="shared" si="38"/>
        <v>0</v>
      </c>
      <c r="BW34" s="144">
        <f t="shared" si="38"/>
        <v>0</v>
      </c>
      <c r="BX34" s="144">
        <f t="shared" si="38"/>
        <v>0</v>
      </c>
      <c r="BY34" s="144">
        <f t="shared" si="38"/>
        <v>0</v>
      </c>
      <c r="BZ34" s="144">
        <f t="shared" si="38"/>
        <v>0</v>
      </c>
      <c r="CA34" s="144">
        <f t="shared" si="38"/>
        <v>0</v>
      </c>
      <c r="CB34" s="144">
        <f t="shared" si="38"/>
        <v>0</v>
      </c>
      <c r="CC34" s="144">
        <f t="shared" si="38"/>
        <v>0</v>
      </c>
      <c r="CD34" s="144">
        <f t="shared" si="38"/>
        <v>0</v>
      </c>
      <c r="CE34" s="144">
        <f t="shared" si="38"/>
        <v>0</v>
      </c>
      <c r="CF34" s="144">
        <f t="shared" si="38"/>
        <v>0</v>
      </c>
      <c r="CG34" s="144">
        <f t="shared" si="38"/>
        <v>0</v>
      </c>
      <c r="CH34" s="144">
        <f t="shared" si="38"/>
        <v>0</v>
      </c>
      <c r="CI34" s="144">
        <f t="shared" si="38"/>
        <v>0</v>
      </c>
      <c r="CJ34" s="144">
        <f t="shared" si="38"/>
        <v>0</v>
      </c>
      <c r="CK34" s="144">
        <f t="shared" si="38"/>
        <v>0</v>
      </c>
      <c r="CL34" s="144">
        <f t="shared" si="38"/>
        <v>0</v>
      </c>
      <c r="CM34" s="144">
        <f t="shared" si="38"/>
        <v>0</v>
      </c>
      <c r="CN34" s="144">
        <f t="shared" si="38"/>
        <v>0</v>
      </c>
      <c r="CO34" s="144">
        <f t="shared" si="38"/>
        <v>0</v>
      </c>
      <c r="CP34" s="144">
        <f t="shared" si="38"/>
        <v>0</v>
      </c>
      <c r="CQ34" s="144">
        <f t="shared" si="38"/>
        <v>0</v>
      </c>
      <c r="CR34" s="144">
        <f t="shared" si="38"/>
        <v>0</v>
      </c>
      <c r="CS34" s="144">
        <f t="shared" si="38"/>
        <v>0</v>
      </c>
      <c r="CT34" s="144">
        <f t="shared" si="38"/>
        <v>0</v>
      </c>
      <c r="CU34" s="144">
        <f t="shared" ref="CU34:DR34" si="39">IF($C13&lt;&gt;"Yes",0,IF(AND(CU$3&gt;=$B13,CU$3&lt;=EOMONTH($B13,119)),INDEX($C$5:$DR$5,1,12*(YEAR(CU$3)-YEAR($B13))+MONTH(CU$3)-MONTH($B13)+1),0))</f>
        <v>0</v>
      </c>
      <c r="CV34" s="144">
        <f t="shared" si="39"/>
        <v>0</v>
      </c>
      <c r="CW34" s="144">
        <f t="shared" si="39"/>
        <v>0</v>
      </c>
      <c r="CX34" s="144">
        <f t="shared" si="39"/>
        <v>0</v>
      </c>
      <c r="CY34" s="144">
        <f t="shared" si="39"/>
        <v>0</v>
      </c>
      <c r="CZ34" s="144">
        <f t="shared" si="39"/>
        <v>0</v>
      </c>
      <c r="DA34" s="144">
        <f t="shared" si="39"/>
        <v>0</v>
      </c>
      <c r="DB34" s="144">
        <f t="shared" si="39"/>
        <v>0</v>
      </c>
      <c r="DC34" s="144">
        <f t="shared" si="39"/>
        <v>0</v>
      </c>
      <c r="DD34" s="144">
        <f t="shared" si="39"/>
        <v>0</v>
      </c>
      <c r="DE34" s="144">
        <f t="shared" si="39"/>
        <v>0</v>
      </c>
      <c r="DF34" s="144">
        <f t="shared" si="39"/>
        <v>0</v>
      </c>
      <c r="DG34" s="144">
        <f t="shared" si="39"/>
        <v>0</v>
      </c>
      <c r="DH34" s="144">
        <f t="shared" si="39"/>
        <v>0</v>
      </c>
      <c r="DI34" s="144">
        <f t="shared" si="39"/>
        <v>0</v>
      </c>
      <c r="DJ34" s="144">
        <f t="shared" si="39"/>
        <v>0</v>
      </c>
      <c r="DK34" s="144">
        <f t="shared" si="39"/>
        <v>0</v>
      </c>
      <c r="DL34" s="144">
        <f t="shared" si="39"/>
        <v>0</v>
      </c>
      <c r="DM34" s="144">
        <f t="shared" si="39"/>
        <v>0</v>
      </c>
      <c r="DN34" s="144">
        <f t="shared" si="39"/>
        <v>0</v>
      </c>
      <c r="DO34" s="144">
        <f t="shared" si="39"/>
        <v>0</v>
      </c>
      <c r="DP34" s="144">
        <f t="shared" si="39"/>
        <v>0</v>
      </c>
      <c r="DQ34" s="144">
        <f t="shared" si="39"/>
        <v>0</v>
      </c>
      <c r="DR34" s="144">
        <f t="shared" si="39"/>
        <v>0</v>
      </c>
    </row>
    <row r="35" spans="1:122">
      <c r="A35" s="142" t="s">
        <v>321</v>
      </c>
      <c r="C35" s="144">
        <f t="shared" ref="C35:AH35" si="40">IF($C13&lt;&gt;"Yes",0,IF(AND(C$3&gt;=$B13,C$3&lt;=EOMONTH($B13,119)),INDEX($C$6:$DR$6,1,12*(YEAR(C$3)-YEAR($B13))+MONTH(C$3)-MONTH($B13)+1),0))</f>
        <v>0</v>
      </c>
      <c r="D35" s="144">
        <f t="shared" si="40"/>
        <v>0</v>
      </c>
      <c r="E35" s="144">
        <f t="shared" si="40"/>
        <v>0</v>
      </c>
      <c r="F35" s="144">
        <f t="shared" si="40"/>
        <v>0</v>
      </c>
      <c r="G35" s="144">
        <f t="shared" si="40"/>
        <v>0</v>
      </c>
      <c r="H35" s="144">
        <f t="shared" si="40"/>
        <v>0</v>
      </c>
      <c r="I35" s="144">
        <f t="shared" si="40"/>
        <v>0</v>
      </c>
      <c r="J35" s="144">
        <f t="shared" si="40"/>
        <v>0</v>
      </c>
      <c r="K35" s="144">
        <f t="shared" si="40"/>
        <v>0</v>
      </c>
      <c r="L35" s="144">
        <f t="shared" si="40"/>
        <v>0</v>
      </c>
      <c r="M35" s="144">
        <f t="shared" si="40"/>
        <v>0</v>
      </c>
      <c r="N35" s="144">
        <f t="shared" si="40"/>
        <v>0</v>
      </c>
      <c r="O35" s="144">
        <f t="shared" si="40"/>
        <v>0</v>
      </c>
      <c r="P35" s="144">
        <f t="shared" si="40"/>
        <v>0</v>
      </c>
      <c r="Q35" s="144">
        <f t="shared" si="40"/>
        <v>0</v>
      </c>
      <c r="R35" s="144">
        <f t="shared" si="40"/>
        <v>0</v>
      </c>
      <c r="S35" s="144">
        <f t="shared" si="40"/>
        <v>0</v>
      </c>
      <c r="T35" s="144">
        <f t="shared" si="40"/>
        <v>0</v>
      </c>
      <c r="U35" s="144">
        <f t="shared" si="40"/>
        <v>0</v>
      </c>
      <c r="V35" s="144">
        <f t="shared" si="40"/>
        <v>0</v>
      </c>
      <c r="W35" s="144">
        <f t="shared" si="40"/>
        <v>0</v>
      </c>
      <c r="X35" s="144">
        <f t="shared" si="40"/>
        <v>0</v>
      </c>
      <c r="Y35" s="144">
        <f t="shared" si="40"/>
        <v>0</v>
      </c>
      <c r="Z35" s="144">
        <f t="shared" si="40"/>
        <v>0</v>
      </c>
      <c r="AA35" s="144">
        <f t="shared" si="40"/>
        <v>0</v>
      </c>
      <c r="AB35" s="144">
        <f t="shared" si="40"/>
        <v>0</v>
      </c>
      <c r="AC35" s="144">
        <f t="shared" si="40"/>
        <v>0</v>
      </c>
      <c r="AD35" s="144">
        <f t="shared" si="40"/>
        <v>0</v>
      </c>
      <c r="AE35" s="144">
        <f t="shared" si="40"/>
        <v>0</v>
      </c>
      <c r="AF35" s="144">
        <f t="shared" si="40"/>
        <v>0</v>
      </c>
      <c r="AG35" s="144">
        <f t="shared" si="40"/>
        <v>0</v>
      </c>
      <c r="AH35" s="144">
        <f t="shared" si="40"/>
        <v>0</v>
      </c>
      <c r="AI35" s="144">
        <f t="shared" ref="AI35:BN35" si="41">IF($C13&lt;&gt;"Yes",0,IF(AND(AI$3&gt;=$B13,AI$3&lt;=EOMONTH($B13,119)),INDEX($C$6:$DR$6,1,12*(YEAR(AI$3)-YEAR($B13))+MONTH(AI$3)-MONTH($B13)+1),0))</f>
        <v>0</v>
      </c>
      <c r="AJ35" s="144">
        <f t="shared" si="41"/>
        <v>0</v>
      </c>
      <c r="AK35" s="144">
        <f t="shared" si="41"/>
        <v>0</v>
      </c>
      <c r="AL35" s="144">
        <f t="shared" si="41"/>
        <v>0</v>
      </c>
      <c r="AM35" s="144">
        <f t="shared" si="41"/>
        <v>0</v>
      </c>
      <c r="AN35" s="144">
        <f t="shared" si="41"/>
        <v>0</v>
      </c>
      <c r="AO35" s="144">
        <f t="shared" si="41"/>
        <v>0</v>
      </c>
      <c r="AP35" s="144">
        <f t="shared" si="41"/>
        <v>0</v>
      </c>
      <c r="AQ35" s="144">
        <f t="shared" si="41"/>
        <v>0</v>
      </c>
      <c r="AR35" s="144">
        <f t="shared" si="41"/>
        <v>0</v>
      </c>
      <c r="AS35" s="144">
        <f t="shared" si="41"/>
        <v>0</v>
      </c>
      <c r="AT35" s="144">
        <f t="shared" si="41"/>
        <v>0</v>
      </c>
      <c r="AU35" s="144">
        <f t="shared" si="41"/>
        <v>0</v>
      </c>
      <c r="AV35" s="144">
        <f t="shared" si="41"/>
        <v>0</v>
      </c>
      <c r="AW35" s="144">
        <f t="shared" si="41"/>
        <v>0</v>
      </c>
      <c r="AX35" s="144">
        <f t="shared" si="41"/>
        <v>0</v>
      </c>
      <c r="AY35" s="144">
        <f t="shared" si="41"/>
        <v>0</v>
      </c>
      <c r="AZ35" s="144">
        <f t="shared" si="41"/>
        <v>0</v>
      </c>
      <c r="BA35" s="144">
        <f t="shared" si="41"/>
        <v>0</v>
      </c>
      <c r="BB35" s="144">
        <f t="shared" si="41"/>
        <v>0</v>
      </c>
      <c r="BC35" s="144">
        <f t="shared" si="41"/>
        <v>0</v>
      </c>
      <c r="BD35" s="144">
        <f t="shared" si="41"/>
        <v>0</v>
      </c>
      <c r="BE35" s="144">
        <f t="shared" si="41"/>
        <v>0</v>
      </c>
      <c r="BF35" s="144">
        <f t="shared" si="41"/>
        <v>0</v>
      </c>
      <c r="BG35" s="144">
        <f t="shared" si="41"/>
        <v>0</v>
      </c>
      <c r="BH35" s="144">
        <f t="shared" si="41"/>
        <v>0</v>
      </c>
      <c r="BI35" s="144">
        <f t="shared" si="41"/>
        <v>0</v>
      </c>
      <c r="BJ35" s="144">
        <f t="shared" si="41"/>
        <v>0</v>
      </c>
      <c r="BK35" s="144">
        <f t="shared" si="41"/>
        <v>0</v>
      </c>
      <c r="BL35" s="144">
        <f t="shared" si="41"/>
        <v>0</v>
      </c>
      <c r="BM35" s="144">
        <f t="shared" si="41"/>
        <v>0</v>
      </c>
      <c r="BN35" s="144">
        <f t="shared" si="41"/>
        <v>0</v>
      </c>
      <c r="BO35" s="144">
        <f t="shared" ref="BO35:CT35" si="42">IF($C13&lt;&gt;"Yes",0,IF(AND(BO$3&gt;=$B13,BO$3&lt;=EOMONTH($B13,119)),INDEX($C$6:$DR$6,1,12*(YEAR(BO$3)-YEAR($B13))+MONTH(BO$3)-MONTH($B13)+1),0))</f>
        <v>0</v>
      </c>
      <c r="BP35" s="144">
        <f t="shared" si="42"/>
        <v>0</v>
      </c>
      <c r="BQ35" s="144">
        <f t="shared" si="42"/>
        <v>0</v>
      </c>
      <c r="BR35" s="144">
        <f t="shared" si="42"/>
        <v>0</v>
      </c>
      <c r="BS35" s="144">
        <f t="shared" si="42"/>
        <v>0</v>
      </c>
      <c r="BT35" s="144">
        <f t="shared" si="42"/>
        <v>0</v>
      </c>
      <c r="BU35" s="144">
        <f t="shared" si="42"/>
        <v>0</v>
      </c>
      <c r="BV35" s="144">
        <f t="shared" si="42"/>
        <v>0</v>
      </c>
      <c r="BW35" s="144">
        <f t="shared" si="42"/>
        <v>0</v>
      </c>
      <c r="BX35" s="144">
        <f t="shared" si="42"/>
        <v>0</v>
      </c>
      <c r="BY35" s="144">
        <f t="shared" si="42"/>
        <v>0</v>
      </c>
      <c r="BZ35" s="144">
        <f t="shared" si="42"/>
        <v>0</v>
      </c>
      <c r="CA35" s="144">
        <f t="shared" si="42"/>
        <v>0</v>
      </c>
      <c r="CB35" s="144">
        <f t="shared" si="42"/>
        <v>0</v>
      </c>
      <c r="CC35" s="144">
        <f t="shared" si="42"/>
        <v>0</v>
      </c>
      <c r="CD35" s="144">
        <f t="shared" si="42"/>
        <v>0</v>
      </c>
      <c r="CE35" s="144">
        <f t="shared" si="42"/>
        <v>0</v>
      </c>
      <c r="CF35" s="144">
        <f t="shared" si="42"/>
        <v>0</v>
      </c>
      <c r="CG35" s="144">
        <f t="shared" si="42"/>
        <v>0</v>
      </c>
      <c r="CH35" s="144">
        <f t="shared" si="42"/>
        <v>0</v>
      </c>
      <c r="CI35" s="144">
        <f t="shared" si="42"/>
        <v>0</v>
      </c>
      <c r="CJ35" s="144">
        <f t="shared" si="42"/>
        <v>0</v>
      </c>
      <c r="CK35" s="144">
        <f t="shared" si="42"/>
        <v>0</v>
      </c>
      <c r="CL35" s="144">
        <f t="shared" si="42"/>
        <v>0</v>
      </c>
      <c r="CM35" s="144">
        <f t="shared" si="42"/>
        <v>0</v>
      </c>
      <c r="CN35" s="144">
        <f t="shared" si="42"/>
        <v>0</v>
      </c>
      <c r="CO35" s="144">
        <f t="shared" si="42"/>
        <v>0</v>
      </c>
      <c r="CP35" s="144">
        <f t="shared" si="42"/>
        <v>0</v>
      </c>
      <c r="CQ35" s="144">
        <f t="shared" si="42"/>
        <v>0</v>
      </c>
      <c r="CR35" s="144">
        <f t="shared" si="42"/>
        <v>0</v>
      </c>
      <c r="CS35" s="144">
        <f t="shared" si="42"/>
        <v>0</v>
      </c>
      <c r="CT35" s="144">
        <f t="shared" si="42"/>
        <v>0</v>
      </c>
      <c r="CU35" s="144">
        <f t="shared" ref="CU35:DR35" si="43">IF($C13&lt;&gt;"Yes",0,IF(AND(CU$3&gt;=$B13,CU$3&lt;=EOMONTH($B13,119)),INDEX($C$6:$DR$6,1,12*(YEAR(CU$3)-YEAR($B13))+MONTH(CU$3)-MONTH($B13)+1),0))</f>
        <v>0</v>
      </c>
      <c r="CV35" s="144">
        <f t="shared" si="43"/>
        <v>0</v>
      </c>
      <c r="CW35" s="144">
        <f t="shared" si="43"/>
        <v>0</v>
      </c>
      <c r="CX35" s="144">
        <f t="shared" si="43"/>
        <v>0</v>
      </c>
      <c r="CY35" s="144">
        <f t="shared" si="43"/>
        <v>0</v>
      </c>
      <c r="CZ35" s="144">
        <f t="shared" si="43"/>
        <v>0</v>
      </c>
      <c r="DA35" s="144">
        <f t="shared" si="43"/>
        <v>0</v>
      </c>
      <c r="DB35" s="144">
        <f t="shared" si="43"/>
        <v>0</v>
      </c>
      <c r="DC35" s="144">
        <f t="shared" si="43"/>
        <v>0</v>
      </c>
      <c r="DD35" s="144">
        <f t="shared" si="43"/>
        <v>0</v>
      </c>
      <c r="DE35" s="144">
        <f t="shared" si="43"/>
        <v>0</v>
      </c>
      <c r="DF35" s="144">
        <f t="shared" si="43"/>
        <v>0</v>
      </c>
      <c r="DG35" s="144">
        <f t="shared" si="43"/>
        <v>0</v>
      </c>
      <c r="DH35" s="144">
        <f t="shared" si="43"/>
        <v>0</v>
      </c>
      <c r="DI35" s="144">
        <f t="shared" si="43"/>
        <v>0</v>
      </c>
      <c r="DJ35" s="144">
        <f t="shared" si="43"/>
        <v>0</v>
      </c>
      <c r="DK35" s="144">
        <f t="shared" si="43"/>
        <v>0</v>
      </c>
      <c r="DL35" s="144">
        <f t="shared" si="43"/>
        <v>0</v>
      </c>
      <c r="DM35" s="144">
        <f t="shared" si="43"/>
        <v>0</v>
      </c>
      <c r="DN35" s="144">
        <f t="shared" si="43"/>
        <v>0</v>
      </c>
      <c r="DO35" s="144">
        <f t="shared" si="43"/>
        <v>0</v>
      </c>
      <c r="DP35" s="144">
        <f t="shared" si="43"/>
        <v>0</v>
      </c>
      <c r="DQ35" s="144">
        <f t="shared" si="43"/>
        <v>0</v>
      </c>
      <c r="DR35" s="144">
        <f t="shared" si="43"/>
        <v>0</v>
      </c>
    </row>
    <row r="36" spans="1:122">
      <c r="A36" s="142" t="s">
        <v>322</v>
      </c>
      <c r="C36" s="144">
        <f t="shared" ref="C36:AH36" si="44">IF($C13&lt;&gt;"Yes",0,IF(AND(C$3&gt;=$B13,C$3&lt;=EOMONTH($B13,119)),INDEX($C$7:$DR$7,1,12*(YEAR(C$3)-YEAR($B13))+MONTH(C$3)-MONTH($B13)+1),0))</f>
        <v>0</v>
      </c>
      <c r="D36" s="144">
        <f t="shared" si="44"/>
        <v>0</v>
      </c>
      <c r="E36" s="144">
        <f t="shared" si="44"/>
        <v>0</v>
      </c>
      <c r="F36" s="144">
        <f t="shared" si="44"/>
        <v>0</v>
      </c>
      <c r="G36" s="144">
        <f t="shared" si="44"/>
        <v>0</v>
      </c>
      <c r="H36" s="144">
        <f t="shared" si="44"/>
        <v>0</v>
      </c>
      <c r="I36" s="144">
        <f t="shared" si="44"/>
        <v>0</v>
      </c>
      <c r="J36" s="144">
        <f t="shared" si="44"/>
        <v>0</v>
      </c>
      <c r="K36" s="144">
        <f t="shared" si="44"/>
        <v>0</v>
      </c>
      <c r="L36" s="144">
        <f t="shared" si="44"/>
        <v>0</v>
      </c>
      <c r="M36" s="144">
        <f t="shared" si="44"/>
        <v>0</v>
      </c>
      <c r="N36" s="144">
        <f t="shared" si="44"/>
        <v>0</v>
      </c>
      <c r="O36" s="144">
        <f t="shared" si="44"/>
        <v>0</v>
      </c>
      <c r="P36" s="144">
        <f t="shared" si="44"/>
        <v>0</v>
      </c>
      <c r="Q36" s="144">
        <f t="shared" si="44"/>
        <v>0</v>
      </c>
      <c r="R36" s="144">
        <f t="shared" si="44"/>
        <v>0</v>
      </c>
      <c r="S36" s="144">
        <f t="shared" si="44"/>
        <v>0</v>
      </c>
      <c r="T36" s="144">
        <f t="shared" si="44"/>
        <v>0</v>
      </c>
      <c r="U36" s="144">
        <f t="shared" si="44"/>
        <v>0</v>
      </c>
      <c r="V36" s="144">
        <f t="shared" si="44"/>
        <v>0</v>
      </c>
      <c r="W36" s="144">
        <f t="shared" si="44"/>
        <v>0</v>
      </c>
      <c r="X36" s="144">
        <f t="shared" si="44"/>
        <v>0</v>
      </c>
      <c r="Y36" s="144">
        <f t="shared" si="44"/>
        <v>0</v>
      </c>
      <c r="Z36" s="144">
        <f t="shared" si="44"/>
        <v>0</v>
      </c>
      <c r="AA36" s="144">
        <f t="shared" si="44"/>
        <v>0</v>
      </c>
      <c r="AB36" s="144">
        <f t="shared" si="44"/>
        <v>0</v>
      </c>
      <c r="AC36" s="144">
        <f t="shared" si="44"/>
        <v>0</v>
      </c>
      <c r="AD36" s="144">
        <f t="shared" si="44"/>
        <v>0</v>
      </c>
      <c r="AE36" s="144">
        <f t="shared" si="44"/>
        <v>0</v>
      </c>
      <c r="AF36" s="144">
        <f t="shared" si="44"/>
        <v>0</v>
      </c>
      <c r="AG36" s="144">
        <f t="shared" si="44"/>
        <v>0</v>
      </c>
      <c r="AH36" s="144">
        <f t="shared" si="44"/>
        <v>0</v>
      </c>
      <c r="AI36" s="144">
        <f t="shared" ref="AI36:BN36" si="45">IF($C13&lt;&gt;"Yes",0,IF(AND(AI$3&gt;=$B13,AI$3&lt;=EOMONTH($B13,119)),INDEX($C$7:$DR$7,1,12*(YEAR(AI$3)-YEAR($B13))+MONTH(AI$3)-MONTH($B13)+1),0))</f>
        <v>0</v>
      </c>
      <c r="AJ36" s="144">
        <f t="shared" si="45"/>
        <v>0</v>
      </c>
      <c r="AK36" s="144">
        <f t="shared" si="45"/>
        <v>0</v>
      </c>
      <c r="AL36" s="144">
        <f t="shared" si="45"/>
        <v>0</v>
      </c>
      <c r="AM36" s="144">
        <f t="shared" si="45"/>
        <v>0</v>
      </c>
      <c r="AN36" s="144">
        <f t="shared" si="45"/>
        <v>0</v>
      </c>
      <c r="AO36" s="144">
        <f t="shared" si="45"/>
        <v>0</v>
      </c>
      <c r="AP36" s="144">
        <f t="shared" si="45"/>
        <v>0</v>
      </c>
      <c r="AQ36" s="144">
        <f t="shared" si="45"/>
        <v>0</v>
      </c>
      <c r="AR36" s="144">
        <f t="shared" si="45"/>
        <v>0</v>
      </c>
      <c r="AS36" s="144">
        <f t="shared" si="45"/>
        <v>0</v>
      </c>
      <c r="AT36" s="144">
        <f t="shared" si="45"/>
        <v>0</v>
      </c>
      <c r="AU36" s="144">
        <f t="shared" si="45"/>
        <v>0</v>
      </c>
      <c r="AV36" s="144">
        <f t="shared" si="45"/>
        <v>0</v>
      </c>
      <c r="AW36" s="144">
        <f t="shared" si="45"/>
        <v>0</v>
      </c>
      <c r="AX36" s="144">
        <f t="shared" si="45"/>
        <v>0</v>
      </c>
      <c r="AY36" s="144">
        <f t="shared" si="45"/>
        <v>0</v>
      </c>
      <c r="AZ36" s="144">
        <f t="shared" si="45"/>
        <v>0</v>
      </c>
      <c r="BA36" s="144">
        <f t="shared" si="45"/>
        <v>0</v>
      </c>
      <c r="BB36" s="144">
        <f t="shared" si="45"/>
        <v>0</v>
      </c>
      <c r="BC36" s="144">
        <f t="shared" si="45"/>
        <v>0</v>
      </c>
      <c r="BD36" s="144">
        <f t="shared" si="45"/>
        <v>0</v>
      </c>
      <c r="BE36" s="144">
        <f t="shared" si="45"/>
        <v>0</v>
      </c>
      <c r="BF36" s="144">
        <f t="shared" si="45"/>
        <v>0</v>
      </c>
      <c r="BG36" s="144">
        <f t="shared" si="45"/>
        <v>0</v>
      </c>
      <c r="BH36" s="144">
        <f t="shared" si="45"/>
        <v>0</v>
      </c>
      <c r="BI36" s="144">
        <f t="shared" si="45"/>
        <v>0</v>
      </c>
      <c r="BJ36" s="144">
        <f t="shared" si="45"/>
        <v>0</v>
      </c>
      <c r="BK36" s="144">
        <f t="shared" si="45"/>
        <v>0</v>
      </c>
      <c r="BL36" s="144">
        <f t="shared" si="45"/>
        <v>0</v>
      </c>
      <c r="BM36" s="144">
        <f t="shared" si="45"/>
        <v>0</v>
      </c>
      <c r="BN36" s="144">
        <f t="shared" si="45"/>
        <v>0</v>
      </c>
      <c r="BO36" s="144">
        <f t="shared" ref="BO36:CT36" si="46">IF($C13&lt;&gt;"Yes",0,IF(AND(BO$3&gt;=$B13,BO$3&lt;=EOMONTH($B13,119)),INDEX($C$7:$DR$7,1,12*(YEAR(BO$3)-YEAR($B13))+MONTH(BO$3)-MONTH($B13)+1),0))</f>
        <v>0</v>
      </c>
      <c r="BP36" s="144">
        <f t="shared" si="46"/>
        <v>0</v>
      </c>
      <c r="BQ36" s="144">
        <f t="shared" si="46"/>
        <v>0</v>
      </c>
      <c r="BR36" s="144">
        <f t="shared" si="46"/>
        <v>0</v>
      </c>
      <c r="BS36" s="144">
        <f t="shared" si="46"/>
        <v>0</v>
      </c>
      <c r="BT36" s="144">
        <f t="shared" si="46"/>
        <v>0</v>
      </c>
      <c r="BU36" s="144">
        <f t="shared" si="46"/>
        <v>0</v>
      </c>
      <c r="BV36" s="144">
        <f t="shared" si="46"/>
        <v>0</v>
      </c>
      <c r="BW36" s="144">
        <f t="shared" si="46"/>
        <v>0</v>
      </c>
      <c r="BX36" s="144">
        <f t="shared" si="46"/>
        <v>0</v>
      </c>
      <c r="BY36" s="144">
        <f t="shared" si="46"/>
        <v>0</v>
      </c>
      <c r="BZ36" s="144">
        <f t="shared" si="46"/>
        <v>0</v>
      </c>
      <c r="CA36" s="144">
        <f t="shared" si="46"/>
        <v>0</v>
      </c>
      <c r="CB36" s="144">
        <f t="shared" si="46"/>
        <v>0</v>
      </c>
      <c r="CC36" s="144">
        <f t="shared" si="46"/>
        <v>0</v>
      </c>
      <c r="CD36" s="144">
        <f t="shared" si="46"/>
        <v>0</v>
      </c>
      <c r="CE36" s="144">
        <f t="shared" si="46"/>
        <v>0</v>
      </c>
      <c r="CF36" s="144">
        <f t="shared" si="46"/>
        <v>0</v>
      </c>
      <c r="CG36" s="144">
        <f t="shared" si="46"/>
        <v>0</v>
      </c>
      <c r="CH36" s="144">
        <f t="shared" si="46"/>
        <v>0</v>
      </c>
      <c r="CI36" s="144">
        <f t="shared" si="46"/>
        <v>0</v>
      </c>
      <c r="CJ36" s="144">
        <f t="shared" si="46"/>
        <v>0</v>
      </c>
      <c r="CK36" s="144">
        <f t="shared" si="46"/>
        <v>0</v>
      </c>
      <c r="CL36" s="144">
        <f t="shared" si="46"/>
        <v>0</v>
      </c>
      <c r="CM36" s="144">
        <f t="shared" si="46"/>
        <v>0</v>
      </c>
      <c r="CN36" s="144">
        <f t="shared" si="46"/>
        <v>0</v>
      </c>
      <c r="CO36" s="144">
        <f t="shared" si="46"/>
        <v>0</v>
      </c>
      <c r="CP36" s="144">
        <f t="shared" si="46"/>
        <v>0</v>
      </c>
      <c r="CQ36" s="144">
        <f t="shared" si="46"/>
        <v>0</v>
      </c>
      <c r="CR36" s="144">
        <f t="shared" si="46"/>
        <v>0</v>
      </c>
      <c r="CS36" s="144">
        <f t="shared" si="46"/>
        <v>0</v>
      </c>
      <c r="CT36" s="144">
        <f t="shared" si="46"/>
        <v>0</v>
      </c>
      <c r="CU36" s="144">
        <f t="shared" ref="CU36:DR36" si="47">IF($C13&lt;&gt;"Yes",0,IF(AND(CU$3&gt;=$B13,CU$3&lt;=EOMONTH($B13,119)),INDEX($C$7:$DR$7,1,12*(YEAR(CU$3)-YEAR($B13))+MONTH(CU$3)-MONTH($B13)+1),0))</f>
        <v>0</v>
      </c>
      <c r="CV36" s="144">
        <f t="shared" si="47"/>
        <v>0</v>
      </c>
      <c r="CW36" s="144">
        <f t="shared" si="47"/>
        <v>0</v>
      </c>
      <c r="CX36" s="144">
        <f t="shared" si="47"/>
        <v>0</v>
      </c>
      <c r="CY36" s="144">
        <f t="shared" si="47"/>
        <v>0</v>
      </c>
      <c r="CZ36" s="144">
        <f t="shared" si="47"/>
        <v>0</v>
      </c>
      <c r="DA36" s="144">
        <f t="shared" si="47"/>
        <v>0</v>
      </c>
      <c r="DB36" s="144">
        <f t="shared" si="47"/>
        <v>0</v>
      </c>
      <c r="DC36" s="144">
        <f t="shared" si="47"/>
        <v>0</v>
      </c>
      <c r="DD36" s="144">
        <f t="shared" si="47"/>
        <v>0</v>
      </c>
      <c r="DE36" s="144">
        <f t="shared" si="47"/>
        <v>0</v>
      </c>
      <c r="DF36" s="144">
        <f t="shared" si="47"/>
        <v>0</v>
      </c>
      <c r="DG36" s="144">
        <f t="shared" si="47"/>
        <v>0</v>
      </c>
      <c r="DH36" s="144">
        <f t="shared" si="47"/>
        <v>0</v>
      </c>
      <c r="DI36" s="144">
        <f t="shared" si="47"/>
        <v>0</v>
      </c>
      <c r="DJ36" s="144">
        <f t="shared" si="47"/>
        <v>0</v>
      </c>
      <c r="DK36" s="144">
        <f t="shared" si="47"/>
        <v>0</v>
      </c>
      <c r="DL36" s="144">
        <f t="shared" si="47"/>
        <v>0</v>
      </c>
      <c r="DM36" s="144">
        <f t="shared" si="47"/>
        <v>0</v>
      </c>
      <c r="DN36" s="144">
        <f t="shared" si="47"/>
        <v>0</v>
      </c>
      <c r="DO36" s="144">
        <f t="shared" si="47"/>
        <v>0</v>
      </c>
      <c r="DP36" s="144">
        <f t="shared" si="47"/>
        <v>0</v>
      </c>
      <c r="DQ36" s="144">
        <f t="shared" si="47"/>
        <v>0</v>
      </c>
      <c r="DR36" s="144">
        <f t="shared" si="47"/>
        <v>0</v>
      </c>
    </row>
    <row r="37" spans="1:122">
      <c r="A37" s="142" t="s">
        <v>323</v>
      </c>
      <c r="C37" s="144">
        <f t="shared" ref="C37:AH37" si="48">IF($C14&lt;&gt;"Yes",0,IF(AND(C$3&gt;=$B14,C$3&lt;=EOMONTH($B14,119)),INDEX($C$5:$DR$5,1,12*(YEAR(C$3)-YEAR($B14))+MONTH(C$3)-MONTH($B14)+1),0))</f>
        <v>0</v>
      </c>
      <c r="D37" s="144">
        <f t="shared" si="48"/>
        <v>0</v>
      </c>
      <c r="E37" s="144">
        <f t="shared" si="48"/>
        <v>0</v>
      </c>
      <c r="F37" s="144">
        <f t="shared" si="48"/>
        <v>0</v>
      </c>
      <c r="G37" s="144">
        <f t="shared" si="48"/>
        <v>0</v>
      </c>
      <c r="H37" s="144">
        <f t="shared" si="48"/>
        <v>0</v>
      </c>
      <c r="I37" s="144">
        <f t="shared" si="48"/>
        <v>0</v>
      </c>
      <c r="J37" s="144">
        <f t="shared" si="48"/>
        <v>0</v>
      </c>
      <c r="K37" s="144">
        <f t="shared" si="48"/>
        <v>0</v>
      </c>
      <c r="L37" s="144">
        <f t="shared" si="48"/>
        <v>0</v>
      </c>
      <c r="M37" s="144">
        <f t="shared" si="48"/>
        <v>0</v>
      </c>
      <c r="N37" s="144">
        <f t="shared" si="48"/>
        <v>0</v>
      </c>
      <c r="O37" s="144">
        <f t="shared" si="48"/>
        <v>0</v>
      </c>
      <c r="P37" s="144">
        <f t="shared" si="48"/>
        <v>0</v>
      </c>
      <c r="Q37" s="144">
        <f t="shared" si="48"/>
        <v>0</v>
      </c>
      <c r="R37" s="144">
        <f t="shared" si="48"/>
        <v>0</v>
      </c>
      <c r="S37" s="144">
        <f t="shared" si="48"/>
        <v>0</v>
      </c>
      <c r="T37" s="144">
        <f t="shared" si="48"/>
        <v>0</v>
      </c>
      <c r="U37" s="144">
        <f t="shared" si="48"/>
        <v>0</v>
      </c>
      <c r="V37" s="144">
        <f t="shared" si="48"/>
        <v>0</v>
      </c>
      <c r="W37" s="144">
        <f t="shared" si="48"/>
        <v>0</v>
      </c>
      <c r="X37" s="144">
        <f t="shared" si="48"/>
        <v>0</v>
      </c>
      <c r="Y37" s="144">
        <f t="shared" si="48"/>
        <v>0</v>
      </c>
      <c r="Z37" s="144">
        <f t="shared" si="48"/>
        <v>0</v>
      </c>
      <c r="AA37" s="144">
        <f t="shared" si="48"/>
        <v>0</v>
      </c>
      <c r="AB37" s="144">
        <f t="shared" si="48"/>
        <v>0</v>
      </c>
      <c r="AC37" s="144">
        <f t="shared" si="48"/>
        <v>0</v>
      </c>
      <c r="AD37" s="144">
        <f t="shared" si="48"/>
        <v>0</v>
      </c>
      <c r="AE37" s="144">
        <f t="shared" si="48"/>
        <v>0</v>
      </c>
      <c r="AF37" s="144">
        <f t="shared" si="48"/>
        <v>0</v>
      </c>
      <c r="AG37" s="144">
        <f t="shared" si="48"/>
        <v>0</v>
      </c>
      <c r="AH37" s="144">
        <f t="shared" si="48"/>
        <v>0</v>
      </c>
      <c r="AI37" s="144">
        <f t="shared" ref="AI37:BN37" si="49">IF($C14&lt;&gt;"Yes",0,IF(AND(AI$3&gt;=$B14,AI$3&lt;=EOMONTH($B14,119)),INDEX($C$5:$DR$5,1,12*(YEAR(AI$3)-YEAR($B14))+MONTH(AI$3)-MONTH($B14)+1),0))</f>
        <v>0</v>
      </c>
      <c r="AJ37" s="144">
        <f t="shared" si="49"/>
        <v>0</v>
      </c>
      <c r="AK37" s="144">
        <f t="shared" si="49"/>
        <v>0</v>
      </c>
      <c r="AL37" s="144">
        <f t="shared" si="49"/>
        <v>0</v>
      </c>
      <c r="AM37" s="144">
        <f t="shared" si="49"/>
        <v>-7959375</v>
      </c>
      <c r="AN37" s="144">
        <f t="shared" si="49"/>
        <v>0</v>
      </c>
      <c r="AO37" s="144">
        <f t="shared" si="49"/>
        <v>0</v>
      </c>
      <c r="AP37" s="144">
        <f t="shared" si="49"/>
        <v>-6583997.0703125</v>
      </c>
      <c r="AQ37" s="144">
        <f t="shared" si="49"/>
        <v>-6583997.0703125</v>
      </c>
      <c r="AR37" s="144">
        <f t="shared" si="49"/>
        <v>-6583997.0703125</v>
      </c>
      <c r="AS37" s="144">
        <f t="shared" si="49"/>
        <v>-6583997.0703125</v>
      </c>
      <c r="AT37" s="144">
        <f t="shared" si="49"/>
        <v>-6583997.0703125</v>
      </c>
      <c r="AU37" s="144">
        <f t="shared" si="49"/>
        <v>-6583997.0703125</v>
      </c>
      <c r="AV37" s="144">
        <f t="shared" si="49"/>
        <v>-6583997.0703125</v>
      </c>
      <c r="AW37" s="144">
        <f t="shared" si="49"/>
        <v>-6583997.0703125</v>
      </c>
      <c r="AX37" s="144">
        <f t="shared" si="49"/>
        <v>-6583997.0703125</v>
      </c>
      <c r="AY37" s="144">
        <f t="shared" si="49"/>
        <v>-6583997.0703125</v>
      </c>
      <c r="AZ37" s="144">
        <f t="shared" si="49"/>
        <v>-6583997.0703125</v>
      </c>
      <c r="BA37" s="144">
        <f t="shared" si="49"/>
        <v>-6583997.0703125</v>
      </c>
      <c r="BB37" s="144">
        <f t="shared" si="49"/>
        <v>-6583997.0703125</v>
      </c>
      <c r="BC37" s="144">
        <f t="shared" si="49"/>
        <v>-6583997.0703125</v>
      </c>
      <c r="BD37" s="144">
        <f t="shared" si="49"/>
        <v>-6583997.0703125</v>
      </c>
      <c r="BE37" s="144">
        <f t="shared" si="49"/>
        <v>-6583997.0703125</v>
      </c>
      <c r="BF37" s="144">
        <f t="shared" si="49"/>
        <v>-6583997.0703125</v>
      </c>
      <c r="BG37" s="144">
        <f t="shared" si="49"/>
        <v>-6583997.0703125</v>
      </c>
      <c r="BH37" s="144">
        <f t="shared" si="49"/>
        <v>-4731365.7233449398</v>
      </c>
      <c r="BI37" s="144">
        <f t="shared" si="49"/>
        <v>-4731365.7233449398</v>
      </c>
      <c r="BJ37" s="144">
        <f t="shared" si="49"/>
        <v>-4731365.7233449398</v>
      </c>
      <c r="BK37" s="144">
        <f t="shared" si="49"/>
        <v>-4731365.7233449398</v>
      </c>
      <c r="BL37" s="144">
        <f t="shared" si="49"/>
        <v>-4731365.7233449398</v>
      </c>
      <c r="BM37" s="144">
        <f t="shared" si="49"/>
        <v>-4731365.7233449398</v>
      </c>
      <c r="BN37" s="144">
        <f t="shared" si="49"/>
        <v>75340341.443347454</v>
      </c>
      <c r="BO37" s="144">
        <f t="shared" ref="BO37:CT37" si="50">IF($C14&lt;&gt;"Yes",0,IF(AND(BO$3&gt;=$B14,BO$3&lt;=EOMONTH($B14,119)),INDEX($C$5:$DR$5,1,12*(YEAR(BO$3)-YEAR($B14))+MONTH(BO$3)-MONTH($B14)+1),0))</f>
        <v>12350875.646450398</v>
      </c>
      <c r="BP37" s="144">
        <f t="shared" si="50"/>
        <v>12350875.646450398</v>
      </c>
      <c r="BQ37" s="144">
        <f t="shared" si="50"/>
        <v>12350875.646450398</v>
      </c>
      <c r="BR37" s="144">
        <f t="shared" si="50"/>
        <v>12350875.646450398</v>
      </c>
      <c r="BS37" s="144">
        <f t="shared" si="50"/>
        <v>12350875.646450398</v>
      </c>
      <c r="BT37" s="144">
        <f t="shared" si="50"/>
        <v>12350875.646450398</v>
      </c>
      <c r="BU37" s="144">
        <f t="shared" si="50"/>
        <v>12350875.646450398</v>
      </c>
      <c r="BV37" s="144">
        <f t="shared" si="50"/>
        <v>12350875.646450398</v>
      </c>
      <c r="BW37" s="144">
        <f t="shared" si="50"/>
        <v>12350875.646450398</v>
      </c>
      <c r="BX37" s="144">
        <f t="shared" si="50"/>
        <v>12350875.646450398</v>
      </c>
      <c r="BY37" s="144">
        <f t="shared" si="50"/>
        <v>12350875.646450398</v>
      </c>
      <c r="BZ37" s="144">
        <f t="shared" si="50"/>
        <v>0</v>
      </c>
      <c r="CA37" s="144">
        <f t="shared" si="50"/>
        <v>0</v>
      </c>
      <c r="CB37" s="144">
        <f t="shared" si="50"/>
        <v>0</v>
      </c>
      <c r="CC37" s="144">
        <f t="shared" si="50"/>
        <v>0</v>
      </c>
      <c r="CD37" s="144">
        <f t="shared" si="50"/>
        <v>0</v>
      </c>
      <c r="CE37" s="144">
        <f t="shared" si="50"/>
        <v>0</v>
      </c>
      <c r="CF37" s="144">
        <f t="shared" si="50"/>
        <v>0</v>
      </c>
      <c r="CG37" s="144">
        <f t="shared" si="50"/>
        <v>0</v>
      </c>
      <c r="CH37" s="144">
        <f t="shared" si="50"/>
        <v>0</v>
      </c>
      <c r="CI37" s="144">
        <f t="shared" si="50"/>
        <v>0</v>
      </c>
      <c r="CJ37" s="144">
        <f t="shared" si="50"/>
        <v>0</v>
      </c>
      <c r="CK37" s="144">
        <f t="shared" si="50"/>
        <v>0</v>
      </c>
      <c r="CL37" s="144">
        <f t="shared" si="50"/>
        <v>0</v>
      </c>
      <c r="CM37" s="144">
        <f t="shared" si="50"/>
        <v>0</v>
      </c>
      <c r="CN37" s="144">
        <f t="shared" si="50"/>
        <v>0</v>
      </c>
      <c r="CO37" s="144">
        <f t="shared" si="50"/>
        <v>0</v>
      </c>
      <c r="CP37" s="144">
        <f t="shared" si="50"/>
        <v>0</v>
      </c>
      <c r="CQ37" s="144">
        <f t="shared" si="50"/>
        <v>0</v>
      </c>
      <c r="CR37" s="144">
        <f t="shared" si="50"/>
        <v>0</v>
      </c>
      <c r="CS37" s="144">
        <f t="shared" si="50"/>
        <v>0</v>
      </c>
      <c r="CT37" s="144">
        <f t="shared" si="50"/>
        <v>0</v>
      </c>
      <c r="CU37" s="144">
        <f t="shared" ref="CU37:DR37" si="51">IF($C14&lt;&gt;"Yes",0,IF(AND(CU$3&gt;=$B14,CU$3&lt;=EOMONTH($B14,119)),INDEX($C$5:$DR$5,1,12*(YEAR(CU$3)-YEAR($B14))+MONTH(CU$3)-MONTH($B14)+1),0))</f>
        <v>0</v>
      </c>
      <c r="CV37" s="144">
        <f t="shared" si="51"/>
        <v>0</v>
      </c>
      <c r="CW37" s="144">
        <f t="shared" si="51"/>
        <v>0</v>
      </c>
      <c r="CX37" s="144">
        <f t="shared" si="51"/>
        <v>0</v>
      </c>
      <c r="CY37" s="144">
        <f t="shared" si="51"/>
        <v>0</v>
      </c>
      <c r="CZ37" s="144">
        <f t="shared" si="51"/>
        <v>0</v>
      </c>
      <c r="DA37" s="144">
        <f t="shared" si="51"/>
        <v>0</v>
      </c>
      <c r="DB37" s="144">
        <f t="shared" si="51"/>
        <v>0</v>
      </c>
      <c r="DC37" s="144">
        <f t="shared" si="51"/>
        <v>0</v>
      </c>
      <c r="DD37" s="144">
        <f t="shared" si="51"/>
        <v>0</v>
      </c>
      <c r="DE37" s="144">
        <f t="shared" si="51"/>
        <v>0</v>
      </c>
      <c r="DF37" s="144">
        <f t="shared" si="51"/>
        <v>0</v>
      </c>
      <c r="DG37" s="144">
        <f t="shared" si="51"/>
        <v>0</v>
      </c>
      <c r="DH37" s="144">
        <f t="shared" si="51"/>
        <v>0</v>
      </c>
      <c r="DI37" s="144">
        <f t="shared" si="51"/>
        <v>0</v>
      </c>
      <c r="DJ37" s="144">
        <f t="shared" si="51"/>
        <v>0</v>
      </c>
      <c r="DK37" s="144">
        <f t="shared" si="51"/>
        <v>0</v>
      </c>
      <c r="DL37" s="144">
        <f t="shared" si="51"/>
        <v>0</v>
      </c>
      <c r="DM37" s="144">
        <f t="shared" si="51"/>
        <v>0</v>
      </c>
      <c r="DN37" s="144">
        <f t="shared" si="51"/>
        <v>0</v>
      </c>
      <c r="DO37" s="144">
        <f t="shared" si="51"/>
        <v>0</v>
      </c>
      <c r="DP37" s="144">
        <f t="shared" si="51"/>
        <v>0</v>
      </c>
      <c r="DQ37" s="144">
        <f t="shared" si="51"/>
        <v>0</v>
      </c>
      <c r="DR37" s="144">
        <f t="shared" si="51"/>
        <v>0</v>
      </c>
    </row>
    <row r="38" spans="1:122">
      <c r="A38" s="142" t="s">
        <v>324</v>
      </c>
      <c r="C38" s="144">
        <f t="shared" ref="C38:AH38" si="52">IF($C14&lt;&gt;"Yes",0,IF(AND(C$3&gt;=$B14,C$3&lt;=EOMONTH($B14,119)),INDEX($C$6:$DR$6,1,12*(YEAR(C$3)-YEAR($B14))+MONTH(C$3)-MONTH($B14)+1),0))</f>
        <v>0</v>
      </c>
      <c r="D38" s="144">
        <f t="shared" si="52"/>
        <v>0</v>
      </c>
      <c r="E38" s="144">
        <f t="shared" si="52"/>
        <v>0</v>
      </c>
      <c r="F38" s="144">
        <f t="shared" si="52"/>
        <v>0</v>
      </c>
      <c r="G38" s="144">
        <f t="shared" si="52"/>
        <v>0</v>
      </c>
      <c r="H38" s="144">
        <f t="shared" si="52"/>
        <v>0</v>
      </c>
      <c r="I38" s="144">
        <f t="shared" si="52"/>
        <v>0</v>
      </c>
      <c r="J38" s="144">
        <f t="shared" si="52"/>
        <v>0</v>
      </c>
      <c r="K38" s="144">
        <f t="shared" si="52"/>
        <v>0</v>
      </c>
      <c r="L38" s="144">
        <f t="shared" si="52"/>
        <v>0</v>
      </c>
      <c r="M38" s="144">
        <f t="shared" si="52"/>
        <v>0</v>
      </c>
      <c r="N38" s="144">
        <f t="shared" si="52"/>
        <v>0</v>
      </c>
      <c r="O38" s="144">
        <f t="shared" si="52"/>
        <v>0</v>
      </c>
      <c r="P38" s="144">
        <f t="shared" si="52"/>
        <v>0</v>
      </c>
      <c r="Q38" s="144">
        <f t="shared" si="52"/>
        <v>0</v>
      </c>
      <c r="R38" s="144">
        <f t="shared" si="52"/>
        <v>0</v>
      </c>
      <c r="S38" s="144">
        <f t="shared" si="52"/>
        <v>0</v>
      </c>
      <c r="T38" s="144">
        <f t="shared" si="52"/>
        <v>0</v>
      </c>
      <c r="U38" s="144">
        <f t="shared" si="52"/>
        <v>0</v>
      </c>
      <c r="V38" s="144">
        <f t="shared" si="52"/>
        <v>0</v>
      </c>
      <c r="W38" s="144">
        <f t="shared" si="52"/>
        <v>0</v>
      </c>
      <c r="X38" s="144">
        <f t="shared" si="52"/>
        <v>0</v>
      </c>
      <c r="Y38" s="144">
        <f t="shared" si="52"/>
        <v>0</v>
      </c>
      <c r="Z38" s="144">
        <f t="shared" si="52"/>
        <v>0</v>
      </c>
      <c r="AA38" s="144">
        <f t="shared" si="52"/>
        <v>0</v>
      </c>
      <c r="AB38" s="144">
        <f t="shared" si="52"/>
        <v>0</v>
      </c>
      <c r="AC38" s="144">
        <f t="shared" si="52"/>
        <v>0</v>
      </c>
      <c r="AD38" s="144">
        <f t="shared" si="52"/>
        <v>0</v>
      </c>
      <c r="AE38" s="144">
        <f t="shared" si="52"/>
        <v>0</v>
      </c>
      <c r="AF38" s="144">
        <f t="shared" si="52"/>
        <v>0</v>
      </c>
      <c r="AG38" s="144">
        <f t="shared" si="52"/>
        <v>0</v>
      </c>
      <c r="AH38" s="144">
        <f t="shared" si="52"/>
        <v>0</v>
      </c>
      <c r="AI38" s="144">
        <f t="shared" ref="AI38:BN38" si="53">IF($C14&lt;&gt;"Yes",0,IF(AND(AI$3&gt;=$B14,AI$3&lt;=EOMONTH($B14,119)),INDEX($C$6:$DR$6,1,12*(YEAR(AI$3)-YEAR($B14))+MONTH(AI$3)-MONTH($B14)+1),0))</f>
        <v>0</v>
      </c>
      <c r="AJ38" s="144">
        <f t="shared" si="53"/>
        <v>0</v>
      </c>
      <c r="AK38" s="144">
        <f t="shared" si="53"/>
        <v>0</v>
      </c>
      <c r="AL38" s="144">
        <f t="shared" si="53"/>
        <v>0</v>
      </c>
      <c r="AM38" s="144">
        <f t="shared" si="53"/>
        <v>0</v>
      </c>
      <c r="AN38" s="144">
        <f t="shared" si="53"/>
        <v>0</v>
      </c>
      <c r="AO38" s="144">
        <f t="shared" si="53"/>
        <v>0</v>
      </c>
      <c r="AP38" s="144">
        <f t="shared" si="53"/>
        <v>0</v>
      </c>
      <c r="AQ38" s="144">
        <f t="shared" si="53"/>
        <v>0</v>
      </c>
      <c r="AR38" s="144">
        <f t="shared" si="53"/>
        <v>0</v>
      </c>
      <c r="AS38" s="144">
        <f t="shared" si="53"/>
        <v>0</v>
      </c>
      <c r="AT38" s="144">
        <f t="shared" si="53"/>
        <v>0</v>
      </c>
      <c r="AU38" s="144">
        <f t="shared" si="53"/>
        <v>0</v>
      </c>
      <c r="AV38" s="144">
        <f t="shared" si="53"/>
        <v>0</v>
      </c>
      <c r="AW38" s="144">
        <f t="shared" si="53"/>
        <v>0</v>
      </c>
      <c r="AX38" s="144">
        <f t="shared" si="53"/>
        <v>0</v>
      </c>
      <c r="AY38" s="144">
        <f t="shared" si="53"/>
        <v>0</v>
      </c>
      <c r="AZ38" s="144">
        <f t="shared" si="53"/>
        <v>0</v>
      </c>
      <c r="BA38" s="144">
        <f t="shared" si="53"/>
        <v>0</v>
      </c>
      <c r="BB38" s="144">
        <f t="shared" si="53"/>
        <v>0</v>
      </c>
      <c r="BC38" s="144">
        <f t="shared" si="53"/>
        <v>0</v>
      </c>
      <c r="BD38" s="144">
        <f t="shared" si="53"/>
        <v>0</v>
      </c>
      <c r="BE38" s="144">
        <f t="shared" si="53"/>
        <v>0</v>
      </c>
      <c r="BF38" s="144">
        <f t="shared" si="53"/>
        <v>0</v>
      </c>
      <c r="BG38" s="144">
        <f t="shared" si="53"/>
        <v>0</v>
      </c>
      <c r="BH38" s="144">
        <f t="shared" si="53"/>
        <v>1875000.0000000002</v>
      </c>
      <c r="BI38" s="144">
        <f t="shared" si="53"/>
        <v>1875000.0000000002</v>
      </c>
      <c r="BJ38" s="144">
        <f t="shared" si="53"/>
        <v>1875000.0000000002</v>
      </c>
      <c r="BK38" s="144">
        <f t="shared" si="53"/>
        <v>1875000.0000000002</v>
      </c>
      <c r="BL38" s="144">
        <f t="shared" si="53"/>
        <v>1875000.0000000002</v>
      </c>
      <c r="BM38" s="144">
        <f t="shared" si="53"/>
        <v>1875000.0000000002</v>
      </c>
      <c r="BN38" s="144">
        <f t="shared" si="53"/>
        <v>76250000.000000015</v>
      </c>
      <c r="BO38" s="144">
        <f t="shared" ref="BO38:CT38" si="54">IF($C14&lt;&gt;"Yes",0,IF(AND(BO$3&gt;=$B14,BO$3&lt;=EOMONTH($B14,119)),INDEX($C$6:$DR$6,1,12*(YEAR(BO$3)-YEAR($B14))+MONTH(BO$3)-MONTH($B14)+1),0))</f>
        <v>12500000</v>
      </c>
      <c r="BP38" s="144">
        <f t="shared" si="54"/>
        <v>12500000</v>
      </c>
      <c r="BQ38" s="144">
        <f t="shared" si="54"/>
        <v>12500000</v>
      </c>
      <c r="BR38" s="144">
        <f t="shared" si="54"/>
        <v>12500000</v>
      </c>
      <c r="BS38" s="144">
        <f t="shared" si="54"/>
        <v>12500000</v>
      </c>
      <c r="BT38" s="144">
        <f t="shared" si="54"/>
        <v>12500000</v>
      </c>
      <c r="BU38" s="144">
        <f t="shared" si="54"/>
        <v>12500000</v>
      </c>
      <c r="BV38" s="144">
        <f t="shared" si="54"/>
        <v>12500000</v>
      </c>
      <c r="BW38" s="144">
        <f t="shared" si="54"/>
        <v>12500000</v>
      </c>
      <c r="BX38" s="144">
        <f t="shared" si="54"/>
        <v>12500000</v>
      </c>
      <c r="BY38" s="144">
        <f t="shared" si="54"/>
        <v>12500000</v>
      </c>
      <c r="BZ38" s="144">
        <f t="shared" si="54"/>
        <v>0</v>
      </c>
      <c r="CA38" s="144">
        <f t="shared" si="54"/>
        <v>0</v>
      </c>
      <c r="CB38" s="144">
        <f t="shared" si="54"/>
        <v>0</v>
      </c>
      <c r="CC38" s="144">
        <f t="shared" si="54"/>
        <v>0</v>
      </c>
      <c r="CD38" s="144">
        <f t="shared" si="54"/>
        <v>0</v>
      </c>
      <c r="CE38" s="144">
        <f t="shared" si="54"/>
        <v>0</v>
      </c>
      <c r="CF38" s="144">
        <f t="shared" si="54"/>
        <v>0</v>
      </c>
      <c r="CG38" s="144">
        <f t="shared" si="54"/>
        <v>0</v>
      </c>
      <c r="CH38" s="144">
        <f t="shared" si="54"/>
        <v>0</v>
      </c>
      <c r="CI38" s="144">
        <f t="shared" si="54"/>
        <v>0</v>
      </c>
      <c r="CJ38" s="144">
        <f t="shared" si="54"/>
        <v>0</v>
      </c>
      <c r="CK38" s="144">
        <f t="shared" si="54"/>
        <v>0</v>
      </c>
      <c r="CL38" s="144">
        <f t="shared" si="54"/>
        <v>0</v>
      </c>
      <c r="CM38" s="144">
        <f t="shared" si="54"/>
        <v>0</v>
      </c>
      <c r="CN38" s="144">
        <f t="shared" si="54"/>
        <v>0</v>
      </c>
      <c r="CO38" s="144">
        <f t="shared" si="54"/>
        <v>0</v>
      </c>
      <c r="CP38" s="144">
        <f t="shared" si="54"/>
        <v>0</v>
      </c>
      <c r="CQ38" s="144">
        <f t="shared" si="54"/>
        <v>0</v>
      </c>
      <c r="CR38" s="144">
        <f t="shared" si="54"/>
        <v>0</v>
      </c>
      <c r="CS38" s="144">
        <f t="shared" si="54"/>
        <v>0</v>
      </c>
      <c r="CT38" s="144">
        <f t="shared" si="54"/>
        <v>0</v>
      </c>
      <c r="CU38" s="144">
        <f t="shared" ref="CU38:DR38" si="55">IF($C14&lt;&gt;"Yes",0,IF(AND(CU$3&gt;=$B14,CU$3&lt;=EOMONTH($B14,119)),INDEX($C$6:$DR$6,1,12*(YEAR(CU$3)-YEAR($B14))+MONTH(CU$3)-MONTH($B14)+1),0))</f>
        <v>0</v>
      </c>
      <c r="CV38" s="144">
        <f t="shared" si="55"/>
        <v>0</v>
      </c>
      <c r="CW38" s="144">
        <f t="shared" si="55"/>
        <v>0</v>
      </c>
      <c r="CX38" s="144">
        <f t="shared" si="55"/>
        <v>0</v>
      </c>
      <c r="CY38" s="144">
        <f t="shared" si="55"/>
        <v>0</v>
      </c>
      <c r="CZ38" s="144">
        <f t="shared" si="55"/>
        <v>0</v>
      </c>
      <c r="DA38" s="144">
        <f t="shared" si="55"/>
        <v>0</v>
      </c>
      <c r="DB38" s="144">
        <f t="shared" si="55"/>
        <v>0</v>
      </c>
      <c r="DC38" s="144">
        <f t="shared" si="55"/>
        <v>0</v>
      </c>
      <c r="DD38" s="144">
        <f t="shared" si="55"/>
        <v>0</v>
      </c>
      <c r="DE38" s="144">
        <f t="shared" si="55"/>
        <v>0</v>
      </c>
      <c r="DF38" s="144">
        <f t="shared" si="55"/>
        <v>0</v>
      </c>
      <c r="DG38" s="144">
        <f t="shared" si="55"/>
        <v>0</v>
      </c>
      <c r="DH38" s="144">
        <f t="shared" si="55"/>
        <v>0</v>
      </c>
      <c r="DI38" s="144">
        <f t="shared" si="55"/>
        <v>0</v>
      </c>
      <c r="DJ38" s="144">
        <f t="shared" si="55"/>
        <v>0</v>
      </c>
      <c r="DK38" s="144">
        <f t="shared" si="55"/>
        <v>0</v>
      </c>
      <c r="DL38" s="144">
        <f t="shared" si="55"/>
        <v>0</v>
      </c>
      <c r="DM38" s="144">
        <f t="shared" si="55"/>
        <v>0</v>
      </c>
      <c r="DN38" s="144">
        <f t="shared" si="55"/>
        <v>0</v>
      </c>
      <c r="DO38" s="144">
        <f t="shared" si="55"/>
        <v>0</v>
      </c>
      <c r="DP38" s="144">
        <f t="shared" si="55"/>
        <v>0</v>
      </c>
      <c r="DQ38" s="144">
        <f t="shared" si="55"/>
        <v>0</v>
      </c>
      <c r="DR38" s="144">
        <f t="shared" si="55"/>
        <v>0</v>
      </c>
    </row>
    <row r="39" spans="1:122">
      <c r="A39" s="142" t="s">
        <v>325</v>
      </c>
      <c r="C39" s="144">
        <f t="shared" ref="C39:AH39" si="56">IF($C14&lt;&gt;"Yes",0,IF(AND(C$3&gt;=$B14,C$3&lt;=EOMONTH($B14,119)),INDEX($C$7:$DR$7,1,12*(YEAR(C$3)-YEAR($B14))+MONTH(C$3)-MONTH($B14)+1),0))</f>
        <v>0</v>
      </c>
      <c r="D39" s="144">
        <f t="shared" si="56"/>
        <v>0</v>
      </c>
      <c r="E39" s="144">
        <f t="shared" si="56"/>
        <v>0</v>
      </c>
      <c r="F39" s="144">
        <f t="shared" si="56"/>
        <v>0</v>
      </c>
      <c r="G39" s="144">
        <f t="shared" si="56"/>
        <v>0</v>
      </c>
      <c r="H39" s="144">
        <f t="shared" si="56"/>
        <v>0</v>
      </c>
      <c r="I39" s="144">
        <f t="shared" si="56"/>
        <v>0</v>
      </c>
      <c r="J39" s="144">
        <f t="shared" si="56"/>
        <v>0</v>
      </c>
      <c r="K39" s="144">
        <f t="shared" si="56"/>
        <v>0</v>
      </c>
      <c r="L39" s="144">
        <f t="shared" si="56"/>
        <v>0</v>
      </c>
      <c r="M39" s="144">
        <f t="shared" si="56"/>
        <v>0</v>
      </c>
      <c r="N39" s="144">
        <f t="shared" si="56"/>
        <v>0</v>
      </c>
      <c r="O39" s="144">
        <f t="shared" si="56"/>
        <v>0</v>
      </c>
      <c r="P39" s="144">
        <f t="shared" si="56"/>
        <v>0</v>
      </c>
      <c r="Q39" s="144">
        <f t="shared" si="56"/>
        <v>0</v>
      </c>
      <c r="R39" s="144">
        <f t="shared" si="56"/>
        <v>0</v>
      </c>
      <c r="S39" s="144">
        <f t="shared" si="56"/>
        <v>0</v>
      </c>
      <c r="T39" s="144">
        <f t="shared" si="56"/>
        <v>0</v>
      </c>
      <c r="U39" s="144">
        <f t="shared" si="56"/>
        <v>0</v>
      </c>
      <c r="V39" s="144">
        <f t="shared" si="56"/>
        <v>0</v>
      </c>
      <c r="W39" s="144">
        <f t="shared" si="56"/>
        <v>0</v>
      </c>
      <c r="X39" s="144">
        <f t="shared" si="56"/>
        <v>0</v>
      </c>
      <c r="Y39" s="144">
        <f t="shared" si="56"/>
        <v>0</v>
      </c>
      <c r="Z39" s="144">
        <f t="shared" si="56"/>
        <v>0</v>
      </c>
      <c r="AA39" s="144">
        <f t="shared" si="56"/>
        <v>0</v>
      </c>
      <c r="AB39" s="144">
        <f t="shared" si="56"/>
        <v>0</v>
      </c>
      <c r="AC39" s="144">
        <f t="shared" si="56"/>
        <v>0</v>
      </c>
      <c r="AD39" s="144">
        <f t="shared" si="56"/>
        <v>0</v>
      </c>
      <c r="AE39" s="144">
        <f t="shared" si="56"/>
        <v>0</v>
      </c>
      <c r="AF39" s="144">
        <f t="shared" si="56"/>
        <v>0</v>
      </c>
      <c r="AG39" s="144">
        <f t="shared" si="56"/>
        <v>0</v>
      </c>
      <c r="AH39" s="144">
        <f t="shared" si="56"/>
        <v>0</v>
      </c>
      <c r="AI39" s="144">
        <f t="shared" ref="AI39:BN39" si="57">IF($C14&lt;&gt;"Yes",0,IF(AND(AI$3&gt;=$B14,AI$3&lt;=EOMONTH($B14,119)),INDEX($C$7:$DR$7,1,12*(YEAR(AI$3)-YEAR($B14))+MONTH(AI$3)-MONTH($B14)+1),0))</f>
        <v>0</v>
      </c>
      <c r="AJ39" s="144">
        <f t="shared" si="57"/>
        <v>0</v>
      </c>
      <c r="AK39" s="144">
        <f t="shared" si="57"/>
        <v>0</v>
      </c>
      <c r="AL39" s="144">
        <f t="shared" si="57"/>
        <v>0</v>
      </c>
      <c r="AM39" s="144">
        <f t="shared" si="57"/>
        <v>0</v>
      </c>
      <c r="AN39" s="144">
        <f t="shared" si="57"/>
        <v>0</v>
      </c>
      <c r="AO39" s="144">
        <f t="shared" si="57"/>
        <v>0</v>
      </c>
      <c r="AP39" s="144">
        <f t="shared" si="57"/>
        <v>0</v>
      </c>
      <c r="AQ39" s="144">
        <f t="shared" si="57"/>
        <v>0</v>
      </c>
      <c r="AR39" s="144">
        <f t="shared" si="57"/>
        <v>0</v>
      </c>
      <c r="AS39" s="144">
        <f t="shared" si="57"/>
        <v>0</v>
      </c>
      <c r="AT39" s="144">
        <f t="shared" si="57"/>
        <v>0</v>
      </c>
      <c r="AU39" s="144">
        <f t="shared" si="57"/>
        <v>0</v>
      </c>
      <c r="AV39" s="144">
        <f t="shared" si="57"/>
        <v>0</v>
      </c>
      <c r="AW39" s="144">
        <f t="shared" si="57"/>
        <v>0</v>
      </c>
      <c r="AX39" s="144">
        <f t="shared" si="57"/>
        <v>0</v>
      </c>
      <c r="AY39" s="144">
        <f t="shared" si="57"/>
        <v>0</v>
      </c>
      <c r="AZ39" s="144">
        <f t="shared" si="57"/>
        <v>0</v>
      </c>
      <c r="BA39" s="144">
        <f t="shared" si="57"/>
        <v>0</v>
      </c>
      <c r="BB39" s="144">
        <f t="shared" si="57"/>
        <v>0</v>
      </c>
      <c r="BC39" s="144">
        <f t="shared" si="57"/>
        <v>0</v>
      </c>
      <c r="BD39" s="144">
        <f t="shared" si="57"/>
        <v>0</v>
      </c>
      <c r="BE39" s="144">
        <f t="shared" si="57"/>
        <v>0</v>
      </c>
      <c r="BF39" s="144">
        <f t="shared" si="57"/>
        <v>0</v>
      </c>
      <c r="BG39" s="144">
        <f t="shared" si="57"/>
        <v>0</v>
      </c>
      <c r="BH39" s="144">
        <f t="shared" si="57"/>
        <v>0</v>
      </c>
      <c r="BI39" s="144">
        <f t="shared" si="57"/>
        <v>0</v>
      </c>
      <c r="BJ39" s="144">
        <f t="shared" si="57"/>
        <v>0</v>
      </c>
      <c r="BK39" s="144">
        <f t="shared" si="57"/>
        <v>0</v>
      </c>
      <c r="BL39" s="144">
        <f t="shared" si="57"/>
        <v>0</v>
      </c>
      <c r="BM39" s="144">
        <f t="shared" si="57"/>
        <v>0</v>
      </c>
      <c r="BN39" s="144">
        <f t="shared" si="57"/>
        <v>74375000.000000015</v>
      </c>
      <c r="BO39" s="144">
        <f t="shared" ref="BO39:CT39" si="58">IF($C14&lt;&gt;"Yes",0,IF(AND(BO$3&gt;=$B14,BO$3&lt;=EOMONTH($B14,119)),INDEX($C$7:$DR$7,1,12*(YEAR(BO$3)-YEAR($B14))+MONTH(BO$3)-MONTH($B14)+1),0))</f>
        <v>10625000</v>
      </c>
      <c r="BP39" s="144">
        <f t="shared" si="58"/>
        <v>10625000</v>
      </c>
      <c r="BQ39" s="144">
        <f t="shared" si="58"/>
        <v>10625000</v>
      </c>
      <c r="BR39" s="144">
        <f t="shared" si="58"/>
        <v>10625000</v>
      </c>
      <c r="BS39" s="144">
        <f t="shared" si="58"/>
        <v>10625000</v>
      </c>
      <c r="BT39" s="144">
        <f t="shared" si="58"/>
        <v>10625000</v>
      </c>
      <c r="BU39" s="144">
        <f t="shared" si="58"/>
        <v>10625000</v>
      </c>
      <c r="BV39" s="144">
        <f t="shared" si="58"/>
        <v>10625000</v>
      </c>
      <c r="BW39" s="144">
        <f t="shared" si="58"/>
        <v>10625000</v>
      </c>
      <c r="BX39" s="144">
        <f t="shared" si="58"/>
        <v>10625000</v>
      </c>
      <c r="BY39" s="144">
        <f t="shared" si="58"/>
        <v>10625000</v>
      </c>
      <c r="BZ39" s="144">
        <f t="shared" si="58"/>
        <v>0</v>
      </c>
      <c r="CA39" s="144">
        <f t="shared" si="58"/>
        <v>0</v>
      </c>
      <c r="CB39" s="144">
        <f t="shared" si="58"/>
        <v>0</v>
      </c>
      <c r="CC39" s="144">
        <f t="shared" si="58"/>
        <v>0</v>
      </c>
      <c r="CD39" s="144">
        <f t="shared" si="58"/>
        <v>0</v>
      </c>
      <c r="CE39" s="144">
        <f t="shared" si="58"/>
        <v>0</v>
      </c>
      <c r="CF39" s="144">
        <f t="shared" si="58"/>
        <v>0</v>
      </c>
      <c r="CG39" s="144">
        <f t="shared" si="58"/>
        <v>0</v>
      </c>
      <c r="CH39" s="144">
        <f t="shared" si="58"/>
        <v>0</v>
      </c>
      <c r="CI39" s="144">
        <f t="shared" si="58"/>
        <v>0</v>
      </c>
      <c r="CJ39" s="144">
        <f t="shared" si="58"/>
        <v>0</v>
      </c>
      <c r="CK39" s="144">
        <f t="shared" si="58"/>
        <v>0</v>
      </c>
      <c r="CL39" s="144">
        <f t="shared" si="58"/>
        <v>0</v>
      </c>
      <c r="CM39" s="144">
        <f t="shared" si="58"/>
        <v>0</v>
      </c>
      <c r="CN39" s="144">
        <f t="shared" si="58"/>
        <v>0</v>
      </c>
      <c r="CO39" s="144">
        <f t="shared" si="58"/>
        <v>0</v>
      </c>
      <c r="CP39" s="144">
        <f t="shared" si="58"/>
        <v>0</v>
      </c>
      <c r="CQ39" s="144">
        <f t="shared" si="58"/>
        <v>0</v>
      </c>
      <c r="CR39" s="144">
        <f t="shared" si="58"/>
        <v>0</v>
      </c>
      <c r="CS39" s="144">
        <f t="shared" si="58"/>
        <v>0</v>
      </c>
      <c r="CT39" s="144">
        <f t="shared" si="58"/>
        <v>0</v>
      </c>
      <c r="CU39" s="144">
        <f t="shared" ref="CU39:DR39" si="59">IF($C14&lt;&gt;"Yes",0,IF(AND(CU$3&gt;=$B14,CU$3&lt;=EOMONTH($B14,119)),INDEX($C$7:$DR$7,1,12*(YEAR(CU$3)-YEAR($B14))+MONTH(CU$3)-MONTH($B14)+1),0))</f>
        <v>0</v>
      </c>
      <c r="CV39" s="144">
        <f t="shared" si="59"/>
        <v>0</v>
      </c>
      <c r="CW39" s="144">
        <f t="shared" si="59"/>
        <v>0</v>
      </c>
      <c r="CX39" s="144">
        <f t="shared" si="59"/>
        <v>0</v>
      </c>
      <c r="CY39" s="144">
        <f t="shared" si="59"/>
        <v>0</v>
      </c>
      <c r="CZ39" s="144">
        <f t="shared" si="59"/>
        <v>0</v>
      </c>
      <c r="DA39" s="144">
        <f t="shared" si="59"/>
        <v>0</v>
      </c>
      <c r="DB39" s="144">
        <f t="shared" si="59"/>
        <v>0</v>
      </c>
      <c r="DC39" s="144">
        <f t="shared" si="59"/>
        <v>0</v>
      </c>
      <c r="DD39" s="144">
        <f t="shared" si="59"/>
        <v>0</v>
      </c>
      <c r="DE39" s="144">
        <f t="shared" si="59"/>
        <v>0</v>
      </c>
      <c r="DF39" s="144">
        <f t="shared" si="59"/>
        <v>0</v>
      </c>
      <c r="DG39" s="144">
        <f t="shared" si="59"/>
        <v>0</v>
      </c>
      <c r="DH39" s="144">
        <f t="shared" si="59"/>
        <v>0</v>
      </c>
      <c r="DI39" s="144">
        <f t="shared" si="59"/>
        <v>0</v>
      </c>
      <c r="DJ39" s="144">
        <f t="shared" si="59"/>
        <v>0</v>
      </c>
      <c r="DK39" s="144">
        <f t="shared" si="59"/>
        <v>0</v>
      </c>
      <c r="DL39" s="144">
        <f t="shared" si="59"/>
        <v>0</v>
      </c>
      <c r="DM39" s="144">
        <f t="shared" si="59"/>
        <v>0</v>
      </c>
      <c r="DN39" s="144">
        <f t="shared" si="59"/>
        <v>0</v>
      </c>
      <c r="DO39" s="144">
        <f t="shared" si="59"/>
        <v>0</v>
      </c>
      <c r="DP39" s="144">
        <f t="shared" si="59"/>
        <v>0</v>
      </c>
      <c r="DQ39" s="144">
        <f t="shared" si="59"/>
        <v>0</v>
      </c>
      <c r="DR39" s="144">
        <f t="shared" si="59"/>
        <v>0</v>
      </c>
    </row>
    <row r="40" spans="1:122">
      <c r="A40" s="142" t="s">
        <v>326</v>
      </c>
      <c r="C40" s="144">
        <f t="shared" ref="C40:AH40" si="60">IF($C15&lt;&gt;"Yes",0,IF(AND(C$3&gt;=$B15,C$3&lt;=EOMONTH($B15,119)),INDEX($C$5:$DR$5,1,12*(YEAR(C$3)-YEAR($B15))+MONTH(C$3)-MONTH($B15)+1),0))</f>
        <v>0</v>
      </c>
      <c r="D40" s="144">
        <f t="shared" si="60"/>
        <v>0</v>
      </c>
      <c r="E40" s="144">
        <f t="shared" si="60"/>
        <v>0</v>
      </c>
      <c r="F40" s="144">
        <f t="shared" si="60"/>
        <v>0</v>
      </c>
      <c r="G40" s="144">
        <f t="shared" si="60"/>
        <v>0</v>
      </c>
      <c r="H40" s="144">
        <f t="shared" si="60"/>
        <v>0</v>
      </c>
      <c r="I40" s="144">
        <f t="shared" si="60"/>
        <v>0</v>
      </c>
      <c r="J40" s="144">
        <f t="shared" si="60"/>
        <v>0</v>
      </c>
      <c r="K40" s="144">
        <f t="shared" si="60"/>
        <v>0</v>
      </c>
      <c r="L40" s="144">
        <f t="shared" si="60"/>
        <v>0</v>
      </c>
      <c r="M40" s="144">
        <f t="shared" si="60"/>
        <v>0</v>
      </c>
      <c r="N40" s="144">
        <f t="shared" si="60"/>
        <v>0</v>
      </c>
      <c r="O40" s="144">
        <f t="shared" si="60"/>
        <v>0</v>
      </c>
      <c r="P40" s="144">
        <f t="shared" si="60"/>
        <v>0</v>
      </c>
      <c r="Q40" s="144">
        <f t="shared" si="60"/>
        <v>0</v>
      </c>
      <c r="R40" s="144">
        <f t="shared" si="60"/>
        <v>0</v>
      </c>
      <c r="S40" s="144">
        <f t="shared" si="60"/>
        <v>0</v>
      </c>
      <c r="T40" s="144">
        <f t="shared" si="60"/>
        <v>0</v>
      </c>
      <c r="U40" s="144">
        <f t="shared" si="60"/>
        <v>0</v>
      </c>
      <c r="V40" s="144">
        <f t="shared" si="60"/>
        <v>0</v>
      </c>
      <c r="W40" s="144">
        <f t="shared" si="60"/>
        <v>0</v>
      </c>
      <c r="X40" s="144">
        <f t="shared" si="60"/>
        <v>0</v>
      </c>
      <c r="Y40" s="144">
        <f t="shared" si="60"/>
        <v>0</v>
      </c>
      <c r="Z40" s="144">
        <f t="shared" si="60"/>
        <v>0</v>
      </c>
      <c r="AA40" s="144">
        <f t="shared" si="60"/>
        <v>0</v>
      </c>
      <c r="AB40" s="144">
        <f t="shared" si="60"/>
        <v>0</v>
      </c>
      <c r="AC40" s="144">
        <f t="shared" si="60"/>
        <v>0</v>
      </c>
      <c r="AD40" s="144">
        <f t="shared" si="60"/>
        <v>0</v>
      </c>
      <c r="AE40" s="144">
        <f t="shared" si="60"/>
        <v>0</v>
      </c>
      <c r="AF40" s="144">
        <f t="shared" si="60"/>
        <v>0</v>
      </c>
      <c r="AG40" s="144">
        <f t="shared" si="60"/>
        <v>0</v>
      </c>
      <c r="AH40" s="144">
        <f t="shared" si="60"/>
        <v>0</v>
      </c>
      <c r="AI40" s="144">
        <f t="shared" ref="AI40:BN40" si="61">IF($C15&lt;&gt;"Yes",0,IF(AND(AI$3&gt;=$B15,AI$3&lt;=EOMONTH($B15,119)),INDEX($C$5:$DR$5,1,12*(YEAR(AI$3)-YEAR($B15))+MONTH(AI$3)-MONTH($B15)+1),0))</f>
        <v>0</v>
      </c>
      <c r="AJ40" s="144">
        <f t="shared" si="61"/>
        <v>0</v>
      </c>
      <c r="AK40" s="144">
        <f t="shared" si="61"/>
        <v>0</v>
      </c>
      <c r="AL40" s="144">
        <f t="shared" si="61"/>
        <v>0</v>
      </c>
      <c r="AM40" s="144">
        <f t="shared" si="61"/>
        <v>0</v>
      </c>
      <c r="AN40" s="144">
        <f t="shared" si="61"/>
        <v>0</v>
      </c>
      <c r="AO40" s="144">
        <f t="shared" si="61"/>
        <v>0</v>
      </c>
      <c r="AP40" s="144">
        <f t="shared" si="61"/>
        <v>0</v>
      </c>
      <c r="AQ40" s="144">
        <f t="shared" si="61"/>
        <v>0</v>
      </c>
      <c r="AR40" s="144">
        <f t="shared" si="61"/>
        <v>0</v>
      </c>
      <c r="AS40" s="144">
        <f t="shared" si="61"/>
        <v>0</v>
      </c>
      <c r="AT40" s="144">
        <f t="shared" si="61"/>
        <v>0</v>
      </c>
      <c r="AU40" s="144">
        <f t="shared" si="61"/>
        <v>0</v>
      </c>
      <c r="AV40" s="144">
        <f t="shared" si="61"/>
        <v>0</v>
      </c>
      <c r="AW40" s="144">
        <f t="shared" si="61"/>
        <v>0</v>
      </c>
      <c r="AX40" s="144">
        <f t="shared" si="61"/>
        <v>0</v>
      </c>
      <c r="AY40" s="144">
        <f t="shared" si="61"/>
        <v>0</v>
      </c>
      <c r="AZ40" s="144">
        <f t="shared" si="61"/>
        <v>0</v>
      </c>
      <c r="BA40" s="144">
        <f t="shared" si="61"/>
        <v>0</v>
      </c>
      <c r="BB40" s="144">
        <f t="shared" si="61"/>
        <v>0</v>
      </c>
      <c r="BC40" s="144">
        <f t="shared" si="61"/>
        <v>0</v>
      </c>
      <c r="BD40" s="144">
        <f t="shared" si="61"/>
        <v>0</v>
      </c>
      <c r="BE40" s="144">
        <f t="shared" si="61"/>
        <v>0</v>
      </c>
      <c r="BF40" s="144">
        <f t="shared" si="61"/>
        <v>0</v>
      </c>
      <c r="BG40" s="144">
        <f t="shared" si="61"/>
        <v>0</v>
      </c>
      <c r="BH40" s="144">
        <f t="shared" si="61"/>
        <v>0</v>
      </c>
      <c r="BI40" s="144">
        <f t="shared" si="61"/>
        <v>0</v>
      </c>
      <c r="BJ40" s="144">
        <f t="shared" si="61"/>
        <v>0</v>
      </c>
      <c r="BK40" s="144">
        <f t="shared" si="61"/>
        <v>0</v>
      </c>
      <c r="BL40" s="144">
        <f t="shared" si="61"/>
        <v>0</v>
      </c>
      <c r="BM40" s="144">
        <f t="shared" si="61"/>
        <v>0</v>
      </c>
      <c r="BN40" s="144">
        <f t="shared" si="61"/>
        <v>0</v>
      </c>
      <c r="BO40" s="144">
        <f t="shared" ref="BO40:CT40" si="62">IF($C15&lt;&gt;"Yes",0,IF(AND(BO$3&gt;=$B15,BO$3&lt;=EOMONTH($B15,119)),INDEX($C$5:$DR$5,1,12*(YEAR(BO$3)-YEAR($B15))+MONTH(BO$3)-MONTH($B15)+1),0))</f>
        <v>0</v>
      </c>
      <c r="BP40" s="144">
        <f t="shared" si="62"/>
        <v>0</v>
      </c>
      <c r="BQ40" s="144">
        <f t="shared" si="62"/>
        <v>0</v>
      </c>
      <c r="BR40" s="144">
        <f t="shared" si="62"/>
        <v>0</v>
      </c>
      <c r="BS40" s="144">
        <f t="shared" si="62"/>
        <v>0</v>
      </c>
      <c r="BT40" s="144">
        <f t="shared" si="62"/>
        <v>0</v>
      </c>
      <c r="BU40" s="144">
        <f t="shared" si="62"/>
        <v>0</v>
      </c>
      <c r="BV40" s="144">
        <f t="shared" si="62"/>
        <v>0</v>
      </c>
      <c r="BW40" s="144">
        <f t="shared" si="62"/>
        <v>0</v>
      </c>
      <c r="BX40" s="144">
        <f t="shared" si="62"/>
        <v>0</v>
      </c>
      <c r="BY40" s="144">
        <f t="shared" si="62"/>
        <v>0</v>
      </c>
      <c r="BZ40" s="144">
        <f t="shared" si="62"/>
        <v>0</v>
      </c>
      <c r="CA40" s="144">
        <f t="shared" si="62"/>
        <v>0</v>
      </c>
      <c r="CB40" s="144">
        <f t="shared" si="62"/>
        <v>0</v>
      </c>
      <c r="CC40" s="144">
        <f t="shared" si="62"/>
        <v>0</v>
      </c>
      <c r="CD40" s="144">
        <f t="shared" si="62"/>
        <v>0</v>
      </c>
      <c r="CE40" s="144">
        <f t="shared" si="62"/>
        <v>0</v>
      </c>
      <c r="CF40" s="144">
        <f t="shared" si="62"/>
        <v>0</v>
      </c>
      <c r="CG40" s="144">
        <f t="shared" si="62"/>
        <v>0</v>
      </c>
      <c r="CH40" s="144">
        <f t="shared" si="62"/>
        <v>0</v>
      </c>
      <c r="CI40" s="144">
        <f t="shared" si="62"/>
        <v>0</v>
      </c>
      <c r="CJ40" s="144">
        <f t="shared" si="62"/>
        <v>0</v>
      </c>
      <c r="CK40" s="144">
        <f t="shared" si="62"/>
        <v>0</v>
      </c>
      <c r="CL40" s="144">
        <f t="shared" si="62"/>
        <v>0</v>
      </c>
      <c r="CM40" s="144">
        <f t="shared" si="62"/>
        <v>0</v>
      </c>
      <c r="CN40" s="144">
        <f t="shared" si="62"/>
        <v>0</v>
      </c>
      <c r="CO40" s="144">
        <f t="shared" si="62"/>
        <v>0</v>
      </c>
      <c r="CP40" s="144">
        <f t="shared" si="62"/>
        <v>0</v>
      </c>
      <c r="CQ40" s="144">
        <f t="shared" si="62"/>
        <v>0</v>
      </c>
      <c r="CR40" s="144">
        <f t="shared" si="62"/>
        <v>0</v>
      </c>
      <c r="CS40" s="144">
        <f t="shared" si="62"/>
        <v>0</v>
      </c>
      <c r="CT40" s="144">
        <f t="shared" si="62"/>
        <v>0</v>
      </c>
      <c r="CU40" s="144">
        <f t="shared" ref="CU40:DR40" si="63">IF($C15&lt;&gt;"Yes",0,IF(AND(CU$3&gt;=$B15,CU$3&lt;=EOMONTH($B15,119)),INDEX($C$5:$DR$5,1,12*(YEAR(CU$3)-YEAR($B15))+MONTH(CU$3)-MONTH($B15)+1),0))</f>
        <v>0</v>
      </c>
      <c r="CV40" s="144">
        <f t="shared" si="63"/>
        <v>0</v>
      </c>
      <c r="CW40" s="144">
        <f t="shared" si="63"/>
        <v>0</v>
      </c>
      <c r="CX40" s="144">
        <f t="shared" si="63"/>
        <v>0</v>
      </c>
      <c r="CY40" s="144">
        <f t="shared" si="63"/>
        <v>0</v>
      </c>
      <c r="CZ40" s="144">
        <f t="shared" si="63"/>
        <v>0</v>
      </c>
      <c r="DA40" s="144">
        <f t="shared" si="63"/>
        <v>0</v>
      </c>
      <c r="DB40" s="144">
        <f t="shared" si="63"/>
        <v>0</v>
      </c>
      <c r="DC40" s="144">
        <f t="shared" si="63"/>
        <v>0</v>
      </c>
      <c r="DD40" s="144">
        <f t="shared" si="63"/>
        <v>0</v>
      </c>
      <c r="DE40" s="144">
        <f t="shared" si="63"/>
        <v>0</v>
      </c>
      <c r="DF40" s="144">
        <f t="shared" si="63"/>
        <v>0</v>
      </c>
      <c r="DG40" s="144">
        <f t="shared" si="63"/>
        <v>0</v>
      </c>
      <c r="DH40" s="144">
        <f t="shared" si="63"/>
        <v>0</v>
      </c>
      <c r="DI40" s="144">
        <f t="shared" si="63"/>
        <v>0</v>
      </c>
      <c r="DJ40" s="144">
        <f t="shared" si="63"/>
        <v>0</v>
      </c>
      <c r="DK40" s="144">
        <f t="shared" si="63"/>
        <v>0</v>
      </c>
      <c r="DL40" s="144">
        <f t="shared" si="63"/>
        <v>0</v>
      </c>
      <c r="DM40" s="144">
        <f t="shared" si="63"/>
        <v>0</v>
      </c>
      <c r="DN40" s="144">
        <f t="shared" si="63"/>
        <v>0</v>
      </c>
      <c r="DO40" s="144">
        <f t="shared" si="63"/>
        <v>0</v>
      </c>
      <c r="DP40" s="144">
        <f t="shared" si="63"/>
        <v>0</v>
      </c>
      <c r="DQ40" s="144">
        <f t="shared" si="63"/>
        <v>0</v>
      </c>
      <c r="DR40" s="144">
        <f t="shared" si="63"/>
        <v>0</v>
      </c>
    </row>
    <row r="41" spans="1:122">
      <c r="A41" s="142" t="s">
        <v>327</v>
      </c>
      <c r="C41" s="144">
        <f t="shared" ref="C41:AH41" si="64">IF($C15&lt;&gt;"Yes",0,IF(AND(C$3&gt;=$B15,C$3&lt;=EOMONTH($B15,119)),INDEX($C$6:$DR$6,1,12*(YEAR(C$3)-YEAR($B15))+MONTH(C$3)-MONTH($B15)+1),0))</f>
        <v>0</v>
      </c>
      <c r="D41" s="144">
        <f t="shared" si="64"/>
        <v>0</v>
      </c>
      <c r="E41" s="144">
        <f t="shared" si="64"/>
        <v>0</v>
      </c>
      <c r="F41" s="144">
        <f t="shared" si="64"/>
        <v>0</v>
      </c>
      <c r="G41" s="144">
        <f t="shared" si="64"/>
        <v>0</v>
      </c>
      <c r="H41" s="144">
        <f t="shared" si="64"/>
        <v>0</v>
      </c>
      <c r="I41" s="144">
        <f t="shared" si="64"/>
        <v>0</v>
      </c>
      <c r="J41" s="144">
        <f t="shared" si="64"/>
        <v>0</v>
      </c>
      <c r="K41" s="144">
        <f t="shared" si="64"/>
        <v>0</v>
      </c>
      <c r="L41" s="144">
        <f t="shared" si="64"/>
        <v>0</v>
      </c>
      <c r="M41" s="144">
        <f t="shared" si="64"/>
        <v>0</v>
      </c>
      <c r="N41" s="144">
        <f t="shared" si="64"/>
        <v>0</v>
      </c>
      <c r="O41" s="144">
        <f t="shared" si="64"/>
        <v>0</v>
      </c>
      <c r="P41" s="144">
        <f t="shared" si="64"/>
        <v>0</v>
      </c>
      <c r="Q41" s="144">
        <f t="shared" si="64"/>
        <v>0</v>
      </c>
      <c r="R41" s="144">
        <f t="shared" si="64"/>
        <v>0</v>
      </c>
      <c r="S41" s="144">
        <f t="shared" si="64"/>
        <v>0</v>
      </c>
      <c r="T41" s="144">
        <f t="shared" si="64"/>
        <v>0</v>
      </c>
      <c r="U41" s="144">
        <f t="shared" si="64"/>
        <v>0</v>
      </c>
      <c r="V41" s="144">
        <f t="shared" si="64"/>
        <v>0</v>
      </c>
      <c r="W41" s="144">
        <f t="shared" si="64"/>
        <v>0</v>
      </c>
      <c r="X41" s="144">
        <f t="shared" si="64"/>
        <v>0</v>
      </c>
      <c r="Y41" s="144">
        <f t="shared" si="64"/>
        <v>0</v>
      </c>
      <c r="Z41" s="144">
        <f t="shared" si="64"/>
        <v>0</v>
      </c>
      <c r="AA41" s="144">
        <f t="shared" si="64"/>
        <v>0</v>
      </c>
      <c r="AB41" s="144">
        <f t="shared" si="64"/>
        <v>0</v>
      </c>
      <c r="AC41" s="144">
        <f t="shared" si="64"/>
        <v>0</v>
      </c>
      <c r="AD41" s="144">
        <f t="shared" si="64"/>
        <v>0</v>
      </c>
      <c r="AE41" s="144">
        <f t="shared" si="64"/>
        <v>0</v>
      </c>
      <c r="AF41" s="144">
        <f t="shared" si="64"/>
        <v>0</v>
      </c>
      <c r="AG41" s="144">
        <f t="shared" si="64"/>
        <v>0</v>
      </c>
      <c r="AH41" s="144">
        <f t="shared" si="64"/>
        <v>0</v>
      </c>
      <c r="AI41" s="144">
        <f t="shared" ref="AI41:BN41" si="65">IF($C15&lt;&gt;"Yes",0,IF(AND(AI$3&gt;=$B15,AI$3&lt;=EOMONTH($B15,119)),INDEX($C$6:$DR$6,1,12*(YEAR(AI$3)-YEAR($B15))+MONTH(AI$3)-MONTH($B15)+1),0))</f>
        <v>0</v>
      </c>
      <c r="AJ41" s="144">
        <f t="shared" si="65"/>
        <v>0</v>
      </c>
      <c r="AK41" s="144">
        <f t="shared" si="65"/>
        <v>0</v>
      </c>
      <c r="AL41" s="144">
        <f t="shared" si="65"/>
        <v>0</v>
      </c>
      <c r="AM41" s="144">
        <f t="shared" si="65"/>
        <v>0</v>
      </c>
      <c r="AN41" s="144">
        <f t="shared" si="65"/>
        <v>0</v>
      </c>
      <c r="AO41" s="144">
        <f t="shared" si="65"/>
        <v>0</v>
      </c>
      <c r="AP41" s="144">
        <f t="shared" si="65"/>
        <v>0</v>
      </c>
      <c r="AQ41" s="144">
        <f t="shared" si="65"/>
        <v>0</v>
      </c>
      <c r="AR41" s="144">
        <f t="shared" si="65"/>
        <v>0</v>
      </c>
      <c r="AS41" s="144">
        <f t="shared" si="65"/>
        <v>0</v>
      </c>
      <c r="AT41" s="144">
        <f t="shared" si="65"/>
        <v>0</v>
      </c>
      <c r="AU41" s="144">
        <f t="shared" si="65"/>
        <v>0</v>
      </c>
      <c r="AV41" s="144">
        <f t="shared" si="65"/>
        <v>0</v>
      </c>
      <c r="AW41" s="144">
        <f t="shared" si="65"/>
        <v>0</v>
      </c>
      <c r="AX41" s="144">
        <f t="shared" si="65"/>
        <v>0</v>
      </c>
      <c r="AY41" s="144">
        <f t="shared" si="65"/>
        <v>0</v>
      </c>
      <c r="AZ41" s="144">
        <f t="shared" si="65"/>
        <v>0</v>
      </c>
      <c r="BA41" s="144">
        <f t="shared" si="65"/>
        <v>0</v>
      </c>
      <c r="BB41" s="144">
        <f t="shared" si="65"/>
        <v>0</v>
      </c>
      <c r="BC41" s="144">
        <f t="shared" si="65"/>
        <v>0</v>
      </c>
      <c r="BD41" s="144">
        <f t="shared" si="65"/>
        <v>0</v>
      </c>
      <c r="BE41" s="144">
        <f t="shared" si="65"/>
        <v>0</v>
      </c>
      <c r="BF41" s="144">
        <f t="shared" si="65"/>
        <v>0</v>
      </c>
      <c r="BG41" s="144">
        <f t="shared" si="65"/>
        <v>0</v>
      </c>
      <c r="BH41" s="144">
        <f t="shared" si="65"/>
        <v>0</v>
      </c>
      <c r="BI41" s="144">
        <f t="shared" si="65"/>
        <v>0</v>
      </c>
      <c r="BJ41" s="144">
        <f t="shared" si="65"/>
        <v>0</v>
      </c>
      <c r="BK41" s="144">
        <f t="shared" si="65"/>
        <v>0</v>
      </c>
      <c r="BL41" s="144">
        <f t="shared" si="65"/>
        <v>0</v>
      </c>
      <c r="BM41" s="144">
        <f t="shared" si="65"/>
        <v>0</v>
      </c>
      <c r="BN41" s="144">
        <f t="shared" si="65"/>
        <v>0</v>
      </c>
      <c r="BO41" s="144">
        <f t="shared" ref="BO41:CT41" si="66">IF($C15&lt;&gt;"Yes",0,IF(AND(BO$3&gt;=$B15,BO$3&lt;=EOMONTH($B15,119)),INDEX($C$6:$DR$6,1,12*(YEAR(BO$3)-YEAR($B15))+MONTH(BO$3)-MONTH($B15)+1),0))</f>
        <v>0</v>
      </c>
      <c r="BP41" s="144">
        <f t="shared" si="66"/>
        <v>0</v>
      </c>
      <c r="BQ41" s="144">
        <f t="shared" si="66"/>
        <v>0</v>
      </c>
      <c r="BR41" s="144">
        <f t="shared" si="66"/>
        <v>0</v>
      </c>
      <c r="BS41" s="144">
        <f t="shared" si="66"/>
        <v>0</v>
      </c>
      <c r="BT41" s="144">
        <f t="shared" si="66"/>
        <v>0</v>
      </c>
      <c r="BU41" s="144">
        <f t="shared" si="66"/>
        <v>0</v>
      </c>
      <c r="BV41" s="144">
        <f t="shared" si="66"/>
        <v>0</v>
      </c>
      <c r="BW41" s="144">
        <f t="shared" si="66"/>
        <v>0</v>
      </c>
      <c r="BX41" s="144">
        <f t="shared" si="66"/>
        <v>0</v>
      </c>
      <c r="BY41" s="144">
        <f t="shared" si="66"/>
        <v>0</v>
      </c>
      <c r="BZ41" s="144">
        <f t="shared" si="66"/>
        <v>0</v>
      </c>
      <c r="CA41" s="144">
        <f t="shared" si="66"/>
        <v>0</v>
      </c>
      <c r="CB41" s="144">
        <f t="shared" si="66"/>
        <v>0</v>
      </c>
      <c r="CC41" s="144">
        <f t="shared" si="66"/>
        <v>0</v>
      </c>
      <c r="CD41" s="144">
        <f t="shared" si="66"/>
        <v>0</v>
      </c>
      <c r="CE41" s="144">
        <f t="shared" si="66"/>
        <v>0</v>
      </c>
      <c r="CF41" s="144">
        <f t="shared" si="66"/>
        <v>0</v>
      </c>
      <c r="CG41" s="144">
        <f t="shared" si="66"/>
        <v>0</v>
      </c>
      <c r="CH41" s="144">
        <f t="shared" si="66"/>
        <v>0</v>
      </c>
      <c r="CI41" s="144">
        <f t="shared" si="66"/>
        <v>0</v>
      </c>
      <c r="CJ41" s="144">
        <f t="shared" si="66"/>
        <v>0</v>
      </c>
      <c r="CK41" s="144">
        <f t="shared" si="66"/>
        <v>0</v>
      </c>
      <c r="CL41" s="144">
        <f t="shared" si="66"/>
        <v>0</v>
      </c>
      <c r="CM41" s="144">
        <f t="shared" si="66"/>
        <v>0</v>
      </c>
      <c r="CN41" s="144">
        <f t="shared" si="66"/>
        <v>0</v>
      </c>
      <c r="CO41" s="144">
        <f t="shared" si="66"/>
        <v>0</v>
      </c>
      <c r="CP41" s="144">
        <f t="shared" si="66"/>
        <v>0</v>
      </c>
      <c r="CQ41" s="144">
        <f t="shared" si="66"/>
        <v>0</v>
      </c>
      <c r="CR41" s="144">
        <f t="shared" si="66"/>
        <v>0</v>
      </c>
      <c r="CS41" s="144">
        <f t="shared" si="66"/>
        <v>0</v>
      </c>
      <c r="CT41" s="144">
        <f t="shared" si="66"/>
        <v>0</v>
      </c>
      <c r="CU41" s="144">
        <f t="shared" ref="CU41:DR41" si="67">IF($C15&lt;&gt;"Yes",0,IF(AND(CU$3&gt;=$B15,CU$3&lt;=EOMONTH($B15,119)),INDEX($C$6:$DR$6,1,12*(YEAR(CU$3)-YEAR($B15))+MONTH(CU$3)-MONTH($B15)+1),0))</f>
        <v>0</v>
      </c>
      <c r="CV41" s="144">
        <f t="shared" si="67"/>
        <v>0</v>
      </c>
      <c r="CW41" s="144">
        <f t="shared" si="67"/>
        <v>0</v>
      </c>
      <c r="CX41" s="144">
        <f t="shared" si="67"/>
        <v>0</v>
      </c>
      <c r="CY41" s="144">
        <f t="shared" si="67"/>
        <v>0</v>
      </c>
      <c r="CZ41" s="144">
        <f t="shared" si="67"/>
        <v>0</v>
      </c>
      <c r="DA41" s="144">
        <f t="shared" si="67"/>
        <v>0</v>
      </c>
      <c r="DB41" s="144">
        <f t="shared" si="67"/>
        <v>0</v>
      </c>
      <c r="DC41" s="144">
        <f t="shared" si="67"/>
        <v>0</v>
      </c>
      <c r="DD41" s="144">
        <f t="shared" si="67"/>
        <v>0</v>
      </c>
      <c r="DE41" s="144">
        <f t="shared" si="67"/>
        <v>0</v>
      </c>
      <c r="DF41" s="144">
        <f t="shared" si="67"/>
        <v>0</v>
      </c>
      <c r="DG41" s="144">
        <f t="shared" si="67"/>
        <v>0</v>
      </c>
      <c r="DH41" s="144">
        <f t="shared" si="67"/>
        <v>0</v>
      </c>
      <c r="DI41" s="144">
        <f t="shared" si="67"/>
        <v>0</v>
      </c>
      <c r="DJ41" s="144">
        <f t="shared" si="67"/>
        <v>0</v>
      </c>
      <c r="DK41" s="144">
        <f t="shared" si="67"/>
        <v>0</v>
      </c>
      <c r="DL41" s="144">
        <f t="shared" si="67"/>
        <v>0</v>
      </c>
      <c r="DM41" s="144">
        <f t="shared" si="67"/>
        <v>0</v>
      </c>
      <c r="DN41" s="144">
        <f t="shared" si="67"/>
        <v>0</v>
      </c>
      <c r="DO41" s="144">
        <f t="shared" si="67"/>
        <v>0</v>
      </c>
      <c r="DP41" s="144">
        <f t="shared" si="67"/>
        <v>0</v>
      </c>
      <c r="DQ41" s="144">
        <f t="shared" si="67"/>
        <v>0</v>
      </c>
      <c r="DR41" s="144">
        <f t="shared" si="67"/>
        <v>0</v>
      </c>
    </row>
    <row r="42" spans="1:122">
      <c r="A42" s="142" t="s">
        <v>328</v>
      </c>
      <c r="C42" s="144">
        <f t="shared" ref="C42:AH42" si="68">IF($C15&lt;&gt;"Yes",0,IF(AND(C$3&gt;=$B15,C$3&lt;=EOMONTH($B15,119)),INDEX($C$7:$DR$7,1,12*(YEAR(C$3)-YEAR($B15))+MONTH(C$3)-MONTH($B15)+1),0))</f>
        <v>0</v>
      </c>
      <c r="D42" s="144">
        <f t="shared" si="68"/>
        <v>0</v>
      </c>
      <c r="E42" s="144">
        <f t="shared" si="68"/>
        <v>0</v>
      </c>
      <c r="F42" s="144">
        <f t="shared" si="68"/>
        <v>0</v>
      </c>
      <c r="G42" s="144">
        <f t="shared" si="68"/>
        <v>0</v>
      </c>
      <c r="H42" s="144">
        <f t="shared" si="68"/>
        <v>0</v>
      </c>
      <c r="I42" s="144">
        <f t="shared" si="68"/>
        <v>0</v>
      </c>
      <c r="J42" s="144">
        <f t="shared" si="68"/>
        <v>0</v>
      </c>
      <c r="K42" s="144">
        <f t="shared" si="68"/>
        <v>0</v>
      </c>
      <c r="L42" s="144">
        <f t="shared" si="68"/>
        <v>0</v>
      </c>
      <c r="M42" s="144">
        <f t="shared" si="68"/>
        <v>0</v>
      </c>
      <c r="N42" s="144">
        <f t="shared" si="68"/>
        <v>0</v>
      </c>
      <c r="O42" s="144">
        <f t="shared" si="68"/>
        <v>0</v>
      </c>
      <c r="P42" s="144">
        <f t="shared" si="68"/>
        <v>0</v>
      </c>
      <c r="Q42" s="144">
        <f t="shared" si="68"/>
        <v>0</v>
      </c>
      <c r="R42" s="144">
        <f t="shared" si="68"/>
        <v>0</v>
      </c>
      <c r="S42" s="144">
        <f t="shared" si="68"/>
        <v>0</v>
      </c>
      <c r="T42" s="144">
        <f t="shared" si="68"/>
        <v>0</v>
      </c>
      <c r="U42" s="144">
        <f t="shared" si="68"/>
        <v>0</v>
      </c>
      <c r="V42" s="144">
        <f t="shared" si="68"/>
        <v>0</v>
      </c>
      <c r="W42" s="144">
        <f t="shared" si="68"/>
        <v>0</v>
      </c>
      <c r="X42" s="144">
        <f t="shared" si="68"/>
        <v>0</v>
      </c>
      <c r="Y42" s="144">
        <f t="shared" si="68"/>
        <v>0</v>
      </c>
      <c r="Z42" s="144">
        <f t="shared" si="68"/>
        <v>0</v>
      </c>
      <c r="AA42" s="144">
        <f t="shared" si="68"/>
        <v>0</v>
      </c>
      <c r="AB42" s="144">
        <f t="shared" si="68"/>
        <v>0</v>
      </c>
      <c r="AC42" s="144">
        <f t="shared" si="68"/>
        <v>0</v>
      </c>
      <c r="AD42" s="144">
        <f t="shared" si="68"/>
        <v>0</v>
      </c>
      <c r="AE42" s="144">
        <f t="shared" si="68"/>
        <v>0</v>
      </c>
      <c r="AF42" s="144">
        <f t="shared" si="68"/>
        <v>0</v>
      </c>
      <c r="AG42" s="144">
        <f t="shared" si="68"/>
        <v>0</v>
      </c>
      <c r="AH42" s="144">
        <f t="shared" si="68"/>
        <v>0</v>
      </c>
      <c r="AI42" s="144">
        <f t="shared" ref="AI42:BN42" si="69">IF($C15&lt;&gt;"Yes",0,IF(AND(AI$3&gt;=$B15,AI$3&lt;=EOMONTH($B15,119)),INDEX($C$7:$DR$7,1,12*(YEAR(AI$3)-YEAR($B15))+MONTH(AI$3)-MONTH($B15)+1),0))</f>
        <v>0</v>
      </c>
      <c r="AJ42" s="144">
        <f t="shared" si="69"/>
        <v>0</v>
      </c>
      <c r="AK42" s="144">
        <f t="shared" si="69"/>
        <v>0</v>
      </c>
      <c r="AL42" s="144">
        <f t="shared" si="69"/>
        <v>0</v>
      </c>
      <c r="AM42" s="144">
        <f t="shared" si="69"/>
        <v>0</v>
      </c>
      <c r="AN42" s="144">
        <f t="shared" si="69"/>
        <v>0</v>
      </c>
      <c r="AO42" s="144">
        <f t="shared" si="69"/>
        <v>0</v>
      </c>
      <c r="AP42" s="144">
        <f t="shared" si="69"/>
        <v>0</v>
      </c>
      <c r="AQ42" s="144">
        <f t="shared" si="69"/>
        <v>0</v>
      </c>
      <c r="AR42" s="144">
        <f t="shared" si="69"/>
        <v>0</v>
      </c>
      <c r="AS42" s="144">
        <f t="shared" si="69"/>
        <v>0</v>
      </c>
      <c r="AT42" s="144">
        <f t="shared" si="69"/>
        <v>0</v>
      </c>
      <c r="AU42" s="144">
        <f t="shared" si="69"/>
        <v>0</v>
      </c>
      <c r="AV42" s="144">
        <f t="shared" si="69"/>
        <v>0</v>
      </c>
      <c r="AW42" s="144">
        <f t="shared" si="69"/>
        <v>0</v>
      </c>
      <c r="AX42" s="144">
        <f t="shared" si="69"/>
        <v>0</v>
      </c>
      <c r="AY42" s="144">
        <f t="shared" si="69"/>
        <v>0</v>
      </c>
      <c r="AZ42" s="144">
        <f t="shared" si="69"/>
        <v>0</v>
      </c>
      <c r="BA42" s="144">
        <f t="shared" si="69"/>
        <v>0</v>
      </c>
      <c r="BB42" s="144">
        <f t="shared" si="69"/>
        <v>0</v>
      </c>
      <c r="BC42" s="144">
        <f t="shared" si="69"/>
        <v>0</v>
      </c>
      <c r="BD42" s="144">
        <f t="shared" si="69"/>
        <v>0</v>
      </c>
      <c r="BE42" s="144">
        <f t="shared" si="69"/>
        <v>0</v>
      </c>
      <c r="BF42" s="144">
        <f t="shared" si="69"/>
        <v>0</v>
      </c>
      <c r="BG42" s="144">
        <f t="shared" si="69"/>
        <v>0</v>
      </c>
      <c r="BH42" s="144">
        <f t="shared" si="69"/>
        <v>0</v>
      </c>
      <c r="BI42" s="144">
        <f t="shared" si="69"/>
        <v>0</v>
      </c>
      <c r="BJ42" s="144">
        <f t="shared" si="69"/>
        <v>0</v>
      </c>
      <c r="BK42" s="144">
        <f t="shared" si="69"/>
        <v>0</v>
      </c>
      <c r="BL42" s="144">
        <f t="shared" si="69"/>
        <v>0</v>
      </c>
      <c r="BM42" s="144">
        <f t="shared" si="69"/>
        <v>0</v>
      </c>
      <c r="BN42" s="144">
        <f t="shared" si="69"/>
        <v>0</v>
      </c>
      <c r="BO42" s="144">
        <f t="shared" ref="BO42:CT42" si="70">IF($C15&lt;&gt;"Yes",0,IF(AND(BO$3&gt;=$B15,BO$3&lt;=EOMONTH($B15,119)),INDEX($C$7:$DR$7,1,12*(YEAR(BO$3)-YEAR($B15))+MONTH(BO$3)-MONTH($B15)+1),0))</f>
        <v>0</v>
      </c>
      <c r="BP42" s="144">
        <f t="shared" si="70"/>
        <v>0</v>
      </c>
      <c r="BQ42" s="144">
        <f t="shared" si="70"/>
        <v>0</v>
      </c>
      <c r="BR42" s="144">
        <f t="shared" si="70"/>
        <v>0</v>
      </c>
      <c r="BS42" s="144">
        <f t="shared" si="70"/>
        <v>0</v>
      </c>
      <c r="BT42" s="144">
        <f t="shared" si="70"/>
        <v>0</v>
      </c>
      <c r="BU42" s="144">
        <f t="shared" si="70"/>
        <v>0</v>
      </c>
      <c r="BV42" s="144">
        <f t="shared" si="70"/>
        <v>0</v>
      </c>
      <c r="BW42" s="144">
        <f t="shared" si="70"/>
        <v>0</v>
      </c>
      <c r="BX42" s="144">
        <f t="shared" si="70"/>
        <v>0</v>
      </c>
      <c r="BY42" s="144">
        <f t="shared" si="70"/>
        <v>0</v>
      </c>
      <c r="BZ42" s="144">
        <f t="shared" si="70"/>
        <v>0</v>
      </c>
      <c r="CA42" s="144">
        <f t="shared" si="70"/>
        <v>0</v>
      </c>
      <c r="CB42" s="144">
        <f t="shared" si="70"/>
        <v>0</v>
      </c>
      <c r="CC42" s="144">
        <f t="shared" si="70"/>
        <v>0</v>
      </c>
      <c r="CD42" s="144">
        <f t="shared" si="70"/>
        <v>0</v>
      </c>
      <c r="CE42" s="144">
        <f t="shared" si="70"/>
        <v>0</v>
      </c>
      <c r="CF42" s="144">
        <f t="shared" si="70"/>
        <v>0</v>
      </c>
      <c r="CG42" s="144">
        <f t="shared" si="70"/>
        <v>0</v>
      </c>
      <c r="CH42" s="144">
        <f t="shared" si="70"/>
        <v>0</v>
      </c>
      <c r="CI42" s="144">
        <f t="shared" si="70"/>
        <v>0</v>
      </c>
      <c r="CJ42" s="144">
        <f t="shared" si="70"/>
        <v>0</v>
      </c>
      <c r="CK42" s="144">
        <f t="shared" si="70"/>
        <v>0</v>
      </c>
      <c r="CL42" s="144">
        <f t="shared" si="70"/>
        <v>0</v>
      </c>
      <c r="CM42" s="144">
        <f t="shared" si="70"/>
        <v>0</v>
      </c>
      <c r="CN42" s="144">
        <f t="shared" si="70"/>
        <v>0</v>
      </c>
      <c r="CO42" s="144">
        <f t="shared" si="70"/>
        <v>0</v>
      </c>
      <c r="CP42" s="144">
        <f t="shared" si="70"/>
        <v>0</v>
      </c>
      <c r="CQ42" s="144">
        <f t="shared" si="70"/>
        <v>0</v>
      </c>
      <c r="CR42" s="144">
        <f t="shared" si="70"/>
        <v>0</v>
      </c>
      <c r="CS42" s="144">
        <f t="shared" si="70"/>
        <v>0</v>
      </c>
      <c r="CT42" s="144">
        <f t="shared" si="70"/>
        <v>0</v>
      </c>
      <c r="CU42" s="144">
        <f t="shared" ref="CU42:DR42" si="71">IF($C15&lt;&gt;"Yes",0,IF(AND(CU$3&gt;=$B15,CU$3&lt;=EOMONTH($B15,119)),INDEX($C$7:$DR$7,1,12*(YEAR(CU$3)-YEAR($B15))+MONTH(CU$3)-MONTH($B15)+1),0))</f>
        <v>0</v>
      </c>
      <c r="CV42" s="144">
        <f t="shared" si="71"/>
        <v>0</v>
      </c>
      <c r="CW42" s="144">
        <f t="shared" si="71"/>
        <v>0</v>
      </c>
      <c r="CX42" s="144">
        <f t="shared" si="71"/>
        <v>0</v>
      </c>
      <c r="CY42" s="144">
        <f t="shared" si="71"/>
        <v>0</v>
      </c>
      <c r="CZ42" s="144">
        <f t="shared" si="71"/>
        <v>0</v>
      </c>
      <c r="DA42" s="144">
        <f t="shared" si="71"/>
        <v>0</v>
      </c>
      <c r="DB42" s="144">
        <f t="shared" si="71"/>
        <v>0</v>
      </c>
      <c r="DC42" s="144">
        <f t="shared" si="71"/>
        <v>0</v>
      </c>
      <c r="DD42" s="144">
        <f t="shared" si="71"/>
        <v>0</v>
      </c>
      <c r="DE42" s="144">
        <f t="shared" si="71"/>
        <v>0</v>
      </c>
      <c r="DF42" s="144">
        <f t="shared" si="71"/>
        <v>0</v>
      </c>
      <c r="DG42" s="144">
        <f t="shared" si="71"/>
        <v>0</v>
      </c>
      <c r="DH42" s="144">
        <f t="shared" si="71"/>
        <v>0</v>
      </c>
      <c r="DI42" s="144">
        <f t="shared" si="71"/>
        <v>0</v>
      </c>
      <c r="DJ42" s="144">
        <f t="shared" si="71"/>
        <v>0</v>
      </c>
      <c r="DK42" s="144">
        <f t="shared" si="71"/>
        <v>0</v>
      </c>
      <c r="DL42" s="144">
        <f t="shared" si="71"/>
        <v>0</v>
      </c>
      <c r="DM42" s="144">
        <f t="shared" si="71"/>
        <v>0</v>
      </c>
      <c r="DN42" s="144">
        <f t="shared" si="71"/>
        <v>0</v>
      </c>
      <c r="DO42" s="144">
        <f t="shared" si="71"/>
        <v>0</v>
      </c>
      <c r="DP42" s="144">
        <f t="shared" si="71"/>
        <v>0</v>
      </c>
      <c r="DQ42" s="144">
        <f t="shared" si="71"/>
        <v>0</v>
      </c>
      <c r="DR42" s="144">
        <f t="shared" si="71"/>
        <v>0</v>
      </c>
    </row>
    <row r="43" spans="1:122">
      <c r="A43" s="142" t="s">
        <v>329</v>
      </c>
      <c r="C43" s="144">
        <f t="shared" ref="C43:AH43" si="72">IF($C16&lt;&gt;"Yes",0,IF(AND(C$3&gt;=$B16,C$3&lt;=EOMONTH($B16,119)),INDEX($C$5:$DR$5,1,12*(YEAR(C$3)-YEAR($B16))+MONTH(C$3)-MONTH($B16)+1),0))</f>
        <v>0</v>
      </c>
      <c r="D43" s="144">
        <f t="shared" si="72"/>
        <v>0</v>
      </c>
      <c r="E43" s="144">
        <f t="shared" si="72"/>
        <v>0</v>
      </c>
      <c r="F43" s="144">
        <f t="shared" si="72"/>
        <v>0</v>
      </c>
      <c r="G43" s="144">
        <f t="shared" si="72"/>
        <v>0</v>
      </c>
      <c r="H43" s="144">
        <f t="shared" si="72"/>
        <v>0</v>
      </c>
      <c r="I43" s="144">
        <f t="shared" si="72"/>
        <v>0</v>
      </c>
      <c r="J43" s="144">
        <f t="shared" si="72"/>
        <v>0</v>
      </c>
      <c r="K43" s="144">
        <f t="shared" si="72"/>
        <v>0</v>
      </c>
      <c r="L43" s="144">
        <f t="shared" si="72"/>
        <v>0</v>
      </c>
      <c r="M43" s="144">
        <f t="shared" si="72"/>
        <v>0</v>
      </c>
      <c r="N43" s="144">
        <f t="shared" si="72"/>
        <v>0</v>
      </c>
      <c r="O43" s="144">
        <f t="shared" si="72"/>
        <v>0</v>
      </c>
      <c r="P43" s="144">
        <f t="shared" si="72"/>
        <v>0</v>
      </c>
      <c r="Q43" s="144">
        <f t="shared" si="72"/>
        <v>0</v>
      </c>
      <c r="R43" s="144">
        <f t="shared" si="72"/>
        <v>0</v>
      </c>
      <c r="S43" s="144">
        <f t="shared" si="72"/>
        <v>0</v>
      </c>
      <c r="T43" s="144">
        <f t="shared" si="72"/>
        <v>0</v>
      </c>
      <c r="U43" s="144">
        <f t="shared" si="72"/>
        <v>0</v>
      </c>
      <c r="V43" s="144">
        <f t="shared" si="72"/>
        <v>0</v>
      </c>
      <c r="W43" s="144">
        <f t="shared" si="72"/>
        <v>0</v>
      </c>
      <c r="X43" s="144">
        <f t="shared" si="72"/>
        <v>0</v>
      </c>
      <c r="Y43" s="144">
        <f t="shared" si="72"/>
        <v>0</v>
      </c>
      <c r="Z43" s="144">
        <f t="shared" si="72"/>
        <v>0</v>
      </c>
      <c r="AA43" s="144">
        <f t="shared" si="72"/>
        <v>0</v>
      </c>
      <c r="AB43" s="144">
        <f t="shared" si="72"/>
        <v>0</v>
      </c>
      <c r="AC43" s="144">
        <f t="shared" si="72"/>
        <v>0</v>
      </c>
      <c r="AD43" s="144">
        <f t="shared" si="72"/>
        <v>0</v>
      </c>
      <c r="AE43" s="144">
        <f t="shared" si="72"/>
        <v>0</v>
      </c>
      <c r="AF43" s="144">
        <f t="shared" si="72"/>
        <v>0</v>
      </c>
      <c r="AG43" s="144">
        <f t="shared" si="72"/>
        <v>0</v>
      </c>
      <c r="AH43" s="144">
        <f t="shared" si="72"/>
        <v>0</v>
      </c>
      <c r="AI43" s="144">
        <f t="shared" ref="AI43:BN43" si="73">IF($C16&lt;&gt;"Yes",0,IF(AND(AI$3&gt;=$B16,AI$3&lt;=EOMONTH($B16,119)),INDEX($C$5:$DR$5,1,12*(YEAR(AI$3)-YEAR($B16))+MONTH(AI$3)-MONTH($B16)+1),0))</f>
        <v>0</v>
      </c>
      <c r="AJ43" s="144">
        <f t="shared" si="73"/>
        <v>0</v>
      </c>
      <c r="AK43" s="144">
        <f t="shared" si="73"/>
        <v>0</v>
      </c>
      <c r="AL43" s="144">
        <f t="shared" si="73"/>
        <v>0</v>
      </c>
      <c r="AM43" s="144">
        <f t="shared" si="73"/>
        <v>0</v>
      </c>
      <c r="AN43" s="144">
        <f t="shared" si="73"/>
        <v>0</v>
      </c>
      <c r="AO43" s="144">
        <f t="shared" si="73"/>
        <v>0</v>
      </c>
      <c r="AP43" s="144">
        <f t="shared" si="73"/>
        <v>0</v>
      </c>
      <c r="AQ43" s="144">
        <f t="shared" si="73"/>
        <v>0</v>
      </c>
      <c r="AR43" s="144">
        <f t="shared" si="73"/>
        <v>0</v>
      </c>
      <c r="AS43" s="144">
        <f t="shared" si="73"/>
        <v>-7959375</v>
      </c>
      <c r="AT43" s="144">
        <f t="shared" si="73"/>
        <v>0</v>
      </c>
      <c r="AU43" s="144">
        <f t="shared" si="73"/>
        <v>0</v>
      </c>
      <c r="AV43" s="144">
        <f t="shared" si="73"/>
        <v>-6583997.0703125</v>
      </c>
      <c r="AW43" s="144">
        <f t="shared" si="73"/>
        <v>-6583997.0703125</v>
      </c>
      <c r="AX43" s="144">
        <f t="shared" si="73"/>
        <v>-6583997.0703125</v>
      </c>
      <c r="AY43" s="144">
        <f t="shared" si="73"/>
        <v>-6583997.0703125</v>
      </c>
      <c r="AZ43" s="144">
        <f t="shared" si="73"/>
        <v>-6583997.0703125</v>
      </c>
      <c r="BA43" s="144">
        <f t="shared" si="73"/>
        <v>-6583997.0703125</v>
      </c>
      <c r="BB43" s="144">
        <f t="shared" si="73"/>
        <v>-6583997.0703125</v>
      </c>
      <c r="BC43" s="144">
        <f t="shared" si="73"/>
        <v>-6583997.0703125</v>
      </c>
      <c r="BD43" s="144">
        <f t="shared" si="73"/>
        <v>-6583997.0703125</v>
      </c>
      <c r="BE43" s="144">
        <f t="shared" si="73"/>
        <v>-6583997.0703125</v>
      </c>
      <c r="BF43" s="144">
        <f t="shared" si="73"/>
        <v>-6583997.0703125</v>
      </c>
      <c r="BG43" s="144">
        <f t="shared" si="73"/>
        <v>-6583997.0703125</v>
      </c>
      <c r="BH43" s="144">
        <f t="shared" si="73"/>
        <v>-6583997.0703125</v>
      </c>
      <c r="BI43" s="144">
        <f t="shared" si="73"/>
        <v>-6583997.0703125</v>
      </c>
      <c r="BJ43" s="144">
        <f t="shared" si="73"/>
        <v>-6583997.0703125</v>
      </c>
      <c r="BK43" s="144">
        <f t="shared" si="73"/>
        <v>-6583997.0703125</v>
      </c>
      <c r="BL43" s="144">
        <f t="shared" si="73"/>
        <v>-6583997.0703125</v>
      </c>
      <c r="BM43" s="144">
        <f t="shared" si="73"/>
        <v>-6583997.0703125</v>
      </c>
      <c r="BN43" s="144">
        <f t="shared" si="73"/>
        <v>-4731365.7233449398</v>
      </c>
      <c r="BO43" s="144">
        <f t="shared" ref="BO43:CT43" si="74">IF($C16&lt;&gt;"Yes",0,IF(AND(BO$3&gt;=$B16,BO$3&lt;=EOMONTH($B16,119)),INDEX($C$5:$DR$5,1,12*(YEAR(BO$3)-YEAR($B16))+MONTH(BO$3)-MONTH($B16)+1),0))</f>
        <v>-4731365.7233449398</v>
      </c>
      <c r="BP43" s="144">
        <f t="shared" si="74"/>
        <v>-4731365.7233449398</v>
      </c>
      <c r="BQ43" s="144">
        <f t="shared" si="74"/>
        <v>-4731365.7233449398</v>
      </c>
      <c r="BR43" s="144">
        <f t="shared" si="74"/>
        <v>-4731365.7233449398</v>
      </c>
      <c r="BS43" s="144">
        <f t="shared" si="74"/>
        <v>-4731365.7233449398</v>
      </c>
      <c r="BT43" s="144">
        <f t="shared" si="74"/>
        <v>75340341.443347454</v>
      </c>
      <c r="BU43" s="144">
        <f t="shared" si="74"/>
        <v>12350875.646450398</v>
      </c>
      <c r="BV43" s="144">
        <f t="shared" si="74"/>
        <v>12350875.646450398</v>
      </c>
      <c r="BW43" s="144">
        <f t="shared" si="74"/>
        <v>12350875.646450398</v>
      </c>
      <c r="BX43" s="144">
        <f t="shared" si="74"/>
        <v>12350875.646450398</v>
      </c>
      <c r="BY43" s="144">
        <f t="shared" si="74"/>
        <v>12350875.646450398</v>
      </c>
      <c r="BZ43" s="144">
        <f t="shared" si="74"/>
        <v>12350875.646450398</v>
      </c>
      <c r="CA43" s="144">
        <f t="shared" si="74"/>
        <v>12350875.646450398</v>
      </c>
      <c r="CB43" s="144">
        <f t="shared" si="74"/>
        <v>12350875.646450398</v>
      </c>
      <c r="CC43" s="144">
        <f t="shared" si="74"/>
        <v>12350875.646450398</v>
      </c>
      <c r="CD43" s="144">
        <f t="shared" si="74"/>
        <v>12350875.646450398</v>
      </c>
      <c r="CE43" s="144">
        <f t="shared" si="74"/>
        <v>12350875.646450398</v>
      </c>
      <c r="CF43" s="144">
        <f t="shared" si="74"/>
        <v>0</v>
      </c>
      <c r="CG43" s="144">
        <f t="shared" si="74"/>
        <v>0</v>
      </c>
      <c r="CH43" s="144">
        <f t="shared" si="74"/>
        <v>0</v>
      </c>
      <c r="CI43" s="144">
        <f t="shared" si="74"/>
        <v>0</v>
      </c>
      <c r="CJ43" s="144">
        <f t="shared" si="74"/>
        <v>0</v>
      </c>
      <c r="CK43" s="144">
        <f t="shared" si="74"/>
        <v>0</v>
      </c>
      <c r="CL43" s="144">
        <f t="shared" si="74"/>
        <v>0</v>
      </c>
      <c r="CM43" s="144">
        <f t="shared" si="74"/>
        <v>0</v>
      </c>
      <c r="CN43" s="144">
        <f t="shared" si="74"/>
        <v>0</v>
      </c>
      <c r="CO43" s="144">
        <f t="shared" si="74"/>
        <v>0</v>
      </c>
      <c r="CP43" s="144">
        <f t="shared" si="74"/>
        <v>0</v>
      </c>
      <c r="CQ43" s="144">
        <f t="shared" si="74"/>
        <v>0</v>
      </c>
      <c r="CR43" s="144">
        <f t="shared" si="74"/>
        <v>0</v>
      </c>
      <c r="CS43" s="144">
        <f t="shared" si="74"/>
        <v>0</v>
      </c>
      <c r="CT43" s="144">
        <f t="shared" si="74"/>
        <v>0</v>
      </c>
      <c r="CU43" s="144">
        <f t="shared" ref="CU43:DR43" si="75">IF($C16&lt;&gt;"Yes",0,IF(AND(CU$3&gt;=$B16,CU$3&lt;=EOMONTH($B16,119)),INDEX($C$5:$DR$5,1,12*(YEAR(CU$3)-YEAR($B16))+MONTH(CU$3)-MONTH($B16)+1),0))</f>
        <v>0</v>
      </c>
      <c r="CV43" s="144">
        <f t="shared" si="75"/>
        <v>0</v>
      </c>
      <c r="CW43" s="144">
        <f t="shared" si="75"/>
        <v>0</v>
      </c>
      <c r="CX43" s="144">
        <f t="shared" si="75"/>
        <v>0</v>
      </c>
      <c r="CY43" s="144">
        <f t="shared" si="75"/>
        <v>0</v>
      </c>
      <c r="CZ43" s="144">
        <f t="shared" si="75"/>
        <v>0</v>
      </c>
      <c r="DA43" s="144">
        <f t="shared" si="75"/>
        <v>0</v>
      </c>
      <c r="DB43" s="144">
        <f t="shared" si="75"/>
        <v>0</v>
      </c>
      <c r="DC43" s="144">
        <f t="shared" si="75"/>
        <v>0</v>
      </c>
      <c r="DD43" s="144">
        <f t="shared" si="75"/>
        <v>0</v>
      </c>
      <c r="DE43" s="144">
        <f t="shared" si="75"/>
        <v>0</v>
      </c>
      <c r="DF43" s="144">
        <f t="shared" si="75"/>
        <v>0</v>
      </c>
      <c r="DG43" s="144">
        <f t="shared" si="75"/>
        <v>0</v>
      </c>
      <c r="DH43" s="144">
        <f t="shared" si="75"/>
        <v>0</v>
      </c>
      <c r="DI43" s="144">
        <f t="shared" si="75"/>
        <v>0</v>
      </c>
      <c r="DJ43" s="144">
        <f t="shared" si="75"/>
        <v>0</v>
      </c>
      <c r="DK43" s="144">
        <f t="shared" si="75"/>
        <v>0</v>
      </c>
      <c r="DL43" s="144">
        <f t="shared" si="75"/>
        <v>0</v>
      </c>
      <c r="DM43" s="144">
        <f t="shared" si="75"/>
        <v>0</v>
      </c>
      <c r="DN43" s="144">
        <f t="shared" si="75"/>
        <v>0</v>
      </c>
      <c r="DO43" s="144">
        <f t="shared" si="75"/>
        <v>0</v>
      </c>
      <c r="DP43" s="144">
        <f t="shared" si="75"/>
        <v>0</v>
      </c>
      <c r="DQ43" s="144">
        <f t="shared" si="75"/>
        <v>0</v>
      </c>
      <c r="DR43" s="144">
        <f t="shared" si="75"/>
        <v>0</v>
      </c>
    </row>
    <row r="44" spans="1:122">
      <c r="A44" s="142" t="s">
        <v>330</v>
      </c>
      <c r="C44" s="144">
        <f t="shared" ref="C44:AH44" si="76">IF($C16&lt;&gt;"Yes",0,IF(AND(C$3&gt;=$B16,C$3&lt;=EOMONTH($B16,119)),INDEX($C$6:$DR$6,1,12*(YEAR(C$3)-YEAR($B16))+MONTH(C$3)-MONTH($B16)+1),0))</f>
        <v>0</v>
      </c>
      <c r="D44" s="144">
        <f t="shared" si="76"/>
        <v>0</v>
      </c>
      <c r="E44" s="144">
        <f t="shared" si="76"/>
        <v>0</v>
      </c>
      <c r="F44" s="144">
        <f t="shared" si="76"/>
        <v>0</v>
      </c>
      <c r="G44" s="144">
        <f t="shared" si="76"/>
        <v>0</v>
      </c>
      <c r="H44" s="144">
        <f t="shared" si="76"/>
        <v>0</v>
      </c>
      <c r="I44" s="144">
        <f t="shared" si="76"/>
        <v>0</v>
      </c>
      <c r="J44" s="144">
        <f t="shared" si="76"/>
        <v>0</v>
      </c>
      <c r="K44" s="144">
        <f t="shared" si="76"/>
        <v>0</v>
      </c>
      <c r="L44" s="144">
        <f t="shared" si="76"/>
        <v>0</v>
      </c>
      <c r="M44" s="144">
        <f t="shared" si="76"/>
        <v>0</v>
      </c>
      <c r="N44" s="144">
        <f t="shared" si="76"/>
        <v>0</v>
      </c>
      <c r="O44" s="144">
        <f t="shared" si="76"/>
        <v>0</v>
      </c>
      <c r="P44" s="144">
        <f t="shared" si="76"/>
        <v>0</v>
      </c>
      <c r="Q44" s="144">
        <f t="shared" si="76"/>
        <v>0</v>
      </c>
      <c r="R44" s="144">
        <f t="shared" si="76"/>
        <v>0</v>
      </c>
      <c r="S44" s="144">
        <f t="shared" si="76"/>
        <v>0</v>
      </c>
      <c r="T44" s="144">
        <f t="shared" si="76"/>
        <v>0</v>
      </c>
      <c r="U44" s="144">
        <f t="shared" si="76"/>
        <v>0</v>
      </c>
      <c r="V44" s="144">
        <f t="shared" si="76"/>
        <v>0</v>
      </c>
      <c r="W44" s="144">
        <f t="shared" si="76"/>
        <v>0</v>
      </c>
      <c r="X44" s="144">
        <f t="shared" si="76"/>
        <v>0</v>
      </c>
      <c r="Y44" s="144">
        <f t="shared" si="76"/>
        <v>0</v>
      </c>
      <c r="Z44" s="144">
        <f t="shared" si="76"/>
        <v>0</v>
      </c>
      <c r="AA44" s="144">
        <f t="shared" si="76"/>
        <v>0</v>
      </c>
      <c r="AB44" s="144">
        <f t="shared" si="76"/>
        <v>0</v>
      </c>
      <c r="AC44" s="144">
        <f t="shared" si="76"/>
        <v>0</v>
      </c>
      <c r="AD44" s="144">
        <f t="shared" si="76"/>
        <v>0</v>
      </c>
      <c r="AE44" s="144">
        <f t="shared" si="76"/>
        <v>0</v>
      </c>
      <c r="AF44" s="144">
        <f t="shared" si="76"/>
        <v>0</v>
      </c>
      <c r="AG44" s="144">
        <f t="shared" si="76"/>
        <v>0</v>
      </c>
      <c r="AH44" s="144">
        <f t="shared" si="76"/>
        <v>0</v>
      </c>
      <c r="AI44" s="144">
        <f t="shared" ref="AI44:BN44" si="77">IF($C16&lt;&gt;"Yes",0,IF(AND(AI$3&gt;=$B16,AI$3&lt;=EOMONTH($B16,119)),INDEX($C$6:$DR$6,1,12*(YEAR(AI$3)-YEAR($B16))+MONTH(AI$3)-MONTH($B16)+1),0))</f>
        <v>0</v>
      </c>
      <c r="AJ44" s="144">
        <f t="shared" si="77"/>
        <v>0</v>
      </c>
      <c r="AK44" s="144">
        <f t="shared" si="77"/>
        <v>0</v>
      </c>
      <c r="AL44" s="144">
        <f t="shared" si="77"/>
        <v>0</v>
      </c>
      <c r="AM44" s="144">
        <f t="shared" si="77"/>
        <v>0</v>
      </c>
      <c r="AN44" s="144">
        <f t="shared" si="77"/>
        <v>0</v>
      </c>
      <c r="AO44" s="144">
        <f t="shared" si="77"/>
        <v>0</v>
      </c>
      <c r="AP44" s="144">
        <f t="shared" si="77"/>
        <v>0</v>
      </c>
      <c r="AQ44" s="144">
        <f t="shared" si="77"/>
        <v>0</v>
      </c>
      <c r="AR44" s="144">
        <f t="shared" si="77"/>
        <v>0</v>
      </c>
      <c r="AS44" s="144">
        <f t="shared" si="77"/>
        <v>0</v>
      </c>
      <c r="AT44" s="144">
        <f t="shared" si="77"/>
        <v>0</v>
      </c>
      <c r="AU44" s="144">
        <f t="shared" si="77"/>
        <v>0</v>
      </c>
      <c r="AV44" s="144">
        <f t="shared" si="77"/>
        <v>0</v>
      </c>
      <c r="AW44" s="144">
        <f t="shared" si="77"/>
        <v>0</v>
      </c>
      <c r="AX44" s="144">
        <f t="shared" si="77"/>
        <v>0</v>
      </c>
      <c r="AY44" s="144">
        <f t="shared" si="77"/>
        <v>0</v>
      </c>
      <c r="AZ44" s="144">
        <f t="shared" si="77"/>
        <v>0</v>
      </c>
      <c r="BA44" s="144">
        <f t="shared" si="77"/>
        <v>0</v>
      </c>
      <c r="BB44" s="144">
        <f t="shared" si="77"/>
        <v>0</v>
      </c>
      <c r="BC44" s="144">
        <f t="shared" si="77"/>
        <v>0</v>
      </c>
      <c r="BD44" s="144">
        <f t="shared" si="77"/>
        <v>0</v>
      </c>
      <c r="BE44" s="144">
        <f t="shared" si="77"/>
        <v>0</v>
      </c>
      <c r="BF44" s="144">
        <f t="shared" si="77"/>
        <v>0</v>
      </c>
      <c r="BG44" s="144">
        <f t="shared" si="77"/>
        <v>0</v>
      </c>
      <c r="BH44" s="144">
        <f t="shared" si="77"/>
        <v>0</v>
      </c>
      <c r="BI44" s="144">
        <f t="shared" si="77"/>
        <v>0</v>
      </c>
      <c r="BJ44" s="144">
        <f t="shared" si="77"/>
        <v>0</v>
      </c>
      <c r="BK44" s="144">
        <f t="shared" si="77"/>
        <v>0</v>
      </c>
      <c r="BL44" s="144">
        <f t="shared" si="77"/>
        <v>0</v>
      </c>
      <c r="BM44" s="144">
        <f t="shared" si="77"/>
        <v>0</v>
      </c>
      <c r="BN44" s="144">
        <f t="shared" si="77"/>
        <v>1875000.0000000002</v>
      </c>
      <c r="BO44" s="144">
        <f t="shared" ref="BO44:CT44" si="78">IF($C16&lt;&gt;"Yes",0,IF(AND(BO$3&gt;=$B16,BO$3&lt;=EOMONTH($B16,119)),INDEX($C$6:$DR$6,1,12*(YEAR(BO$3)-YEAR($B16))+MONTH(BO$3)-MONTH($B16)+1),0))</f>
        <v>1875000.0000000002</v>
      </c>
      <c r="BP44" s="144">
        <f t="shared" si="78"/>
        <v>1875000.0000000002</v>
      </c>
      <c r="BQ44" s="144">
        <f t="shared" si="78"/>
        <v>1875000.0000000002</v>
      </c>
      <c r="BR44" s="144">
        <f t="shared" si="78"/>
        <v>1875000.0000000002</v>
      </c>
      <c r="BS44" s="144">
        <f t="shared" si="78"/>
        <v>1875000.0000000002</v>
      </c>
      <c r="BT44" s="144">
        <f t="shared" si="78"/>
        <v>76250000.000000015</v>
      </c>
      <c r="BU44" s="144">
        <f t="shared" si="78"/>
        <v>12500000</v>
      </c>
      <c r="BV44" s="144">
        <f t="shared" si="78"/>
        <v>12500000</v>
      </c>
      <c r="BW44" s="144">
        <f t="shared" si="78"/>
        <v>12500000</v>
      </c>
      <c r="BX44" s="144">
        <f t="shared" si="78"/>
        <v>12500000</v>
      </c>
      <c r="BY44" s="144">
        <f t="shared" si="78"/>
        <v>12500000</v>
      </c>
      <c r="BZ44" s="144">
        <f t="shared" si="78"/>
        <v>12500000</v>
      </c>
      <c r="CA44" s="144">
        <f t="shared" si="78"/>
        <v>12500000</v>
      </c>
      <c r="CB44" s="144">
        <f t="shared" si="78"/>
        <v>12500000</v>
      </c>
      <c r="CC44" s="144">
        <f t="shared" si="78"/>
        <v>12500000</v>
      </c>
      <c r="CD44" s="144">
        <f t="shared" si="78"/>
        <v>12500000</v>
      </c>
      <c r="CE44" s="144">
        <f t="shared" si="78"/>
        <v>12500000</v>
      </c>
      <c r="CF44" s="144">
        <f t="shared" si="78"/>
        <v>0</v>
      </c>
      <c r="CG44" s="144">
        <f t="shared" si="78"/>
        <v>0</v>
      </c>
      <c r="CH44" s="144">
        <f t="shared" si="78"/>
        <v>0</v>
      </c>
      <c r="CI44" s="144">
        <f t="shared" si="78"/>
        <v>0</v>
      </c>
      <c r="CJ44" s="144">
        <f t="shared" si="78"/>
        <v>0</v>
      </c>
      <c r="CK44" s="144">
        <f t="shared" si="78"/>
        <v>0</v>
      </c>
      <c r="CL44" s="144">
        <f t="shared" si="78"/>
        <v>0</v>
      </c>
      <c r="CM44" s="144">
        <f t="shared" si="78"/>
        <v>0</v>
      </c>
      <c r="CN44" s="144">
        <f t="shared" si="78"/>
        <v>0</v>
      </c>
      <c r="CO44" s="144">
        <f t="shared" si="78"/>
        <v>0</v>
      </c>
      <c r="CP44" s="144">
        <f t="shared" si="78"/>
        <v>0</v>
      </c>
      <c r="CQ44" s="144">
        <f t="shared" si="78"/>
        <v>0</v>
      </c>
      <c r="CR44" s="144">
        <f t="shared" si="78"/>
        <v>0</v>
      </c>
      <c r="CS44" s="144">
        <f t="shared" si="78"/>
        <v>0</v>
      </c>
      <c r="CT44" s="144">
        <f t="shared" si="78"/>
        <v>0</v>
      </c>
      <c r="CU44" s="144">
        <f t="shared" ref="CU44:DR44" si="79">IF($C16&lt;&gt;"Yes",0,IF(AND(CU$3&gt;=$B16,CU$3&lt;=EOMONTH($B16,119)),INDEX($C$6:$DR$6,1,12*(YEAR(CU$3)-YEAR($B16))+MONTH(CU$3)-MONTH($B16)+1),0))</f>
        <v>0</v>
      </c>
      <c r="CV44" s="144">
        <f t="shared" si="79"/>
        <v>0</v>
      </c>
      <c r="CW44" s="144">
        <f t="shared" si="79"/>
        <v>0</v>
      </c>
      <c r="CX44" s="144">
        <f t="shared" si="79"/>
        <v>0</v>
      </c>
      <c r="CY44" s="144">
        <f t="shared" si="79"/>
        <v>0</v>
      </c>
      <c r="CZ44" s="144">
        <f t="shared" si="79"/>
        <v>0</v>
      </c>
      <c r="DA44" s="144">
        <f t="shared" si="79"/>
        <v>0</v>
      </c>
      <c r="DB44" s="144">
        <f t="shared" si="79"/>
        <v>0</v>
      </c>
      <c r="DC44" s="144">
        <f t="shared" si="79"/>
        <v>0</v>
      </c>
      <c r="DD44" s="144">
        <f t="shared" si="79"/>
        <v>0</v>
      </c>
      <c r="DE44" s="144">
        <f t="shared" si="79"/>
        <v>0</v>
      </c>
      <c r="DF44" s="144">
        <f t="shared" si="79"/>
        <v>0</v>
      </c>
      <c r="DG44" s="144">
        <f t="shared" si="79"/>
        <v>0</v>
      </c>
      <c r="DH44" s="144">
        <f t="shared" si="79"/>
        <v>0</v>
      </c>
      <c r="DI44" s="144">
        <f t="shared" si="79"/>
        <v>0</v>
      </c>
      <c r="DJ44" s="144">
        <f t="shared" si="79"/>
        <v>0</v>
      </c>
      <c r="DK44" s="144">
        <f t="shared" si="79"/>
        <v>0</v>
      </c>
      <c r="DL44" s="144">
        <f t="shared" si="79"/>
        <v>0</v>
      </c>
      <c r="DM44" s="144">
        <f t="shared" si="79"/>
        <v>0</v>
      </c>
      <c r="DN44" s="144">
        <f t="shared" si="79"/>
        <v>0</v>
      </c>
      <c r="DO44" s="144">
        <f t="shared" si="79"/>
        <v>0</v>
      </c>
      <c r="DP44" s="144">
        <f t="shared" si="79"/>
        <v>0</v>
      </c>
      <c r="DQ44" s="144">
        <f t="shared" si="79"/>
        <v>0</v>
      </c>
      <c r="DR44" s="144">
        <f t="shared" si="79"/>
        <v>0</v>
      </c>
    </row>
    <row r="45" spans="1:122">
      <c r="A45" s="142" t="s">
        <v>331</v>
      </c>
      <c r="C45" s="144">
        <f t="shared" ref="C45:AH45" si="80">IF($C16&lt;&gt;"Yes",0,IF(AND(C$3&gt;=$B16,C$3&lt;=EOMONTH($B16,119)),INDEX($C$7:$DR$7,1,12*(YEAR(C$3)-YEAR($B16))+MONTH(C$3)-MONTH($B16)+1),0))</f>
        <v>0</v>
      </c>
      <c r="D45" s="144">
        <f t="shared" si="80"/>
        <v>0</v>
      </c>
      <c r="E45" s="144">
        <f t="shared" si="80"/>
        <v>0</v>
      </c>
      <c r="F45" s="144">
        <f t="shared" si="80"/>
        <v>0</v>
      </c>
      <c r="G45" s="144">
        <f t="shared" si="80"/>
        <v>0</v>
      </c>
      <c r="H45" s="144">
        <f t="shared" si="80"/>
        <v>0</v>
      </c>
      <c r="I45" s="144">
        <f t="shared" si="80"/>
        <v>0</v>
      </c>
      <c r="J45" s="144">
        <f t="shared" si="80"/>
        <v>0</v>
      </c>
      <c r="K45" s="144">
        <f t="shared" si="80"/>
        <v>0</v>
      </c>
      <c r="L45" s="144">
        <f t="shared" si="80"/>
        <v>0</v>
      </c>
      <c r="M45" s="144">
        <f t="shared" si="80"/>
        <v>0</v>
      </c>
      <c r="N45" s="144">
        <f t="shared" si="80"/>
        <v>0</v>
      </c>
      <c r="O45" s="144">
        <f t="shared" si="80"/>
        <v>0</v>
      </c>
      <c r="P45" s="144">
        <f t="shared" si="80"/>
        <v>0</v>
      </c>
      <c r="Q45" s="144">
        <f t="shared" si="80"/>
        <v>0</v>
      </c>
      <c r="R45" s="144">
        <f t="shared" si="80"/>
        <v>0</v>
      </c>
      <c r="S45" s="144">
        <f t="shared" si="80"/>
        <v>0</v>
      </c>
      <c r="T45" s="144">
        <f t="shared" si="80"/>
        <v>0</v>
      </c>
      <c r="U45" s="144">
        <f t="shared" si="80"/>
        <v>0</v>
      </c>
      <c r="V45" s="144">
        <f t="shared" si="80"/>
        <v>0</v>
      </c>
      <c r="W45" s="144">
        <f t="shared" si="80"/>
        <v>0</v>
      </c>
      <c r="X45" s="144">
        <f t="shared" si="80"/>
        <v>0</v>
      </c>
      <c r="Y45" s="144">
        <f t="shared" si="80"/>
        <v>0</v>
      </c>
      <c r="Z45" s="144">
        <f t="shared" si="80"/>
        <v>0</v>
      </c>
      <c r="AA45" s="144">
        <f t="shared" si="80"/>
        <v>0</v>
      </c>
      <c r="AB45" s="144">
        <f t="shared" si="80"/>
        <v>0</v>
      </c>
      <c r="AC45" s="144">
        <f t="shared" si="80"/>
        <v>0</v>
      </c>
      <c r="AD45" s="144">
        <f t="shared" si="80"/>
        <v>0</v>
      </c>
      <c r="AE45" s="144">
        <f t="shared" si="80"/>
        <v>0</v>
      </c>
      <c r="AF45" s="144">
        <f t="shared" si="80"/>
        <v>0</v>
      </c>
      <c r="AG45" s="144">
        <f t="shared" si="80"/>
        <v>0</v>
      </c>
      <c r="AH45" s="144">
        <f t="shared" si="80"/>
        <v>0</v>
      </c>
      <c r="AI45" s="144">
        <f t="shared" ref="AI45:BN45" si="81">IF($C16&lt;&gt;"Yes",0,IF(AND(AI$3&gt;=$B16,AI$3&lt;=EOMONTH($B16,119)),INDEX($C$7:$DR$7,1,12*(YEAR(AI$3)-YEAR($B16))+MONTH(AI$3)-MONTH($B16)+1),0))</f>
        <v>0</v>
      </c>
      <c r="AJ45" s="144">
        <f t="shared" si="81"/>
        <v>0</v>
      </c>
      <c r="AK45" s="144">
        <f t="shared" si="81"/>
        <v>0</v>
      </c>
      <c r="AL45" s="144">
        <f t="shared" si="81"/>
        <v>0</v>
      </c>
      <c r="AM45" s="144">
        <f t="shared" si="81"/>
        <v>0</v>
      </c>
      <c r="AN45" s="144">
        <f t="shared" si="81"/>
        <v>0</v>
      </c>
      <c r="AO45" s="144">
        <f t="shared" si="81"/>
        <v>0</v>
      </c>
      <c r="AP45" s="144">
        <f t="shared" si="81"/>
        <v>0</v>
      </c>
      <c r="AQ45" s="144">
        <f t="shared" si="81"/>
        <v>0</v>
      </c>
      <c r="AR45" s="144">
        <f t="shared" si="81"/>
        <v>0</v>
      </c>
      <c r="AS45" s="144">
        <f t="shared" si="81"/>
        <v>0</v>
      </c>
      <c r="AT45" s="144">
        <f t="shared" si="81"/>
        <v>0</v>
      </c>
      <c r="AU45" s="144">
        <f t="shared" si="81"/>
        <v>0</v>
      </c>
      <c r="AV45" s="144">
        <f t="shared" si="81"/>
        <v>0</v>
      </c>
      <c r="AW45" s="144">
        <f t="shared" si="81"/>
        <v>0</v>
      </c>
      <c r="AX45" s="144">
        <f t="shared" si="81"/>
        <v>0</v>
      </c>
      <c r="AY45" s="144">
        <f t="shared" si="81"/>
        <v>0</v>
      </c>
      <c r="AZ45" s="144">
        <f t="shared" si="81"/>
        <v>0</v>
      </c>
      <c r="BA45" s="144">
        <f t="shared" si="81"/>
        <v>0</v>
      </c>
      <c r="BB45" s="144">
        <f t="shared" si="81"/>
        <v>0</v>
      </c>
      <c r="BC45" s="144">
        <f t="shared" si="81"/>
        <v>0</v>
      </c>
      <c r="BD45" s="144">
        <f t="shared" si="81"/>
        <v>0</v>
      </c>
      <c r="BE45" s="144">
        <f t="shared" si="81"/>
        <v>0</v>
      </c>
      <c r="BF45" s="144">
        <f t="shared" si="81"/>
        <v>0</v>
      </c>
      <c r="BG45" s="144">
        <f t="shared" si="81"/>
        <v>0</v>
      </c>
      <c r="BH45" s="144">
        <f t="shared" si="81"/>
        <v>0</v>
      </c>
      <c r="BI45" s="144">
        <f t="shared" si="81"/>
        <v>0</v>
      </c>
      <c r="BJ45" s="144">
        <f t="shared" si="81"/>
        <v>0</v>
      </c>
      <c r="BK45" s="144">
        <f t="shared" si="81"/>
        <v>0</v>
      </c>
      <c r="BL45" s="144">
        <f t="shared" si="81"/>
        <v>0</v>
      </c>
      <c r="BM45" s="144">
        <f t="shared" si="81"/>
        <v>0</v>
      </c>
      <c r="BN45" s="144">
        <f t="shared" si="81"/>
        <v>0</v>
      </c>
      <c r="BO45" s="144">
        <f t="shared" ref="BO45:CT45" si="82">IF($C16&lt;&gt;"Yes",0,IF(AND(BO$3&gt;=$B16,BO$3&lt;=EOMONTH($B16,119)),INDEX($C$7:$DR$7,1,12*(YEAR(BO$3)-YEAR($B16))+MONTH(BO$3)-MONTH($B16)+1),0))</f>
        <v>0</v>
      </c>
      <c r="BP45" s="144">
        <f t="shared" si="82"/>
        <v>0</v>
      </c>
      <c r="BQ45" s="144">
        <f t="shared" si="82"/>
        <v>0</v>
      </c>
      <c r="BR45" s="144">
        <f t="shared" si="82"/>
        <v>0</v>
      </c>
      <c r="BS45" s="144">
        <f t="shared" si="82"/>
        <v>0</v>
      </c>
      <c r="BT45" s="144">
        <f t="shared" si="82"/>
        <v>74375000.000000015</v>
      </c>
      <c r="BU45" s="144">
        <f t="shared" si="82"/>
        <v>10625000</v>
      </c>
      <c r="BV45" s="144">
        <f t="shared" si="82"/>
        <v>10625000</v>
      </c>
      <c r="BW45" s="144">
        <f t="shared" si="82"/>
        <v>10625000</v>
      </c>
      <c r="BX45" s="144">
        <f t="shared" si="82"/>
        <v>10625000</v>
      </c>
      <c r="BY45" s="144">
        <f t="shared" si="82"/>
        <v>10625000</v>
      </c>
      <c r="BZ45" s="144">
        <f t="shared" si="82"/>
        <v>10625000</v>
      </c>
      <c r="CA45" s="144">
        <f t="shared" si="82"/>
        <v>10625000</v>
      </c>
      <c r="CB45" s="144">
        <f t="shared" si="82"/>
        <v>10625000</v>
      </c>
      <c r="CC45" s="144">
        <f t="shared" si="82"/>
        <v>10625000</v>
      </c>
      <c r="CD45" s="144">
        <f t="shared" si="82"/>
        <v>10625000</v>
      </c>
      <c r="CE45" s="144">
        <f t="shared" si="82"/>
        <v>10625000</v>
      </c>
      <c r="CF45" s="144">
        <f t="shared" si="82"/>
        <v>0</v>
      </c>
      <c r="CG45" s="144">
        <f t="shared" si="82"/>
        <v>0</v>
      </c>
      <c r="CH45" s="144">
        <f t="shared" si="82"/>
        <v>0</v>
      </c>
      <c r="CI45" s="144">
        <f t="shared" si="82"/>
        <v>0</v>
      </c>
      <c r="CJ45" s="144">
        <f t="shared" si="82"/>
        <v>0</v>
      </c>
      <c r="CK45" s="144">
        <f t="shared" si="82"/>
        <v>0</v>
      </c>
      <c r="CL45" s="144">
        <f t="shared" si="82"/>
        <v>0</v>
      </c>
      <c r="CM45" s="144">
        <f t="shared" si="82"/>
        <v>0</v>
      </c>
      <c r="CN45" s="144">
        <f t="shared" si="82"/>
        <v>0</v>
      </c>
      <c r="CO45" s="144">
        <f t="shared" si="82"/>
        <v>0</v>
      </c>
      <c r="CP45" s="144">
        <f t="shared" si="82"/>
        <v>0</v>
      </c>
      <c r="CQ45" s="144">
        <f t="shared" si="82"/>
        <v>0</v>
      </c>
      <c r="CR45" s="144">
        <f t="shared" si="82"/>
        <v>0</v>
      </c>
      <c r="CS45" s="144">
        <f t="shared" si="82"/>
        <v>0</v>
      </c>
      <c r="CT45" s="144">
        <f t="shared" si="82"/>
        <v>0</v>
      </c>
      <c r="CU45" s="144">
        <f t="shared" ref="CU45:DR45" si="83">IF($C16&lt;&gt;"Yes",0,IF(AND(CU$3&gt;=$B16,CU$3&lt;=EOMONTH($B16,119)),INDEX($C$7:$DR$7,1,12*(YEAR(CU$3)-YEAR($B16))+MONTH(CU$3)-MONTH($B16)+1),0))</f>
        <v>0</v>
      </c>
      <c r="CV45" s="144">
        <f t="shared" si="83"/>
        <v>0</v>
      </c>
      <c r="CW45" s="144">
        <f t="shared" si="83"/>
        <v>0</v>
      </c>
      <c r="CX45" s="144">
        <f t="shared" si="83"/>
        <v>0</v>
      </c>
      <c r="CY45" s="144">
        <f t="shared" si="83"/>
        <v>0</v>
      </c>
      <c r="CZ45" s="144">
        <f t="shared" si="83"/>
        <v>0</v>
      </c>
      <c r="DA45" s="144">
        <f t="shared" si="83"/>
        <v>0</v>
      </c>
      <c r="DB45" s="144">
        <f t="shared" si="83"/>
        <v>0</v>
      </c>
      <c r="DC45" s="144">
        <f t="shared" si="83"/>
        <v>0</v>
      </c>
      <c r="DD45" s="144">
        <f t="shared" si="83"/>
        <v>0</v>
      </c>
      <c r="DE45" s="144">
        <f t="shared" si="83"/>
        <v>0</v>
      </c>
      <c r="DF45" s="144">
        <f t="shared" si="83"/>
        <v>0</v>
      </c>
      <c r="DG45" s="144">
        <f t="shared" si="83"/>
        <v>0</v>
      </c>
      <c r="DH45" s="144">
        <f t="shared" si="83"/>
        <v>0</v>
      </c>
      <c r="DI45" s="144">
        <f t="shared" si="83"/>
        <v>0</v>
      </c>
      <c r="DJ45" s="144">
        <f t="shared" si="83"/>
        <v>0</v>
      </c>
      <c r="DK45" s="144">
        <f t="shared" si="83"/>
        <v>0</v>
      </c>
      <c r="DL45" s="144">
        <f t="shared" si="83"/>
        <v>0</v>
      </c>
      <c r="DM45" s="144">
        <f t="shared" si="83"/>
        <v>0</v>
      </c>
      <c r="DN45" s="144">
        <f t="shared" si="83"/>
        <v>0</v>
      </c>
      <c r="DO45" s="144">
        <f t="shared" si="83"/>
        <v>0</v>
      </c>
      <c r="DP45" s="144">
        <f t="shared" si="83"/>
        <v>0</v>
      </c>
      <c r="DQ45" s="144">
        <f t="shared" si="83"/>
        <v>0</v>
      </c>
      <c r="DR45" s="144">
        <f t="shared" si="83"/>
        <v>0</v>
      </c>
    </row>
    <row r="46" spans="1:122">
      <c r="A46" s="142" t="s">
        <v>332</v>
      </c>
      <c r="C46" s="144">
        <f t="shared" ref="C46:AH46" si="84">IF($C17&lt;&gt;"Yes",0,IF(AND(C$3&gt;=$B17,C$3&lt;=EOMONTH($B17,119)),INDEX($C$5:$DR$5,1,12*(YEAR(C$3)-YEAR($B17))+MONTH(C$3)-MONTH($B17)+1),0))</f>
        <v>0</v>
      </c>
      <c r="D46" s="144">
        <f t="shared" si="84"/>
        <v>0</v>
      </c>
      <c r="E46" s="144">
        <f t="shared" si="84"/>
        <v>0</v>
      </c>
      <c r="F46" s="144">
        <f t="shared" si="84"/>
        <v>0</v>
      </c>
      <c r="G46" s="144">
        <f t="shared" si="84"/>
        <v>0</v>
      </c>
      <c r="H46" s="144">
        <f t="shared" si="84"/>
        <v>0</v>
      </c>
      <c r="I46" s="144">
        <f t="shared" si="84"/>
        <v>0</v>
      </c>
      <c r="J46" s="144">
        <f t="shared" si="84"/>
        <v>0</v>
      </c>
      <c r="K46" s="144">
        <f t="shared" si="84"/>
        <v>0</v>
      </c>
      <c r="L46" s="144">
        <f t="shared" si="84"/>
        <v>0</v>
      </c>
      <c r="M46" s="144">
        <f t="shared" si="84"/>
        <v>0</v>
      </c>
      <c r="N46" s="144">
        <f t="shared" si="84"/>
        <v>0</v>
      </c>
      <c r="O46" s="144">
        <f t="shared" si="84"/>
        <v>0</v>
      </c>
      <c r="P46" s="144">
        <f t="shared" si="84"/>
        <v>0</v>
      </c>
      <c r="Q46" s="144">
        <f t="shared" si="84"/>
        <v>0</v>
      </c>
      <c r="R46" s="144">
        <f t="shared" si="84"/>
        <v>0</v>
      </c>
      <c r="S46" s="144">
        <f t="shared" si="84"/>
        <v>0</v>
      </c>
      <c r="T46" s="144">
        <f t="shared" si="84"/>
        <v>0</v>
      </c>
      <c r="U46" s="144">
        <f t="shared" si="84"/>
        <v>0</v>
      </c>
      <c r="V46" s="144">
        <f t="shared" si="84"/>
        <v>0</v>
      </c>
      <c r="W46" s="144">
        <f t="shared" si="84"/>
        <v>0</v>
      </c>
      <c r="X46" s="144">
        <f t="shared" si="84"/>
        <v>0</v>
      </c>
      <c r="Y46" s="144">
        <f t="shared" si="84"/>
        <v>0</v>
      </c>
      <c r="Z46" s="144">
        <f t="shared" si="84"/>
        <v>0</v>
      </c>
      <c r="AA46" s="144">
        <f t="shared" si="84"/>
        <v>0</v>
      </c>
      <c r="AB46" s="144">
        <f t="shared" si="84"/>
        <v>0</v>
      </c>
      <c r="AC46" s="144">
        <f t="shared" si="84"/>
        <v>0</v>
      </c>
      <c r="AD46" s="144">
        <f t="shared" si="84"/>
        <v>0</v>
      </c>
      <c r="AE46" s="144">
        <f t="shared" si="84"/>
        <v>0</v>
      </c>
      <c r="AF46" s="144">
        <f t="shared" si="84"/>
        <v>0</v>
      </c>
      <c r="AG46" s="144">
        <f t="shared" si="84"/>
        <v>0</v>
      </c>
      <c r="AH46" s="144">
        <f t="shared" si="84"/>
        <v>0</v>
      </c>
      <c r="AI46" s="144">
        <f t="shared" ref="AI46:BN46" si="85">IF($C17&lt;&gt;"Yes",0,IF(AND(AI$3&gt;=$B17,AI$3&lt;=EOMONTH($B17,119)),INDEX($C$5:$DR$5,1,12*(YEAR(AI$3)-YEAR($B17))+MONTH(AI$3)-MONTH($B17)+1),0))</f>
        <v>0</v>
      </c>
      <c r="AJ46" s="144">
        <f t="shared" si="85"/>
        <v>0</v>
      </c>
      <c r="AK46" s="144">
        <f t="shared" si="85"/>
        <v>0</v>
      </c>
      <c r="AL46" s="144">
        <f t="shared" si="85"/>
        <v>0</v>
      </c>
      <c r="AM46" s="144">
        <f t="shared" si="85"/>
        <v>0</v>
      </c>
      <c r="AN46" s="144">
        <f t="shared" si="85"/>
        <v>0</v>
      </c>
      <c r="AO46" s="144">
        <f t="shared" si="85"/>
        <v>0</v>
      </c>
      <c r="AP46" s="144">
        <f t="shared" si="85"/>
        <v>0</v>
      </c>
      <c r="AQ46" s="144">
        <f t="shared" si="85"/>
        <v>0</v>
      </c>
      <c r="AR46" s="144">
        <f t="shared" si="85"/>
        <v>0</v>
      </c>
      <c r="AS46" s="144">
        <f t="shared" si="85"/>
        <v>0</v>
      </c>
      <c r="AT46" s="144">
        <f t="shared" si="85"/>
        <v>0</v>
      </c>
      <c r="AU46" s="144">
        <f t="shared" si="85"/>
        <v>0</v>
      </c>
      <c r="AV46" s="144">
        <f t="shared" si="85"/>
        <v>0</v>
      </c>
      <c r="AW46" s="144">
        <f t="shared" si="85"/>
        <v>0</v>
      </c>
      <c r="AX46" s="144">
        <f t="shared" si="85"/>
        <v>0</v>
      </c>
      <c r="AY46" s="144">
        <f t="shared" si="85"/>
        <v>0</v>
      </c>
      <c r="AZ46" s="144">
        <f t="shared" si="85"/>
        <v>0</v>
      </c>
      <c r="BA46" s="144">
        <f t="shared" si="85"/>
        <v>0</v>
      </c>
      <c r="BB46" s="144">
        <f t="shared" si="85"/>
        <v>0</v>
      </c>
      <c r="BC46" s="144">
        <f t="shared" si="85"/>
        <v>0</v>
      </c>
      <c r="BD46" s="144">
        <f t="shared" si="85"/>
        <v>0</v>
      </c>
      <c r="BE46" s="144">
        <f t="shared" si="85"/>
        <v>0</v>
      </c>
      <c r="BF46" s="144">
        <f t="shared" si="85"/>
        <v>0</v>
      </c>
      <c r="BG46" s="144">
        <f t="shared" si="85"/>
        <v>0</v>
      </c>
      <c r="BH46" s="144">
        <f t="shared" si="85"/>
        <v>0</v>
      </c>
      <c r="BI46" s="144">
        <f t="shared" si="85"/>
        <v>0</v>
      </c>
      <c r="BJ46" s="144">
        <f t="shared" si="85"/>
        <v>0</v>
      </c>
      <c r="BK46" s="144">
        <f t="shared" si="85"/>
        <v>0</v>
      </c>
      <c r="BL46" s="144">
        <f t="shared" si="85"/>
        <v>0</v>
      </c>
      <c r="BM46" s="144">
        <f t="shared" si="85"/>
        <v>0</v>
      </c>
      <c r="BN46" s="144">
        <f t="shared" si="85"/>
        <v>0</v>
      </c>
      <c r="BO46" s="144">
        <f t="shared" ref="BO46:CT46" si="86">IF($C17&lt;&gt;"Yes",0,IF(AND(BO$3&gt;=$B17,BO$3&lt;=EOMONTH($B17,119)),INDEX($C$5:$DR$5,1,12*(YEAR(BO$3)-YEAR($B17))+MONTH(BO$3)-MONTH($B17)+1),0))</f>
        <v>0</v>
      </c>
      <c r="BP46" s="144">
        <f t="shared" si="86"/>
        <v>0</v>
      </c>
      <c r="BQ46" s="144">
        <f t="shared" si="86"/>
        <v>0</v>
      </c>
      <c r="BR46" s="144">
        <f t="shared" si="86"/>
        <v>0</v>
      </c>
      <c r="BS46" s="144">
        <f t="shared" si="86"/>
        <v>0</v>
      </c>
      <c r="BT46" s="144">
        <f t="shared" si="86"/>
        <v>0</v>
      </c>
      <c r="BU46" s="144">
        <f t="shared" si="86"/>
        <v>0</v>
      </c>
      <c r="BV46" s="144">
        <f t="shared" si="86"/>
        <v>0</v>
      </c>
      <c r="BW46" s="144">
        <f t="shared" si="86"/>
        <v>0</v>
      </c>
      <c r="BX46" s="144">
        <f t="shared" si="86"/>
        <v>0</v>
      </c>
      <c r="BY46" s="144">
        <f t="shared" si="86"/>
        <v>0</v>
      </c>
      <c r="BZ46" s="144">
        <f t="shared" si="86"/>
        <v>0</v>
      </c>
      <c r="CA46" s="144">
        <f t="shared" si="86"/>
        <v>0</v>
      </c>
      <c r="CB46" s="144">
        <f t="shared" si="86"/>
        <v>0</v>
      </c>
      <c r="CC46" s="144">
        <f t="shared" si="86"/>
        <v>0</v>
      </c>
      <c r="CD46" s="144">
        <f t="shared" si="86"/>
        <v>0</v>
      </c>
      <c r="CE46" s="144">
        <f t="shared" si="86"/>
        <v>0</v>
      </c>
      <c r="CF46" s="144">
        <f t="shared" si="86"/>
        <v>0</v>
      </c>
      <c r="CG46" s="144">
        <f t="shared" si="86"/>
        <v>0</v>
      </c>
      <c r="CH46" s="144">
        <f t="shared" si="86"/>
        <v>0</v>
      </c>
      <c r="CI46" s="144">
        <f t="shared" si="86"/>
        <v>0</v>
      </c>
      <c r="CJ46" s="144">
        <f t="shared" si="86"/>
        <v>0</v>
      </c>
      <c r="CK46" s="144">
        <f t="shared" si="86"/>
        <v>0</v>
      </c>
      <c r="CL46" s="144">
        <f t="shared" si="86"/>
        <v>0</v>
      </c>
      <c r="CM46" s="144">
        <f t="shared" si="86"/>
        <v>0</v>
      </c>
      <c r="CN46" s="144">
        <f t="shared" si="86"/>
        <v>0</v>
      </c>
      <c r="CO46" s="144">
        <f t="shared" si="86"/>
        <v>0</v>
      </c>
      <c r="CP46" s="144">
        <f t="shared" si="86"/>
        <v>0</v>
      </c>
      <c r="CQ46" s="144">
        <f t="shared" si="86"/>
        <v>0</v>
      </c>
      <c r="CR46" s="144">
        <f t="shared" si="86"/>
        <v>0</v>
      </c>
      <c r="CS46" s="144">
        <f t="shared" si="86"/>
        <v>0</v>
      </c>
      <c r="CT46" s="144">
        <f t="shared" si="86"/>
        <v>0</v>
      </c>
      <c r="CU46" s="144">
        <f t="shared" ref="CU46:DR46" si="87">IF($C17&lt;&gt;"Yes",0,IF(AND(CU$3&gt;=$B17,CU$3&lt;=EOMONTH($B17,119)),INDEX($C$5:$DR$5,1,12*(YEAR(CU$3)-YEAR($B17))+MONTH(CU$3)-MONTH($B17)+1),0))</f>
        <v>0</v>
      </c>
      <c r="CV46" s="144">
        <f t="shared" si="87"/>
        <v>0</v>
      </c>
      <c r="CW46" s="144">
        <f t="shared" si="87"/>
        <v>0</v>
      </c>
      <c r="CX46" s="144">
        <f t="shared" si="87"/>
        <v>0</v>
      </c>
      <c r="CY46" s="144">
        <f t="shared" si="87"/>
        <v>0</v>
      </c>
      <c r="CZ46" s="144">
        <f t="shared" si="87"/>
        <v>0</v>
      </c>
      <c r="DA46" s="144">
        <f t="shared" si="87"/>
        <v>0</v>
      </c>
      <c r="DB46" s="144">
        <f t="shared" si="87"/>
        <v>0</v>
      </c>
      <c r="DC46" s="144">
        <f t="shared" si="87"/>
        <v>0</v>
      </c>
      <c r="DD46" s="144">
        <f t="shared" si="87"/>
        <v>0</v>
      </c>
      <c r="DE46" s="144">
        <f t="shared" si="87"/>
        <v>0</v>
      </c>
      <c r="DF46" s="144">
        <f t="shared" si="87"/>
        <v>0</v>
      </c>
      <c r="DG46" s="144">
        <f t="shared" si="87"/>
        <v>0</v>
      </c>
      <c r="DH46" s="144">
        <f t="shared" si="87"/>
        <v>0</v>
      </c>
      <c r="DI46" s="144">
        <f t="shared" si="87"/>
        <v>0</v>
      </c>
      <c r="DJ46" s="144">
        <f t="shared" si="87"/>
        <v>0</v>
      </c>
      <c r="DK46" s="144">
        <f t="shared" si="87"/>
        <v>0</v>
      </c>
      <c r="DL46" s="144">
        <f t="shared" si="87"/>
        <v>0</v>
      </c>
      <c r="DM46" s="144">
        <f t="shared" si="87"/>
        <v>0</v>
      </c>
      <c r="DN46" s="144">
        <f t="shared" si="87"/>
        <v>0</v>
      </c>
      <c r="DO46" s="144">
        <f t="shared" si="87"/>
        <v>0</v>
      </c>
      <c r="DP46" s="144">
        <f t="shared" si="87"/>
        <v>0</v>
      </c>
      <c r="DQ46" s="144">
        <f t="shared" si="87"/>
        <v>0</v>
      </c>
      <c r="DR46" s="144">
        <f t="shared" si="87"/>
        <v>0</v>
      </c>
    </row>
    <row r="47" spans="1:122">
      <c r="A47" s="142" t="s">
        <v>333</v>
      </c>
      <c r="C47" s="144">
        <f t="shared" ref="C47:AH47" si="88">IF($C17&lt;&gt;"Yes",0,IF(AND(C$3&gt;=$B17,C$3&lt;=EOMONTH($B17,119)),INDEX($C$6:$DR$6,1,12*(YEAR(C$3)-YEAR($B17))+MONTH(C$3)-MONTH($B17)+1),0))</f>
        <v>0</v>
      </c>
      <c r="D47" s="144">
        <f t="shared" si="88"/>
        <v>0</v>
      </c>
      <c r="E47" s="144">
        <f t="shared" si="88"/>
        <v>0</v>
      </c>
      <c r="F47" s="144">
        <f t="shared" si="88"/>
        <v>0</v>
      </c>
      <c r="G47" s="144">
        <f t="shared" si="88"/>
        <v>0</v>
      </c>
      <c r="H47" s="144">
        <f t="shared" si="88"/>
        <v>0</v>
      </c>
      <c r="I47" s="144">
        <f t="shared" si="88"/>
        <v>0</v>
      </c>
      <c r="J47" s="144">
        <f t="shared" si="88"/>
        <v>0</v>
      </c>
      <c r="K47" s="144">
        <f t="shared" si="88"/>
        <v>0</v>
      </c>
      <c r="L47" s="144">
        <f t="shared" si="88"/>
        <v>0</v>
      </c>
      <c r="M47" s="144">
        <f t="shared" si="88"/>
        <v>0</v>
      </c>
      <c r="N47" s="144">
        <f t="shared" si="88"/>
        <v>0</v>
      </c>
      <c r="O47" s="144">
        <f t="shared" si="88"/>
        <v>0</v>
      </c>
      <c r="P47" s="144">
        <f t="shared" si="88"/>
        <v>0</v>
      </c>
      <c r="Q47" s="144">
        <f t="shared" si="88"/>
        <v>0</v>
      </c>
      <c r="R47" s="144">
        <f t="shared" si="88"/>
        <v>0</v>
      </c>
      <c r="S47" s="144">
        <f t="shared" si="88"/>
        <v>0</v>
      </c>
      <c r="T47" s="144">
        <f t="shared" si="88"/>
        <v>0</v>
      </c>
      <c r="U47" s="144">
        <f t="shared" si="88"/>
        <v>0</v>
      </c>
      <c r="V47" s="144">
        <f t="shared" si="88"/>
        <v>0</v>
      </c>
      <c r="W47" s="144">
        <f t="shared" si="88"/>
        <v>0</v>
      </c>
      <c r="X47" s="144">
        <f t="shared" si="88"/>
        <v>0</v>
      </c>
      <c r="Y47" s="144">
        <f t="shared" si="88"/>
        <v>0</v>
      </c>
      <c r="Z47" s="144">
        <f t="shared" si="88"/>
        <v>0</v>
      </c>
      <c r="AA47" s="144">
        <f t="shared" si="88"/>
        <v>0</v>
      </c>
      <c r="AB47" s="144">
        <f t="shared" si="88"/>
        <v>0</v>
      </c>
      <c r="AC47" s="144">
        <f t="shared" si="88"/>
        <v>0</v>
      </c>
      <c r="AD47" s="144">
        <f t="shared" si="88"/>
        <v>0</v>
      </c>
      <c r="AE47" s="144">
        <f t="shared" si="88"/>
        <v>0</v>
      </c>
      <c r="AF47" s="144">
        <f t="shared" si="88"/>
        <v>0</v>
      </c>
      <c r="AG47" s="144">
        <f t="shared" si="88"/>
        <v>0</v>
      </c>
      <c r="AH47" s="144">
        <f t="shared" si="88"/>
        <v>0</v>
      </c>
      <c r="AI47" s="144">
        <f t="shared" ref="AI47:BN47" si="89">IF($C17&lt;&gt;"Yes",0,IF(AND(AI$3&gt;=$B17,AI$3&lt;=EOMONTH($B17,119)),INDEX($C$6:$DR$6,1,12*(YEAR(AI$3)-YEAR($B17))+MONTH(AI$3)-MONTH($B17)+1),0))</f>
        <v>0</v>
      </c>
      <c r="AJ47" s="144">
        <f t="shared" si="89"/>
        <v>0</v>
      </c>
      <c r="AK47" s="144">
        <f t="shared" si="89"/>
        <v>0</v>
      </c>
      <c r="AL47" s="144">
        <f t="shared" si="89"/>
        <v>0</v>
      </c>
      <c r="AM47" s="144">
        <f t="shared" si="89"/>
        <v>0</v>
      </c>
      <c r="AN47" s="144">
        <f t="shared" si="89"/>
        <v>0</v>
      </c>
      <c r="AO47" s="144">
        <f t="shared" si="89"/>
        <v>0</v>
      </c>
      <c r="AP47" s="144">
        <f t="shared" si="89"/>
        <v>0</v>
      </c>
      <c r="AQ47" s="144">
        <f t="shared" si="89"/>
        <v>0</v>
      </c>
      <c r="AR47" s="144">
        <f t="shared" si="89"/>
        <v>0</v>
      </c>
      <c r="AS47" s="144">
        <f t="shared" si="89"/>
        <v>0</v>
      </c>
      <c r="AT47" s="144">
        <f t="shared" si="89"/>
        <v>0</v>
      </c>
      <c r="AU47" s="144">
        <f t="shared" si="89"/>
        <v>0</v>
      </c>
      <c r="AV47" s="144">
        <f t="shared" si="89"/>
        <v>0</v>
      </c>
      <c r="AW47" s="144">
        <f t="shared" si="89"/>
        <v>0</v>
      </c>
      <c r="AX47" s="144">
        <f t="shared" si="89"/>
        <v>0</v>
      </c>
      <c r="AY47" s="144">
        <f t="shared" si="89"/>
        <v>0</v>
      </c>
      <c r="AZ47" s="144">
        <f t="shared" si="89"/>
        <v>0</v>
      </c>
      <c r="BA47" s="144">
        <f t="shared" si="89"/>
        <v>0</v>
      </c>
      <c r="BB47" s="144">
        <f t="shared" si="89"/>
        <v>0</v>
      </c>
      <c r="BC47" s="144">
        <f t="shared" si="89"/>
        <v>0</v>
      </c>
      <c r="BD47" s="144">
        <f t="shared" si="89"/>
        <v>0</v>
      </c>
      <c r="BE47" s="144">
        <f t="shared" si="89"/>
        <v>0</v>
      </c>
      <c r="BF47" s="144">
        <f t="shared" si="89"/>
        <v>0</v>
      </c>
      <c r="BG47" s="144">
        <f t="shared" si="89"/>
        <v>0</v>
      </c>
      <c r="BH47" s="144">
        <f t="shared" si="89"/>
        <v>0</v>
      </c>
      <c r="BI47" s="144">
        <f t="shared" si="89"/>
        <v>0</v>
      </c>
      <c r="BJ47" s="144">
        <f t="shared" si="89"/>
        <v>0</v>
      </c>
      <c r="BK47" s="144">
        <f t="shared" si="89"/>
        <v>0</v>
      </c>
      <c r="BL47" s="144">
        <f t="shared" si="89"/>
        <v>0</v>
      </c>
      <c r="BM47" s="144">
        <f t="shared" si="89"/>
        <v>0</v>
      </c>
      <c r="BN47" s="144">
        <f t="shared" si="89"/>
        <v>0</v>
      </c>
      <c r="BO47" s="144">
        <f t="shared" ref="BO47:CT47" si="90">IF($C17&lt;&gt;"Yes",0,IF(AND(BO$3&gt;=$B17,BO$3&lt;=EOMONTH($B17,119)),INDEX($C$6:$DR$6,1,12*(YEAR(BO$3)-YEAR($B17))+MONTH(BO$3)-MONTH($B17)+1),0))</f>
        <v>0</v>
      </c>
      <c r="BP47" s="144">
        <f t="shared" si="90"/>
        <v>0</v>
      </c>
      <c r="BQ47" s="144">
        <f t="shared" si="90"/>
        <v>0</v>
      </c>
      <c r="BR47" s="144">
        <f t="shared" si="90"/>
        <v>0</v>
      </c>
      <c r="BS47" s="144">
        <f t="shared" si="90"/>
        <v>0</v>
      </c>
      <c r="BT47" s="144">
        <f t="shared" si="90"/>
        <v>0</v>
      </c>
      <c r="BU47" s="144">
        <f t="shared" si="90"/>
        <v>0</v>
      </c>
      <c r="BV47" s="144">
        <f t="shared" si="90"/>
        <v>0</v>
      </c>
      <c r="BW47" s="144">
        <f t="shared" si="90"/>
        <v>0</v>
      </c>
      <c r="BX47" s="144">
        <f t="shared" si="90"/>
        <v>0</v>
      </c>
      <c r="BY47" s="144">
        <f t="shared" si="90"/>
        <v>0</v>
      </c>
      <c r="BZ47" s="144">
        <f t="shared" si="90"/>
        <v>0</v>
      </c>
      <c r="CA47" s="144">
        <f t="shared" si="90"/>
        <v>0</v>
      </c>
      <c r="CB47" s="144">
        <f t="shared" si="90"/>
        <v>0</v>
      </c>
      <c r="CC47" s="144">
        <f t="shared" si="90"/>
        <v>0</v>
      </c>
      <c r="CD47" s="144">
        <f t="shared" si="90"/>
        <v>0</v>
      </c>
      <c r="CE47" s="144">
        <f t="shared" si="90"/>
        <v>0</v>
      </c>
      <c r="CF47" s="144">
        <f t="shared" si="90"/>
        <v>0</v>
      </c>
      <c r="CG47" s="144">
        <f t="shared" si="90"/>
        <v>0</v>
      </c>
      <c r="CH47" s="144">
        <f t="shared" si="90"/>
        <v>0</v>
      </c>
      <c r="CI47" s="144">
        <f t="shared" si="90"/>
        <v>0</v>
      </c>
      <c r="CJ47" s="144">
        <f t="shared" si="90"/>
        <v>0</v>
      </c>
      <c r="CK47" s="144">
        <f t="shared" si="90"/>
        <v>0</v>
      </c>
      <c r="CL47" s="144">
        <f t="shared" si="90"/>
        <v>0</v>
      </c>
      <c r="CM47" s="144">
        <f t="shared" si="90"/>
        <v>0</v>
      </c>
      <c r="CN47" s="144">
        <f t="shared" si="90"/>
        <v>0</v>
      </c>
      <c r="CO47" s="144">
        <f t="shared" si="90"/>
        <v>0</v>
      </c>
      <c r="CP47" s="144">
        <f t="shared" si="90"/>
        <v>0</v>
      </c>
      <c r="CQ47" s="144">
        <f t="shared" si="90"/>
        <v>0</v>
      </c>
      <c r="CR47" s="144">
        <f t="shared" si="90"/>
        <v>0</v>
      </c>
      <c r="CS47" s="144">
        <f t="shared" si="90"/>
        <v>0</v>
      </c>
      <c r="CT47" s="144">
        <f t="shared" si="90"/>
        <v>0</v>
      </c>
      <c r="CU47" s="144">
        <f t="shared" ref="CU47:DR47" si="91">IF($C17&lt;&gt;"Yes",0,IF(AND(CU$3&gt;=$B17,CU$3&lt;=EOMONTH($B17,119)),INDEX($C$6:$DR$6,1,12*(YEAR(CU$3)-YEAR($B17))+MONTH(CU$3)-MONTH($B17)+1),0))</f>
        <v>0</v>
      </c>
      <c r="CV47" s="144">
        <f t="shared" si="91"/>
        <v>0</v>
      </c>
      <c r="CW47" s="144">
        <f t="shared" si="91"/>
        <v>0</v>
      </c>
      <c r="CX47" s="144">
        <f t="shared" si="91"/>
        <v>0</v>
      </c>
      <c r="CY47" s="144">
        <f t="shared" si="91"/>
        <v>0</v>
      </c>
      <c r="CZ47" s="144">
        <f t="shared" si="91"/>
        <v>0</v>
      </c>
      <c r="DA47" s="144">
        <f t="shared" si="91"/>
        <v>0</v>
      </c>
      <c r="DB47" s="144">
        <f t="shared" si="91"/>
        <v>0</v>
      </c>
      <c r="DC47" s="144">
        <f t="shared" si="91"/>
        <v>0</v>
      </c>
      <c r="DD47" s="144">
        <f t="shared" si="91"/>
        <v>0</v>
      </c>
      <c r="DE47" s="144">
        <f t="shared" si="91"/>
        <v>0</v>
      </c>
      <c r="DF47" s="144">
        <f t="shared" si="91"/>
        <v>0</v>
      </c>
      <c r="DG47" s="144">
        <f t="shared" si="91"/>
        <v>0</v>
      </c>
      <c r="DH47" s="144">
        <f t="shared" si="91"/>
        <v>0</v>
      </c>
      <c r="DI47" s="144">
        <f t="shared" si="91"/>
        <v>0</v>
      </c>
      <c r="DJ47" s="144">
        <f t="shared" si="91"/>
        <v>0</v>
      </c>
      <c r="DK47" s="144">
        <f t="shared" si="91"/>
        <v>0</v>
      </c>
      <c r="DL47" s="144">
        <f t="shared" si="91"/>
        <v>0</v>
      </c>
      <c r="DM47" s="144">
        <f t="shared" si="91"/>
        <v>0</v>
      </c>
      <c r="DN47" s="144">
        <f t="shared" si="91"/>
        <v>0</v>
      </c>
      <c r="DO47" s="144">
        <f t="shared" si="91"/>
        <v>0</v>
      </c>
      <c r="DP47" s="144">
        <f t="shared" si="91"/>
        <v>0</v>
      </c>
      <c r="DQ47" s="144">
        <f t="shared" si="91"/>
        <v>0</v>
      </c>
      <c r="DR47" s="144">
        <f t="shared" si="91"/>
        <v>0</v>
      </c>
    </row>
    <row r="48" spans="1:122">
      <c r="A48" s="142" t="s">
        <v>334</v>
      </c>
      <c r="C48" s="144">
        <f t="shared" ref="C48:AH48" si="92">IF($C17&lt;&gt;"Yes",0,IF(AND(C$3&gt;=$B17,C$3&lt;=EOMONTH($B17,119)),INDEX($C$7:$DR$7,1,12*(YEAR(C$3)-YEAR($B17))+MONTH(C$3)-MONTH($B17)+1),0))</f>
        <v>0</v>
      </c>
      <c r="D48" s="144">
        <f t="shared" si="92"/>
        <v>0</v>
      </c>
      <c r="E48" s="144">
        <f t="shared" si="92"/>
        <v>0</v>
      </c>
      <c r="F48" s="144">
        <f t="shared" si="92"/>
        <v>0</v>
      </c>
      <c r="G48" s="144">
        <f t="shared" si="92"/>
        <v>0</v>
      </c>
      <c r="H48" s="144">
        <f t="shared" si="92"/>
        <v>0</v>
      </c>
      <c r="I48" s="144">
        <f t="shared" si="92"/>
        <v>0</v>
      </c>
      <c r="J48" s="144">
        <f t="shared" si="92"/>
        <v>0</v>
      </c>
      <c r="K48" s="144">
        <f t="shared" si="92"/>
        <v>0</v>
      </c>
      <c r="L48" s="144">
        <f t="shared" si="92"/>
        <v>0</v>
      </c>
      <c r="M48" s="144">
        <f t="shared" si="92"/>
        <v>0</v>
      </c>
      <c r="N48" s="144">
        <f t="shared" si="92"/>
        <v>0</v>
      </c>
      <c r="O48" s="144">
        <f t="shared" si="92"/>
        <v>0</v>
      </c>
      <c r="P48" s="144">
        <f t="shared" si="92"/>
        <v>0</v>
      </c>
      <c r="Q48" s="144">
        <f t="shared" si="92"/>
        <v>0</v>
      </c>
      <c r="R48" s="144">
        <f t="shared" si="92"/>
        <v>0</v>
      </c>
      <c r="S48" s="144">
        <f t="shared" si="92"/>
        <v>0</v>
      </c>
      <c r="T48" s="144">
        <f t="shared" si="92"/>
        <v>0</v>
      </c>
      <c r="U48" s="144">
        <f t="shared" si="92"/>
        <v>0</v>
      </c>
      <c r="V48" s="144">
        <f t="shared" si="92"/>
        <v>0</v>
      </c>
      <c r="W48" s="144">
        <f t="shared" si="92"/>
        <v>0</v>
      </c>
      <c r="X48" s="144">
        <f t="shared" si="92"/>
        <v>0</v>
      </c>
      <c r="Y48" s="144">
        <f t="shared" si="92"/>
        <v>0</v>
      </c>
      <c r="Z48" s="144">
        <f t="shared" si="92"/>
        <v>0</v>
      </c>
      <c r="AA48" s="144">
        <f t="shared" si="92"/>
        <v>0</v>
      </c>
      <c r="AB48" s="144">
        <f t="shared" si="92"/>
        <v>0</v>
      </c>
      <c r="AC48" s="144">
        <f t="shared" si="92"/>
        <v>0</v>
      </c>
      <c r="AD48" s="144">
        <f t="shared" si="92"/>
        <v>0</v>
      </c>
      <c r="AE48" s="144">
        <f t="shared" si="92"/>
        <v>0</v>
      </c>
      <c r="AF48" s="144">
        <f t="shared" si="92"/>
        <v>0</v>
      </c>
      <c r="AG48" s="144">
        <f t="shared" si="92"/>
        <v>0</v>
      </c>
      <c r="AH48" s="144">
        <f t="shared" si="92"/>
        <v>0</v>
      </c>
      <c r="AI48" s="144">
        <f t="shared" ref="AI48:BN48" si="93">IF($C17&lt;&gt;"Yes",0,IF(AND(AI$3&gt;=$B17,AI$3&lt;=EOMONTH($B17,119)),INDEX($C$7:$DR$7,1,12*(YEAR(AI$3)-YEAR($B17))+MONTH(AI$3)-MONTH($B17)+1),0))</f>
        <v>0</v>
      </c>
      <c r="AJ48" s="144">
        <f t="shared" si="93"/>
        <v>0</v>
      </c>
      <c r="AK48" s="144">
        <f t="shared" si="93"/>
        <v>0</v>
      </c>
      <c r="AL48" s="144">
        <f t="shared" si="93"/>
        <v>0</v>
      </c>
      <c r="AM48" s="144">
        <f t="shared" si="93"/>
        <v>0</v>
      </c>
      <c r="AN48" s="144">
        <f t="shared" si="93"/>
        <v>0</v>
      </c>
      <c r="AO48" s="144">
        <f t="shared" si="93"/>
        <v>0</v>
      </c>
      <c r="AP48" s="144">
        <f t="shared" si="93"/>
        <v>0</v>
      </c>
      <c r="AQ48" s="144">
        <f t="shared" si="93"/>
        <v>0</v>
      </c>
      <c r="AR48" s="144">
        <f t="shared" si="93"/>
        <v>0</v>
      </c>
      <c r="AS48" s="144">
        <f t="shared" si="93"/>
        <v>0</v>
      </c>
      <c r="AT48" s="144">
        <f t="shared" si="93"/>
        <v>0</v>
      </c>
      <c r="AU48" s="144">
        <f t="shared" si="93"/>
        <v>0</v>
      </c>
      <c r="AV48" s="144">
        <f t="shared" si="93"/>
        <v>0</v>
      </c>
      <c r="AW48" s="144">
        <f t="shared" si="93"/>
        <v>0</v>
      </c>
      <c r="AX48" s="144">
        <f t="shared" si="93"/>
        <v>0</v>
      </c>
      <c r="AY48" s="144">
        <f t="shared" si="93"/>
        <v>0</v>
      </c>
      <c r="AZ48" s="144">
        <f t="shared" si="93"/>
        <v>0</v>
      </c>
      <c r="BA48" s="144">
        <f t="shared" si="93"/>
        <v>0</v>
      </c>
      <c r="BB48" s="144">
        <f t="shared" si="93"/>
        <v>0</v>
      </c>
      <c r="BC48" s="144">
        <f t="shared" si="93"/>
        <v>0</v>
      </c>
      <c r="BD48" s="144">
        <f t="shared" si="93"/>
        <v>0</v>
      </c>
      <c r="BE48" s="144">
        <f t="shared" si="93"/>
        <v>0</v>
      </c>
      <c r="BF48" s="144">
        <f t="shared" si="93"/>
        <v>0</v>
      </c>
      <c r="BG48" s="144">
        <f t="shared" si="93"/>
        <v>0</v>
      </c>
      <c r="BH48" s="144">
        <f t="shared" si="93"/>
        <v>0</v>
      </c>
      <c r="BI48" s="144">
        <f t="shared" si="93"/>
        <v>0</v>
      </c>
      <c r="BJ48" s="144">
        <f t="shared" si="93"/>
        <v>0</v>
      </c>
      <c r="BK48" s="144">
        <f t="shared" si="93"/>
        <v>0</v>
      </c>
      <c r="BL48" s="144">
        <f t="shared" si="93"/>
        <v>0</v>
      </c>
      <c r="BM48" s="144">
        <f t="shared" si="93"/>
        <v>0</v>
      </c>
      <c r="BN48" s="144">
        <f t="shared" si="93"/>
        <v>0</v>
      </c>
      <c r="BO48" s="144">
        <f t="shared" ref="BO48:CT48" si="94">IF($C17&lt;&gt;"Yes",0,IF(AND(BO$3&gt;=$B17,BO$3&lt;=EOMONTH($B17,119)),INDEX($C$7:$DR$7,1,12*(YEAR(BO$3)-YEAR($B17))+MONTH(BO$3)-MONTH($B17)+1),0))</f>
        <v>0</v>
      </c>
      <c r="BP48" s="144">
        <f t="shared" si="94"/>
        <v>0</v>
      </c>
      <c r="BQ48" s="144">
        <f t="shared" si="94"/>
        <v>0</v>
      </c>
      <c r="BR48" s="144">
        <f t="shared" si="94"/>
        <v>0</v>
      </c>
      <c r="BS48" s="144">
        <f t="shared" si="94"/>
        <v>0</v>
      </c>
      <c r="BT48" s="144">
        <f t="shared" si="94"/>
        <v>0</v>
      </c>
      <c r="BU48" s="144">
        <f t="shared" si="94"/>
        <v>0</v>
      </c>
      <c r="BV48" s="144">
        <f t="shared" si="94"/>
        <v>0</v>
      </c>
      <c r="BW48" s="144">
        <f t="shared" si="94"/>
        <v>0</v>
      </c>
      <c r="BX48" s="144">
        <f t="shared" si="94"/>
        <v>0</v>
      </c>
      <c r="BY48" s="144">
        <f t="shared" si="94"/>
        <v>0</v>
      </c>
      <c r="BZ48" s="144">
        <f t="shared" si="94"/>
        <v>0</v>
      </c>
      <c r="CA48" s="144">
        <f t="shared" si="94"/>
        <v>0</v>
      </c>
      <c r="CB48" s="144">
        <f t="shared" si="94"/>
        <v>0</v>
      </c>
      <c r="CC48" s="144">
        <f t="shared" si="94"/>
        <v>0</v>
      </c>
      <c r="CD48" s="144">
        <f t="shared" si="94"/>
        <v>0</v>
      </c>
      <c r="CE48" s="144">
        <f t="shared" si="94"/>
        <v>0</v>
      </c>
      <c r="CF48" s="144">
        <f t="shared" si="94"/>
        <v>0</v>
      </c>
      <c r="CG48" s="144">
        <f t="shared" si="94"/>
        <v>0</v>
      </c>
      <c r="CH48" s="144">
        <f t="shared" si="94"/>
        <v>0</v>
      </c>
      <c r="CI48" s="144">
        <f t="shared" si="94"/>
        <v>0</v>
      </c>
      <c r="CJ48" s="144">
        <f t="shared" si="94"/>
        <v>0</v>
      </c>
      <c r="CK48" s="144">
        <f t="shared" si="94"/>
        <v>0</v>
      </c>
      <c r="CL48" s="144">
        <f t="shared" si="94"/>
        <v>0</v>
      </c>
      <c r="CM48" s="144">
        <f t="shared" si="94"/>
        <v>0</v>
      </c>
      <c r="CN48" s="144">
        <f t="shared" si="94"/>
        <v>0</v>
      </c>
      <c r="CO48" s="144">
        <f t="shared" si="94"/>
        <v>0</v>
      </c>
      <c r="CP48" s="144">
        <f t="shared" si="94"/>
        <v>0</v>
      </c>
      <c r="CQ48" s="144">
        <f t="shared" si="94"/>
        <v>0</v>
      </c>
      <c r="CR48" s="144">
        <f t="shared" si="94"/>
        <v>0</v>
      </c>
      <c r="CS48" s="144">
        <f t="shared" si="94"/>
        <v>0</v>
      </c>
      <c r="CT48" s="144">
        <f t="shared" si="94"/>
        <v>0</v>
      </c>
      <c r="CU48" s="144">
        <f t="shared" ref="CU48:DR48" si="95">IF($C17&lt;&gt;"Yes",0,IF(AND(CU$3&gt;=$B17,CU$3&lt;=EOMONTH($B17,119)),INDEX($C$7:$DR$7,1,12*(YEAR(CU$3)-YEAR($B17))+MONTH(CU$3)-MONTH($B17)+1),0))</f>
        <v>0</v>
      </c>
      <c r="CV48" s="144">
        <f t="shared" si="95"/>
        <v>0</v>
      </c>
      <c r="CW48" s="144">
        <f t="shared" si="95"/>
        <v>0</v>
      </c>
      <c r="CX48" s="144">
        <f t="shared" si="95"/>
        <v>0</v>
      </c>
      <c r="CY48" s="144">
        <f t="shared" si="95"/>
        <v>0</v>
      </c>
      <c r="CZ48" s="144">
        <f t="shared" si="95"/>
        <v>0</v>
      </c>
      <c r="DA48" s="144">
        <f t="shared" si="95"/>
        <v>0</v>
      </c>
      <c r="DB48" s="144">
        <f t="shared" si="95"/>
        <v>0</v>
      </c>
      <c r="DC48" s="144">
        <f t="shared" si="95"/>
        <v>0</v>
      </c>
      <c r="DD48" s="144">
        <f t="shared" si="95"/>
        <v>0</v>
      </c>
      <c r="DE48" s="144">
        <f t="shared" si="95"/>
        <v>0</v>
      </c>
      <c r="DF48" s="144">
        <f t="shared" si="95"/>
        <v>0</v>
      </c>
      <c r="DG48" s="144">
        <f t="shared" si="95"/>
        <v>0</v>
      </c>
      <c r="DH48" s="144">
        <f t="shared" si="95"/>
        <v>0</v>
      </c>
      <c r="DI48" s="144">
        <f t="shared" si="95"/>
        <v>0</v>
      </c>
      <c r="DJ48" s="144">
        <f t="shared" si="95"/>
        <v>0</v>
      </c>
      <c r="DK48" s="144">
        <f t="shared" si="95"/>
        <v>0</v>
      </c>
      <c r="DL48" s="144">
        <f t="shared" si="95"/>
        <v>0</v>
      </c>
      <c r="DM48" s="144">
        <f t="shared" si="95"/>
        <v>0</v>
      </c>
      <c r="DN48" s="144">
        <f t="shared" si="95"/>
        <v>0</v>
      </c>
      <c r="DO48" s="144">
        <f t="shared" si="95"/>
        <v>0</v>
      </c>
      <c r="DP48" s="144">
        <f t="shared" si="95"/>
        <v>0</v>
      </c>
      <c r="DQ48" s="144">
        <f t="shared" si="95"/>
        <v>0</v>
      </c>
      <c r="DR48" s="144">
        <f t="shared" si="95"/>
        <v>0</v>
      </c>
    </row>
    <row r="49" spans="1:122">
      <c r="A49" s="142" t="s">
        <v>335</v>
      </c>
      <c r="C49" s="144">
        <f t="shared" ref="C49:AH49" si="96">IF($C18&lt;&gt;"Yes",0,IF(AND(C$3&gt;=$B18,C$3&lt;=EOMONTH($B18,119)),INDEX($C$5:$DR$5,1,12*(YEAR(C$3)-YEAR($B18))+MONTH(C$3)-MONTH($B18)+1),0))</f>
        <v>0</v>
      </c>
      <c r="D49" s="144">
        <f t="shared" si="96"/>
        <v>0</v>
      </c>
      <c r="E49" s="144">
        <f t="shared" si="96"/>
        <v>0</v>
      </c>
      <c r="F49" s="144">
        <f t="shared" si="96"/>
        <v>0</v>
      </c>
      <c r="G49" s="144">
        <f t="shared" si="96"/>
        <v>0</v>
      </c>
      <c r="H49" s="144">
        <f t="shared" si="96"/>
        <v>0</v>
      </c>
      <c r="I49" s="144">
        <f t="shared" si="96"/>
        <v>0</v>
      </c>
      <c r="J49" s="144">
        <f t="shared" si="96"/>
        <v>0</v>
      </c>
      <c r="K49" s="144">
        <f t="shared" si="96"/>
        <v>0</v>
      </c>
      <c r="L49" s="144">
        <f t="shared" si="96"/>
        <v>0</v>
      </c>
      <c r="M49" s="144">
        <f t="shared" si="96"/>
        <v>0</v>
      </c>
      <c r="N49" s="144">
        <f t="shared" si="96"/>
        <v>0</v>
      </c>
      <c r="O49" s="144">
        <f t="shared" si="96"/>
        <v>0</v>
      </c>
      <c r="P49" s="144">
        <f t="shared" si="96"/>
        <v>0</v>
      </c>
      <c r="Q49" s="144">
        <f t="shared" si="96"/>
        <v>0</v>
      </c>
      <c r="R49" s="144">
        <f t="shared" si="96"/>
        <v>0</v>
      </c>
      <c r="S49" s="144">
        <f t="shared" si="96"/>
        <v>0</v>
      </c>
      <c r="T49" s="144">
        <f t="shared" si="96"/>
        <v>0</v>
      </c>
      <c r="U49" s="144">
        <f t="shared" si="96"/>
        <v>0</v>
      </c>
      <c r="V49" s="144">
        <f t="shared" si="96"/>
        <v>0</v>
      </c>
      <c r="W49" s="144">
        <f t="shared" si="96"/>
        <v>0</v>
      </c>
      <c r="X49" s="144">
        <f t="shared" si="96"/>
        <v>0</v>
      </c>
      <c r="Y49" s="144">
        <f t="shared" si="96"/>
        <v>0</v>
      </c>
      <c r="Z49" s="144">
        <f t="shared" si="96"/>
        <v>0</v>
      </c>
      <c r="AA49" s="144">
        <f t="shared" si="96"/>
        <v>0</v>
      </c>
      <c r="AB49" s="144">
        <f t="shared" si="96"/>
        <v>0</v>
      </c>
      <c r="AC49" s="144">
        <f t="shared" si="96"/>
        <v>0</v>
      </c>
      <c r="AD49" s="144">
        <f t="shared" si="96"/>
        <v>0</v>
      </c>
      <c r="AE49" s="144">
        <f t="shared" si="96"/>
        <v>0</v>
      </c>
      <c r="AF49" s="144">
        <f t="shared" si="96"/>
        <v>0</v>
      </c>
      <c r="AG49" s="144">
        <f t="shared" si="96"/>
        <v>0</v>
      </c>
      <c r="AH49" s="144">
        <f t="shared" si="96"/>
        <v>0</v>
      </c>
      <c r="AI49" s="144">
        <f t="shared" ref="AI49:BN49" si="97">IF($C18&lt;&gt;"Yes",0,IF(AND(AI$3&gt;=$B18,AI$3&lt;=EOMONTH($B18,119)),INDEX($C$5:$DR$5,1,12*(YEAR(AI$3)-YEAR($B18))+MONTH(AI$3)-MONTH($B18)+1),0))</f>
        <v>0</v>
      </c>
      <c r="AJ49" s="144">
        <f t="shared" si="97"/>
        <v>0</v>
      </c>
      <c r="AK49" s="144">
        <f t="shared" si="97"/>
        <v>0</v>
      </c>
      <c r="AL49" s="144">
        <f t="shared" si="97"/>
        <v>0</v>
      </c>
      <c r="AM49" s="144">
        <f t="shared" si="97"/>
        <v>0</v>
      </c>
      <c r="AN49" s="144">
        <f t="shared" si="97"/>
        <v>0</v>
      </c>
      <c r="AO49" s="144">
        <f t="shared" si="97"/>
        <v>0</v>
      </c>
      <c r="AP49" s="144">
        <f t="shared" si="97"/>
        <v>0</v>
      </c>
      <c r="AQ49" s="144">
        <f t="shared" si="97"/>
        <v>0</v>
      </c>
      <c r="AR49" s="144">
        <f t="shared" si="97"/>
        <v>0</v>
      </c>
      <c r="AS49" s="144">
        <f t="shared" si="97"/>
        <v>0</v>
      </c>
      <c r="AT49" s="144">
        <f t="shared" si="97"/>
        <v>0</v>
      </c>
      <c r="AU49" s="144">
        <f t="shared" si="97"/>
        <v>0</v>
      </c>
      <c r="AV49" s="144">
        <f t="shared" si="97"/>
        <v>0</v>
      </c>
      <c r="AW49" s="144">
        <f t="shared" si="97"/>
        <v>0</v>
      </c>
      <c r="AX49" s="144">
        <f t="shared" si="97"/>
        <v>0</v>
      </c>
      <c r="AY49" s="144">
        <f t="shared" si="97"/>
        <v>-7959375</v>
      </c>
      <c r="AZ49" s="144">
        <f t="shared" si="97"/>
        <v>0</v>
      </c>
      <c r="BA49" s="144">
        <f t="shared" si="97"/>
        <v>0</v>
      </c>
      <c r="BB49" s="144">
        <f t="shared" si="97"/>
        <v>-6583997.0703125</v>
      </c>
      <c r="BC49" s="144">
        <f t="shared" si="97"/>
        <v>-6583997.0703125</v>
      </c>
      <c r="BD49" s="144">
        <f t="shared" si="97"/>
        <v>-6583997.0703125</v>
      </c>
      <c r="BE49" s="144">
        <f t="shared" si="97"/>
        <v>-6583997.0703125</v>
      </c>
      <c r="BF49" s="144">
        <f t="shared" si="97"/>
        <v>-6583997.0703125</v>
      </c>
      <c r="BG49" s="144">
        <f t="shared" si="97"/>
        <v>-6583997.0703125</v>
      </c>
      <c r="BH49" s="144">
        <f t="shared" si="97"/>
        <v>-6583997.0703125</v>
      </c>
      <c r="BI49" s="144">
        <f t="shared" si="97"/>
        <v>-6583997.0703125</v>
      </c>
      <c r="BJ49" s="144">
        <f t="shared" si="97"/>
        <v>-6583997.0703125</v>
      </c>
      <c r="BK49" s="144">
        <f t="shared" si="97"/>
        <v>-6583997.0703125</v>
      </c>
      <c r="BL49" s="144">
        <f t="shared" si="97"/>
        <v>-6583997.0703125</v>
      </c>
      <c r="BM49" s="144">
        <f t="shared" si="97"/>
        <v>-6583997.0703125</v>
      </c>
      <c r="BN49" s="144">
        <f t="shared" si="97"/>
        <v>-6583997.0703125</v>
      </c>
      <c r="BO49" s="144">
        <f t="shared" ref="BO49:CT49" si="98">IF($C18&lt;&gt;"Yes",0,IF(AND(BO$3&gt;=$B18,BO$3&lt;=EOMONTH($B18,119)),INDEX($C$5:$DR$5,1,12*(YEAR(BO$3)-YEAR($B18))+MONTH(BO$3)-MONTH($B18)+1),0))</f>
        <v>-6583997.0703125</v>
      </c>
      <c r="BP49" s="144">
        <f t="shared" si="98"/>
        <v>-6583997.0703125</v>
      </c>
      <c r="BQ49" s="144">
        <f t="shared" si="98"/>
        <v>-6583997.0703125</v>
      </c>
      <c r="BR49" s="144">
        <f t="shared" si="98"/>
        <v>-6583997.0703125</v>
      </c>
      <c r="BS49" s="144">
        <f t="shared" si="98"/>
        <v>-6583997.0703125</v>
      </c>
      <c r="BT49" s="144">
        <f t="shared" si="98"/>
        <v>-4731365.7233449398</v>
      </c>
      <c r="BU49" s="144">
        <f t="shared" si="98"/>
        <v>-4731365.7233449398</v>
      </c>
      <c r="BV49" s="144">
        <f t="shared" si="98"/>
        <v>-4731365.7233449398</v>
      </c>
      <c r="BW49" s="144">
        <f t="shared" si="98"/>
        <v>-4731365.7233449398</v>
      </c>
      <c r="BX49" s="144">
        <f t="shared" si="98"/>
        <v>-4731365.7233449398</v>
      </c>
      <c r="BY49" s="144">
        <f t="shared" si="98"/>
        <v>-4731365.7233449398</v>
      </c>
      <c r="BZ49" s="144">
        <f t="shared" si="98"/>
        <v>75340341.443347454</v>
      </c>
      <c r="CA49" s="144">
        <f t="shared" si="98"/>
        <v>12350875.646450398</v>
      </c>
      <c r="CB49" s="144">
        <f t="shared" si="98"/>
        <v>12350875.646450398</v>
      </c>
      <c r="CC49" s="144">
        <f t="shared" si="98"/>
        <v>12350875.646450398</v>
      </c>
      <c r="CD49" s="144">
        <f t="shared" si="98"/>
        <v>12350875.646450398</v>
      </c>
      <c r="CE49" s="144">
        <f t="shared" si="98"/>
        <v>12350875.646450398</v>
      </c>
      <c r="CF49" s="144">
        <f t="shared" si="98"/>
        <v>12350875.646450398</v>
      </c>
      <c r="CG49" s="144">
        <f t="shared" si="98"/>
        <v>12350875.646450398</v>
      </c>
      <c r="CH49" s="144">
        <f t="shared" si="98"/>
        <v>12350875.646450398</v>
      </c>
      <c r="CI49" s="144">
        <f t="shared" si="98"/>
        <v>12350875.646450398</v>
      </c>
      <c r="CJ49" s="144">
        <f t="shared" si="98"/>
        <v>12350875.646450398</v>
      </c>
      <c r="CK49" s="144">
        <f t="shared" si="98"/>
        <v>12350875.646450398</v>
      </c>
      <c r="CL49" s="144">
        <f t="shared" si="98"/>
        <v>0</v>
      </c>
      <c r="CM49" s="144">
        <f t="shared" si="98"/>
        <v>0</v>
      </c>
      <c r="CN49" s="144">
        <f t="shared" si="98"/>
        <v>0</v>
      </c>
      <c r="CO49" s="144">
        <f t="shared" si="98"/>
        <v>0</v>
      </c>
      <c r="CP49" s="144">
        <f t="shared" si="98"/>
        <v>0</v>
      </c>
      <c r="CQ49" s="144">
        <f t="shared" si="98"/>
        <v>0</v>
      </c>
      <c r="CR49" s="144">
        <f t="shared" si="98"/>
        <v>0</v>
      </c>
      <c r="CS49" s="144">
        <f t="shared" si="98"/>
        <v>0</v>
      </c>
      <c r="CT49" s="144">
        <f t="shared" si="98"/>
        <v>0</v>
      </c>
      <c r="CU49" s="144">
        <f t="shared" ref="CU49:DR49" si="99">IF($C18&lt;&gt;"Yes",0,IF(AND(CU$3&gt;=$B18,CU$3&lt;=EOMONTH($B18,119)),INDEX($C$5:$DR$5,1,12*(YEAR(CU$3)-YEAR($B18))+MONTH(CU$3)-MONTH($B18)+1),0))</f>
        <v>0</v>
      </c>
      <c r="CV49" s="144">
        <f t="shared" si="99"/>
        <v>0</v>
      </c>
      <c r="CW49" s="144">
        <f t="shared" si="99"/>
        <v>0</v>
      </c>
      <c r="CX49" s="144">
        <f t="shared" si="99"/>
        <v>0</v>
      </c>
      <c r="CY49" s="144">
        <f t="shared" si="99"/>
        <v>0</v>
      </c>
      <c r="CZ49" s="144">
        <f t="shared" si="99"/>
        <v>0</v>
      </c>
      <c r="DA49" s="144">
        <f t="shared" si="99"/>
        <v>0</v>
      </c>
      <c r="DB49" s="144">
        <f t="shared" si="99"/>
        <v>0</v>
      </c>
      <c r="DC49" s="144">
        <f t="shared" si="99"/>
        <v>0</v>
      </c>
      <c r="DD49" s="144">
        <f t="shared" si="99"/>
        <v>0</v>
      </c>
      <c r="DE49" s="144">
        <f t="shared" si="99"/>
        <v>0</v>
      </c>
      <c r="DF49" s="144">
        <f t="shared" si="99"/>
        <v>0</v>
      </c>
      <c r="DG49" s="144">
        <f t="shared" si="99"/>
        <v>0</v>
      </c>
      <c r="DH49" s="144">
        <f t="shared" si="99"/>
        <v>0</v>
      </c>
      <c r="DI49" s="144">
        <f t="shared" si="99"/>
        <v>0</v>
      </c>
      <c r="DJ49" s="144">
        <f t="shared" si="99"/>
        <v>0</v>
      </c>
      <c r="DK49" s="144">
        <f t="shared" si="99"/>
        <v>0</v>
      </c>
      <c r="DL49" s="144">
        <f t="shared" si="99"/>
        <v>0</v>
      </c>
      <c r="DM49" s="144">
        <f t="shared" si="99"/>
        <v>0</v>
      </c>
      <c r="DN49" s="144">
        <f t="shared" si="99"/>
        <v>0</v>
      </c>
      <c r="DO49" s="144">
        <f t="shared" si="99"/>
        <v>0</v>
      </c>
      <c r="DP49" s="144">
        <f t="shared" si="99"/>
        <v>0</v>
      </c>
      <c r="DQ49" s="144">
        <f t="shared" si="99"/>
        <v>0</v>
      </c>
      <c r="DR49" s="144">
        <f t="shared" si="99"/>
        <v>0</v>
      </c>
    </row>
    <row r="50" spans="1:122">
      <c r="A50" s="142" t="s">
        <v>336</v>
      </c>
      <c r="C50" s="144">
        <f t="shared" ref="C50:AH50" si="100">IF($C18&lt;&gt;"Yes",0,IF(AND(C$3&gt;=$B18,C$3&lt;=EOMONTH($B18,119)),INDEX($C$6:$DR$6,1,12*(YEAR(C$3)-YEAR($B18))+MONTH(C$3)-MONTH($B18)+1),0))</f>
        <v>0</v>
      </c>
      <c r="D50" s="144">
        <f t="shared" si="100"/>
        <v>0</v>
      </c>
      <c r="E50" s="144">
        <f t="shared" si="100"/>
        <v>0</v>
      </c>
      <c r="F50" s="144">
        <f t="shared" si="100"/>
        <v>0</v>
      </c>
      <c r="G50" s="144">
        <f t="shared" si="100"/>
        <v>0</v>
      </c>
      <c r="H50" s="144">
        <f t="shared" si="100"/>
        <v>0</v>
      </c>
      <c r="I50" s="144">
        <f t="shared" si="100"/>
        <v>0</v>
      </c>
      <c r="J50" s="144">
        <f t="shared" si="100"/>
        <v>0</v>
      </c>
      <c r="K50" s="144">
        <f t="shared" si="100"/>
        <v>0</v>
      </c>
      <c r="L50" s="144">
        <f t="shared" si="100"/>
        <v>0</v>
      </c>
      <c r="M50" s="144">
        <f t="shared" si="100"/>
        <v>0</v>
      </c>
      <c r="N50" s="144">
        <f t="shared" si="100"/>
        <v>0</v>
      </c>
      <c r="O50" s="144">
        <f t="shared" si="100"/>
        <v>0</v>
      </c>
      <c r="P50" s="144">
        <f t="shared" si="100"/>
        <v>0</v>
      </c>
      <c r="Q50" s="144">
        <f t="shared" si="100"/>
        <v>0</v>
      </c>
      <c r="R50" s="144">
        <f t="shared" si="100"/>
        <v>0</v>
      </c>
      <c r="S50" s="144">
        <f t="shared" si="100"/>
        <v>0</v>
      </c>
      <c r="T50" s="144">
        <f t="shared" si="100"/>
        <v>0</v>
      </c>
      <c r="U50" s="144">
        <f t="shared" si="100"/>
        <v>0</v>
      </c>
      <c r="V50" s="144">
        <f t="shared" si="100"/>
        <v>0</v>
      </c>
      <c r="W50" s="144">
        <f t="shared" si="100"/>
        <v>0</v>
      </c>
      <c r="X50" s="144">
        <f t="shared" si="100"/>
        <v>0</v>
      </c>
      <c r="Y50" s="144">
        <f t="shared" si="100"/>
        <v>0</v>
      </c>
      <c r="Z50" s="144">
        <f t="shared" si="100"/>
        <v>0</v>
      </c>
      <c r="AA50" s="144">
        <f t="shared" si="100"/>
        <v>0</v>
      </c>
      <c r="AB50" s="144">
        <f t="shared" si="100"/>
        <v>0</v>
      </c>
      <c r="AC50" s="144">
        <f t="shared" si="100"/>
        <v>0</v>
      </c>
      <c r="AD50" s="144">
        <f t="shared" si="100"/>
        <v>0</v>
      </c>
      <c r="AE50" s="144">
        <f t="shared" si="100"/>
        <v>0</v>
      </c>
      <c r="AF50" s="144">
        <f t="shared" si="100"/>
        <v>0</v>
      </c>
      <c r="AG50" s="144">
        <f t="shared" si="100"/>
        <v>0</v>
      </c>
      <c r="AH50" s="144">
        <f t="shared" si="100"/>
        <v>0</v>
      </c>
      <c r="AI50" s="144">
        <f t="shared" ref="AI50:BN50" si="101">IF($C18&lt;&gt;"Yes",0,IF(AND(AI$3&gt;=$B18,AI$3&lt;=EOMONTH($B18,119)),INDEX($C$6:$DR$6,1,12*(YEAR(AI$3)-YEAR($B18))+MONTH(AI$3)-MONTH($B18)+1),0))</f>
        <v>0</v>
      </c>
      <c r="AJ50" s="144">
        <f t="shared" si="101"/>
        <v>0</v>
      </c>
      <c r="AK50" s="144">
        <f t="shared" si="101"/>
        <v>0</v>
      </c>
      <c r="AL50" s="144">
        <f t="shared" si="101"/>
        <v>0</v>
      </c>
      <c r="AM50" s="144">
        <f t="shared" si="101"/>
        <v>0</v>
      </c>
      <c r="AN50" s="144">
        <f t="shared" si="101"/>
        <v>0</v>
      </c>
      <c r="AO50" s="144">
        <f t="shared" si="101"/>
        <v>0</v>
      </c>
      <c r="AP50" s="144">
        <f t="shared" si="101"/>
        <v>0</v>
      </c>
      <c r="AQ50" s="144">
        <f t="shared" si="101"/>
        <v>0</v>
      </c>
      <c r="AR50" s="144">
        <f t="shared" si="101"/>
        <v>0</v>
      </c>
      <c r="AS50" s="144">
        <f t="shared" si="101"/>
        <v>0</v>
      </c>
      <c r="AT50" s="144">
        <f t="shared" si="101"/>
        <v>0</v>
      </c>
      <c r="AU50" s="144">
        <f t="shared" si="101"/>
        <v>0</v>
      </c>
      <c r="AV50" s="144">
        <f t="shared" si="101"/>
        <v>0</v>
      </c>
      <c r="AW50" s="144">
        <f t="shared" si="101"/>
        <v>0</v>
      </c>
      <c r="AX50" s="144">
        <f t="shared" si="101"/>
        <v>0</v>
      </c>
      <c r="AY50" s="144">
        <f t="shared" si="101"/>
        <v>0</v>
      </c>
      <c r="AZ50" s="144">
        <f t="shared" si="101"/>
        <v>0</v>
      </c>
      <c r="BA50" s="144">
        <f t="shared" si="101"/>
        <v>0</v>
      </c>
      <c r="BB50" s="144">
        <f t="shared" si="101"/>
        <v>0</v>
      </c>
      <c r="BC50" s="144">
        <f t="shared" si="101"/>
        <v>0</v>
      </c>
      <c r="BD50" s="144">
        <f t="shared" si="101"/>
        <v>0</v>
      </c>
      <c r="BE50" s="144">
        <f t="shared" si="101"/>
        <v>0</v>
      </c>
      <c r="BF50" s="144">
        <f t="shared" si="101"/>
        <v>0</v>
      </c>
      <c r="BG50" s="144">
        <f t="shared" si="101"/>
        <v>0</v>
      </c>
      <c r="BH50" s="144">
        <f t="shared" si="101"/>
        <v>0</v>
      </c>
      <c r="BI50" s="144">
        <f t="shared" si="101"/>
        <v>0</v>
      </c>
      <c r="BJ50" s="144">
        <f t="shared" si="101"/>
        <v>0</v>
      </c>
      <c r="BK50" s="144">
        <f t="shared" si="101"/>
        <v>0</v>
      </c>
      <c r="BL50" s="144">
        <f t="shared" si="101"/>
        <v>0</v>
      </c>
      <c r="BM50" s="144">
        <f t="shared" si="101"/>
        <v>0</v>
      </c>
      <c r="BN50" s="144">
        <f t="shared" si="101"/>
        <v>0</v>
      </c>
      <c r="BO50" s="144">
        <f t="shared" ref="BO50:CT50" si="102">IF($C18&lt;&gt;"Yes",0,IF(AND(BO$3&gt;=$B18,BO$3&lt;=EOMONTH($B18,119)),INDEX($C$6:$DR$6,1,12*(YEAR(BO$3)-YEAR($B18))+MONTH(BO$3)-MONTH($B18)+1),0))</f>
        <v>0</v>
      </c>
      <c r="BP50" s="144">
        <f t="shared" si="102"/>
        <v>0</v>
      </c>
      <c r="BQ50" s="144">
        <f t="shared" si="102"/>
        <v>0</v>
      </c>
      <c r="BR50" s="144">
        <f t="shared" si="102"/>
        <v>0</v>
      </c>
      <c r="BS50" s="144">
        <f t="shared" si="102"/>
        <v>0</v>
      </c>
      <c r="BT50" s="144">
        <f t="shared" si="102"/>
        <v>1875000.0000000002</v>
      </c>
      <c r="BU50" s="144">
        <f t="shared" si="102"/>
        <v>1875000.0000000002</v>
      </c>
      <c r="BV50" s="144">
        <f t="shared" si="102"/>
        <v>1875000.0000000002</v>
      </c>
      <c r="BW50" s="144">
        <f t="shared" si="102"/>
        <v>1875000.0000000002</v>
      </c>
      <c r="BX50" s="144">
        <f t="shared" si="102"/>
        <v>1875000.0000000002</v>
      </c>
      <c r="BY50" s="144">
        <f t="shared" si="102"/>
        <v>1875000.0000000002</v>
      </c>
      <c r="BZ50" s="144">
        <f t="shared" si="102"/>
        <v>76250000.000000015</v>
      </c>
      <c r="CA50" s="144">
        <f t="shared" si="102"/>
        <v>12500000</v>
      </c>
      <c r="CB50" s="144">
        <f t="shared" si="102"/>
        <v>12500000</v>
      </c>
      <c r="CC50" s="144">
        <f t="shared" si="102"/>
        <v>12500000</v>
      </c>
      <c r="CD50" s="144">
        <f t="shared" si="102"/>
        <v>12500000</v>
      </c>
      <c r="CE50" s="144">
        <f t="shared" si="102"/>
        <v>12500000</v>
      </c>
      <c r="CF50" s="144">
        <f t="shared" si="102"/>
        <v>12500000</v>
      </c>
      <c r="CG50" s="144">
        <f t="shared" si="102"/>
        <v>12500000</v>
      </c>
      <c r="CH50" s="144">
        <f t="shared" si="102"/>
        <v>12500000</v>
      </c>
      <c r="CI50" s="144">
        <f t="shared" si="102"/>
        <v>12500000</v>
      </c>
      <c r="CJ50" s="144">
        <f t="shared" si="102"/>
        <v>12500000</v>
      </c>
      <c r="CK50" s="144">
        <f t="shared" si="102"/>
        <v>12500000</v>
      </c>
      <c r="CL50" s="144">
        <f t="shared" si="102"/>
        <v>0</v>
      </c>
      <c r="CM50" s="144">
        <f t="shared" si="102"/>
        <v>0</v>
      </c>
      <c r="CN50" s="144">
        <f t="shared" si="102"/>
        <v>0</v>
      </c>
      <c r="CO50" s="144">
        <f t="shared" si="102"/>
        <v>0</v>
      </c>
      <c r="CP50" s="144">
        <f t="shared" si="102"/>
        <v>0</v>
      </c>
      <c r="CQ50" s="144">
        <f t="shared" si="102"/>
        <v>0</v>
      </c>
      <c r="CR50" s="144">
        <f t="shared" si="102"/>
        <v>0</v>
      </c>
      <c r="CS50" s="144">
        <f t="shared" si="102"/>
        <v>0</v>
      </c>
      <c r="CT50" s="144">
        <f t="shared" si="102"/>
        <v>0</v>
      </c>
      <c r="CU50" s="144">
        <f t="shared" ref="CU50:DR50" si="103">IF($C18&lt;&gt;"Yes",0,IF(AND(CU$3&gt;=$B18,CU$3&lt;=EOMONTH($B18,119)),INDEX($C$6:$DR$6,1,12*(YEAR(CU$3)-YEAR($B18))+MONTH(CU$3)-MONTH($B18)+1),0))</f>
        <v>0</v>
      </c>
      <c r="CV50" s="144">
        <f t="shared" si="103"/>
        <v>0</v>
      </c>
      <c r="CW50" s="144">
        <f t="shared" si="103"/>
        <v>0</v>
      </c>
      <c r="CX50" s="144">
        <f t="shared" si="103"/>
        <v>0</v>
      </c>
      <c r="CY50" s="144">
        <f t="shared" si="103"/>
        <v>0</v>
      </c>
      <c r="CZ50" s="144">
        <f t="shared" si="103"/>
        <v>0</v>
      </c>
      <c r="DA50" s="144">
        <f t="shared" si="103"/>
        <v>0</v>
      </c>
      <c r="DB50" s="144">
        <f t="shared" si="103"/>
        <v>0</v>
      </c>
      <c r="DC50" s="144">
        <f t="shared" si="103"/>
        <v>0</v>
      </c>
      <c r="DD50" s="144">
        <f t="shared" si="103"/>
        <v>0</v>
      </c>
      <c r="DE50" s="144">
        <f t="shared" si="103"/>
        <v>0</v>
      </c>
      <c r="DF50" s="144">
        <f t="shared" si="103"/>
        <v>0</v>
      </c>
      <c r="DG50" s="144">
        <f t="shared" si="103"/>
        <v>0</v>
      </c>
      <c r="DH50" s="144">
        <f t="shared" si="103"/>
        <v>0</v>
      </c>
      <c r="DI50" s="144">
        <f t="shared" si="103"/>
        <v>0</v>
      </c>
      <c r="DJ50" s="144">
        <f t="shared" si="103"/>
        <v>0</v>
      </c>
      <c r="DK50" s="144">
        <f t="shared" si="103"/>
        <v>0</v>
      </c>
      <c r="DL50" s="144">
        <f t="shared" si="103"/>
        <v>0</v>
      </c>
      <c r="DM50" s="144">
        <f t="shared" si="103"/>
        <v>0</v>
      </c>
      <c r="DN50" s="144">
        <f t="shared" si="103"/>
        <v>0</v>
      </c>
      <c r="DO50" s="144">
        <f t="shared" si="103"/>
        <v>0</v>
      </c>
      <c r="DP50" s="144">
        <f t="shared" si="103"/>
        <v>0</v>
      </c>
      <c r="DQ50" s="144">
        <f t="shared" si="103"/>
        <v>0</v>
      </c>
      <c r="DR50" s="144">
        <f t="shared" si="103"/>
        <v>0</v>
      </c>
    </row>
    <row r="51" spans="1:122">
      <c r="A51" s="142" t="s">
        <v>337</v>
      </c>
      <c r="C51" s="144">
        <f t="shared" ref="C51:AH51" si="104">IF($C18&lt;&gt;"Yes",0,IF(AND(C$3&gt;=$B18,C$3&lt;=EOMONTH($B18,119)),INDEX($C$7:$DR$7,1,12*(YEAR(C$3)-YEAR($B18))+MONTH(C$3)-MONTH($B18)+1),0))</f>
        <v>0</v>
      </c>
      <c r="D51" s="144">
        <f t="shared" si="104"/>
        <v>0</v>
      </c>
      <c r="E51" s="144">
        <f t="shared" si="104"/>
        <v>0</v>
      </c>
      <c r="F51" s="144">
        <f t="shared" si="104"/>
        <v>0</v>
      </c>
      <c r="G51" s="144">
        <f t="shared" si="104"/>
        <v>0</v>
      </c>
      <c r="H51" s="144">
        <f t="shared" si="104"/>
        <v>0</v>
      </c>
      <c r="I51" s="144">
        <f t="shared" si="104"/>
        <v>0</v>
      </c>
      <c r="J51" s="144">
        <f t="shared" si="104"/>
        <v>0</v>
      </c>
      <c r="K51" s="144">
        <f t="shared" si="104"/>
        <v>0</v>
      </c>
      <c r="L51" s="144">
        <f t="shared" si="104"/>
        <v>0</v>
      </c>
      <c r="M51" s="144">
        <f t="shared" si="104"/>
        <v>0</v>
      </c>
      <c r="N51" s="144">
        <f t="shared" si="104"/>
        <v>0</v>
      </c>
      <c r="O51" s="144">
        <f t="shared" si="104"/>
        <v>0</v>
      </c>
      <c r="P51" s="144">
        <f t="shared" si="104"/>
        <v>0</v>
      </c>
      <c r="Q51" s="144">
        <f t="shared" si="104"/>
        <v>0</v>
      </c>
      <c r="R51" s="144">
        <f t="shared" si="104"/>
        <v>0</v>
      </c>
      <c r="S51" s="144">
        <f t="shared" si="104"/>
        <v>0</v>
      </c>
      <c r="T51" s="144">
        <f t="shared" si="104"/>
        <v>0</v>
      </c>
      <c r="U51" s="144">
        <f t="shared" si="104"/>
        <v>0</v>
      </c>
      <c r="V51" s="144">
        <f t="shared" si="104"/>
        <v>0</v>
      </c>
      <c r="W51" s="144">
        <f t="shared" si="104"/>
        <v>0</v>
      </c>
      <c r="X51" s="144">
        <f t="shared" si="104"/>
        <v>0</v>
      </c>
      <c r="Y51" s="144">
        <f t="shared" si="104"/>
        <v>0</v>
      </c>
      <c r="Z51" s="144">
        <f t="shared" si="104"/>
        <v>0</v>
      </c>
      <c r="AA51" s="144">
        <f t="shared" si="104"/>
        <v>0</v>
      </c>
      <c r="AB51" s="144">
        <f t="shared" si="104"/>
        <v>0</v>
      </c>
      <c r="AC51" s="144">
        <f t="shared" si="104"/>
        <v>0</v>
      </c>
      <c r="AD51" s="144">
        <f t="shared" si="104"/>
        <v>0</v>
      </c>
      <c r="AE51" s="144">
        <f t="shared" si="104"/>
        <v>0</v>
      </c>
      <c r="AF51" s="144">
        <f t="shared" si="104"/>
        <v>0</v>
      </c>
      <c r="AG51" s="144">
        <f t="shared" si="104"/>
        <v>0</v>
      </c>
      <c r="AH51" s="144">
        <f t="shared" si="104"/>
        <v>0</v>
      </c>
      <c r="AI51" s="144">
        <f t="shared" ref="AI51:BN51" si="105">IF($C18&lt;&gt;"Yes",0,IF(AND(AI$3&gt;=$B18,AI$3&lt;=EOMONTH($B18,119)),INDEX($C$7:$DR$7,1,12*(YEAR(AI$3)-YEAR($B18))+MONTH(AI$3)-MONTH($B18)+1),0))</f>
        <v>0</v>
      </c>
      <c r="AJ51" s="144">
        <f t="shared" si="105"/>
        <v>0</v>
      </c>
      <c r="AK51" s="144">
        <f t="shared" si="105"/>
        <v>0</v>
      </c>
      <c r="AL51" s="144">
        <f t="shared" si="105"/>
        <v>0</v>
      </c>
      <c r="AM51" s="144">
        <f t="shared" si="105"/>
        <v>0</v>
      </c>
      <c r="AN51" s="144">
        <f t="shared" si="105"/>
        <v>0</v>
      </c>
      <c r="AO51" s="144">
        <f t="shared" si="105"/>
        <v>0</v>
      </c>
      <c r="AP51" s="144">
        <f t="shared" si="105"/>
        <v>0</v>
      </c>
      <c r="AQ51" s="144">
        <f t="shared" si="105"/>
        <v>0</v>
      </c>
      <c r="AR51" s="144">
        <f t="shared" si="105"/>
        <v>0</v>
      </c>
      <c r="AS51" s="144">
        <f t="shared" si="105"/>
        <v>0</v>
      </c>
      <c r="AT51" s="144">
        <f t="shared" si="105"/>
        <v>0</v>
      </c>
      <c r="AU51" s="144">
        <f t="shared" si="105"/>
        <v>0</v>
      </c>
      <c r="AV51" s="144">
        <f t="shared" si="105"/>
        <v>0</v>
      </c>
      <c r="AW51" s="144">
        <f t="shared" si="105"/>
        <v>0</v>
      </c>
      <c r="AX51" s="144">
        <f t="shared" si="105"/>
        <v>0</v>
      </c>
      <c r="AY51" s="144">
        <f t="shared" si="105"/>
        <v>0</v>
      </c>
      <c r="AZ51" s="144">
        <f t="shared" si="105"/>
        <v>0</v>
      </c>
      <c r="BA51" s="144">
        <f t="shared" si="105"/>
        <v>0</v>
      </c>
      <c r="BB51" s="144">
        <f t="shared" si="105"/>
        <v>0</v>
      </c>
      <c r="BC51" s="144">
        <f t="shared" si="105"/>
        <v>0</v>
      </c>
      <c r="BD51" s="144">
        <f t="shared" si="105"/>
        <v>0</v>
      </c>
      <c r="BE51" s="144">
        <f t="shared" si="105"/>
        <v>0</v>
      </c>
      <c r="BF51" s="144">
        <f t="shared" si="105"/>
        <v>0</v>
      </c>
      <c r="BG51" s="144">
        <f t="shared" si="105"/>
        <v>0</v>
      </c>
      <c r="BH51" s="144">
        <f t="shared" si="105"/>
        <v>0</v>
      </c>
      <c r="BI51" s="144">
        <f t="shared" si="105"/>
        <v>0</v>
      </c>
      <c r="BJ51" s="144">
        <f t="shared" si="105"/>
        <v>0</v>
      </c>
      <c r="BK51" s="144">
        <f t="shared" si="105"/>
        <v>0</v>
      </c>
      <c r="BL51" s="144">
        <f t="shared" si="105"/>
        <v>0</v>
      </c>
      <c r="BM51" s="144">
        <f t="shared" si="105"/>
        <v>0</v>
      </c>
      <c r="BN51" s="144">
        <f t="shared" si="105"/>
        <v>0</v>
      </c>
      <c r="BO51" s="144">
        <f t="shared" ref="BO51:CT51" si="106">IF($C18&lt;&gt;"Yes",0,IF(AND(BO$3&gt;=$B18,BO$3&lt;=EOMONTH($B18,119)),INDEX($C$7:$DR$7,1,12*(YEAR(BO$3)-YEAR($B18))+MONTH(BO$3)-MONTH($B18)+1),0))</f>
        <v>0</v>
      </c>
      <c r="BP51" s="144">
        <f t="shared" si="106"/>
        <v>0</v>
      </c>
      <c r="BQ51" s="144">
        <f t="shared" si="106"/>
        <v>0</v>
      </c>
      <c r="BR51" s="144">
        <f t="shared" si="106"/>
        <v>0</v>
      </c>
      <c r="BS51" s="144">
        <f t="shared" si="106"/>
        <v>0</v>
      </c>
      <c r="BT51" s="144">
        <f t="shared" si="106"/>
        <v>0</v>
      </c>
      <c r="BU51" s="144">
        <f t="shared" si="106"/>
        <v>0</v>
      </c>
      <c r="BV51" s="144">
        <f t="shared" si="106"/>
        <v>0</v>
      </c>
      <c r="BW51" s="144">
        <f t="shared" si="106"/>
        <v>0</v>
      </c>
      <c r="BX51" s="144">
        <f t="shared" si="106"/>
        <v>0</v>
      </c>
      <c r="BY51" s="144">
        <f t="shared" si="106"/>
        <v>0</v>
      </c>
      <c r="BZ51" s="144">
        <f t="shared" si="106"/>
        <v>74375000.000000015</v>
      </c>
      <c r="CA51" s="144">
        <f t="shared" si="106"/>
        <v>10625000</v>
      </c>
      <c r="CB51" s="144">
        <f t="shared" si="106"/>
        <v>10625000</v>
      </c>
      <c r="CC51" s="144">
        <f t="shared" si="106"/>
        <v>10625000</v>
      </c>
      <c r="CD51" s="144">
        <f t="shared" si="106"/>
        <v>10625000</v>
      </c>
      <c r="CE51" s="144">
        <f t="shared" si="106"/>
        <v>10625000</v>
      </c>
      <c r="CF51" s="144">
        <f t="shared" si="106"/>
        <v>10625000</v>
      </c>
      <c r="CG51" s="144">
        <f t="shared" si="106"/>
        <v>10625000</v>
      </c>
      <c r="CH51" s="144">
        <f t="shared" si="106"/>
        <v>10625000</v>
      </c>
      <c r="CI51" s="144">
        <f t="shared" si="106"/>
        <v>10625000</v>
      </c>
      <c r="CJ51" s="144">
        <f t="shared" si="106"/>
        <v>10625000</v>
      </c>
      <c r="CK51" s="144">
        <f t="shared" si="106"/>
        <v>10625000</v>
      </c>
      <c r="CL51" s="144">
        <f t="shared" si="106"/>
        <v>0</v>
      </c>
      <c r="CM51" s="144">
        <f t="shared" si="106"/>
        <v>0</v>
      </c>
      <c r="CN51" s="144">
        <f t="shared" si="106"/>
        <v>0</v>
      </c>
      <c r="CO51" s="144">
        <f t="shared" si="106"/>
        <v>0</v>
      </c>
      <c r="CP51" s="144">
        <f t="shared" si="106"/>
        <v>0</v>
      </c>
      <c r="CQ51" s="144">
        <f t="shared" si="106"/>
        <v>0</v>
      </c>
      <c r="CR51" s="144">
        <f t="shared" si="106"/>
        <v>0</v>
      </c>
      <c r="CS51" s="144">
        <f t="shared" si="106"/>
        <v>0</v>
      </c>
      <c r="CT51" s="144">
        <f t="shared" si="106"/>
        <v>0</v>
      </c>
      <c r="CU51" s="144">
        <f t="shared" ref="CU51:DR51" si="107">IF($C18&lt;&gt;"Yes",0,IF(AND(CU$3&gt;=$B18,CU$3&lt;=EOMONTH($B18,119)),INDEX($C$7:$DR$7,1,12*(YEAR(CU$3)-YEAR($B18))+MONTH(CU$3)-MONTH($B18)+1),0))</f>
        <v>0</v>
      </c>
      <c r="CV51" s="144">
        <f t="shared" si="107"/>
        <v>0</v>
      </c>
      <c r="CW51" s="144">
        <f t="shared" si="107"/>
        <v>0</v>
      </c>
      <c r="CX51" s="144">
        <f t="shared" si="107"/>
        <v>0</v>
      </c>
      <c r="CY51" s="144">
        <f t="shared" si="107"/>
        <v>0</v>
      </c>
      <c r="CZ51" s="144">
        <f t="shared" si="107"/>
        <v>0</v>
      </c>
      <c r="DA51" s="144">
        <f t="shared" si="107"/>
        <v>0</v>
      </c>
      <c r="DB51" s="144">
        <f t="shared" si="107"/>
        <v>0</v>
      </c>
      <c r="DC51" s="144">
        <f t="shared" si="107"/>
        <v>0</v>
      </c>
      <c r="DD51" s="144">
        <f t="shared" si="107"/>
        <v>0</v>
      </c>
      <c r="DE51" s="144">
        <f t="shared" si="107"/>
        <v>0</v>
      </c>
      <c r="DF51" s="144">
        <f t="shared" si="107"/>
        <v>0</v>
      </c>
      <c r="DG51" s="144">
        <f t="shared" si="107"/>
        <v>0</v>
      </c>
      <c r="DH51" s="144">
        <f t="shared" si="107"/>
        <v>0</v>
      </c>
      <c r="DI51" s="144">
        <f t="shared" si="107"/>
        <v>0</v>
      </c>
      <c r="DJ51" s="144">
        <f t="shared" si="107"/>
        <v>0</v>
      </c>
      <c r="DK51" s="144">
        <f t="shared" si="107"/>
        <v>0</v>
      </c>
      <c r="DL51" s="144">
        <f t="shared" si="107"/>
        <v>0</v>
      </c>
      <c r="DM51" s="144">
        <f t="shared" si="107"/>
        <v>0</v>
      </c>
      <c r="DN51" s="144">
        <f t="shared" si="107"/>
        <v>0</v>
      </c>
      <c r="DO51" s="144">
        <f t="shared" si="107"/>
        <v>0</v>
      </c>
      <c r="DP51" s="144">
        <f t="shared" si="107"/>
        <v>0</v>
      </c>
      <c r="DQ51" s="144">
        <f t="shared" si="107"/>
        <v>0</v>
      </c>
      <c r="DR51" s="144">
        <f t="shared" si="107"/>
        <v>0</v>
      </c>
    </row>
    <row r="52" spans="1:122">
      <c r="A52" s="142" t="s">
        <v>338</v>
      </c>
      <c r="C52" s="144">
        <f t="shared" ref="C52:AH52" si="108">IF($C19&lt;&gt;"Yes",0,IF(AND(C$3&gt;=$B19,C$3&lt;=EOMONTH($B19,119)),INDEX($C$5:$DR$5,1,12*(YEAR(C$3)-YEAR($B19))+MONTH(C$3)-MONTH($B19)+1),0))</f>
        <v>0</v>
      </c>
      <c r="D52" s="144">
        <f t="shared" si="108"/>
        <v>0</v>
      </c>
      <c r="E52" s="144">
        <f t="shared" si="108"/>
        <v>0</v>
      </c>
      <c r="F52" s="144">
        <f t="shared" si="108"/>
        <v>0</v>
      </c>
      <c r="G52" s="144">
        <f t="shared" si="108"/>
        <v>0</v>
      </c>
      <c r="H52" s="144">
        <f t="shared" si="108"/>
        <v>0</v>
      </c>
      <c r="I52" s="144">
        <f t="shared" si="108"/>
        <v>0</v>
      </c>
      <c r="J52" s="144">
        <f t="shared" si="108"/>
        <v>0</v>
      </c>
      <c r="K52" s="144">
        <f t="shared" si="108"/>
        <v>0</v>
      </c>
      <c r="L52" s="144">
        <f t="shared" si="108"/>
        <v>0</v>
      </c>
      <c r="M52" s="144">
        <f t="shared" si="108"/>
        <v>0</v>
      </c>
      <c r="N52" s="144">
        <f t="shared" si="108"/>
        <v>0</v>
      </c>
      <c r="O52" s="144">
        <f t="shared" si="108"/>
        <v>0</v>
      </c>
      <c r="P52" s="144">
        <f t="shared" si="108"/>
        <v>0</v>
      </c>
      <c r="Q52" s="144">
        <f t="shared" si="108"/>
        <v>0</v>
      </c>
      <c r="R52" s="144">
        <f t="shared" si="108"/>
        <v>0</v>
      </c>
      <c r="S52" s="144">
        <f t="shared" si="108"/>
        <v>0</v>
      </c>
      <c r="T52" s="144">
        <f t="shared" si="108"/>
        <v>0</v>
      </c>
      <c r="U52" s="144">
        <f t="shared" si="108"/>
        <v>0</v>
      </c>
      <c r="V52" s="144">
        <f t="shared" si="108"/>
        <v>0</v>
      </c>
      <c r="W52" s="144">
        <f t="shared" si="108"/>
        <v>0</v>
      </c>
      <c r="X52" s="144">
        <f t="shared" si="108"/>
        <v>0</v>
      </c>
      <c r="Y52" s="144">
        <f t="shared" si="108"/>
        <v>0</v>
      </c>
      <c r="Z52" s="144">
        <f t="shared" si="108"/>
        <v>0</v>
      </c>
      <c r="AA52" s="144">
        <f t="shared" si="108"/>
        <v>0</v>
      </c>
      <c r="AB52" s="144">
        <f t="shared" si="108"/>
        <v>0</v>
      </c>
      <c r="AC52" s="144">
        <f t="shared" si="108"/>
        <v>0</v>
      </c>
      <c r="AD52" s="144">
        <f t="shared" si="108"/>
        <v>0</v>
      </c>
      <c r="AE52" s="144">
        <f t="shared" si="108"/>
        <v>0</v>
      </c>
      <c r="AF52" s="144">
        <f t="shared" si="108"/>
        <v>0</v>
      </c>
      <c r="AG52" s="144">
        <f t="shared" si="108"/>
        <v>0</v>
      </c>
      <c r="AH52" s="144">
        <f t="shared" si="108"/>
        <v>0</v>
      </c>
      <c r="AI52" s="144">
        <f t="shared" ref="AI52:BN52" si="109">IF($C19&lt;&gt;"Yes",0,IF(AND(AI$3&gt;=$B19,AI$3&lt;=EOMONTH($B19,119)),INDEX($C$5:$DR$5,1,12*(YEAR(AI$3)-YEAR($B19))+MONTH(AI$3)-MONTH($B19)+1),0))</f>
        <v>0</v>
      </c>
      <c r="AJ52" s="144">
        <f t="shared" si="109"/>
        <v>0</v>
      </c>
      <c r="AK52" s="144">
        <f t="shared" si="109"/>
        <v>0</v>
      </c>
      <c r="AL52" s="144">
        <f t="shared" si="109"/>
        <v>0</v>
      </c>
      <c r="AM52" s="144">
        <f t="shared" si="109"/>
        <v>0</v>
      </c>
      <c r="AN52" s="144">
        <f t="shared" si="109"/>
        <v>0</v>
      </c>
      <c r="AO52" s="144">
        <f t="shared" si="109"/>
        <v>0</v>
      </c>
      <c r="AP52" s="144">
        <f t="shared" si="109"/>
        <v>0</v>
      </c>
      <c r="AQ52" s="144">
        <f t="shared" si="109"/>
        <v>0</v>
      </c>
      <c r="AR52" s="144">
        <f t="shared" si="109"/>
        <v>0</v>
      </c>
      <c r="AS52" s="144">
        <f t="shared" si="109"/>
        <v>0</v>
      </c>
      <c r="AT52" s="144">
        <f t="shared" si="109"/>
        <v>0</v>
      </c>
      <c r="AU52" s="144">
        <f t="shared" si="109"/>
        <v>0</v>
      </c>
      <c r="AV52" s="144">
        <f t="shared" si="109"/>
        <v>0</v>
      </c>
      <c r="AW52" s="144">
        <f t="shared" si="109"/>
        <v>0</v>
      </c>
      <c r="AX52" s="144">
        <f t="shared" si="109"/>
        <v>0</v>
      </c>
      <c r="AY52" s="144">
        <f t="shared" si="109"/>
        <v>0</v>
      </c>
      <c r="AZ52" s="144">
        <f t="shared" si="109"/>
        <v>0</v>
      </c>
      <c r="BA52" s="144">
        <f t="shared" si="109"/>
        <v>0</v>
      </c>
      <c r="BB52" s="144">
        <f t="shared" si="109"/>
        <v>0</v>
      </c>
      <c r="BC52" s="144">
        <f t="shared" si="109"/>
        <v>0</v>
      </c>
      <c r="BD52" s="144">
        <f t="shared" si="109"/>
        <v>0</v>
      </c>
      <c r="BE52" s="144">
        <f t="shared" si="109"/>
        <v>0</v>
      </c>
      <c r="BF52" s="144">
        <f t="shared" si="109"/>
        <v>0</v>
      </c>
      <c r="BG52" s="144">
        <f t="shared" si="109"/>
        <v>0</v>
      </c>
      <c r="BH52" s="144">
        <f t="shared" si="109"/>
        <v>0</v>
      </c>
      <c r="BI52" s="144">
        <f t="shared" si="109"/>
        <v>0</v>
      </c>
      <c r="BJ52" s="144">
        <f t="shared" si="109"/>
        <v>0</v>
      </c>
      <c r="BK52" s="144">
        <f t="shared" si="109"/>
        <v>0</v>
      </c>
      <c r="BL52" s="144">
        <f t="shared" si="109"/>
        <v>0</v>
      </c>
      <c r="BM52" s="144">
        <f t="shared" si="109"/>
        <v>0</v>
      </c>
      <c r="BN52" s="144">
        <f t="shared" si="109"/>
        <v>0</v>
      </c>
      <c r="BO52" s="144">
        <f t="shared" ref="BO52:CT52" si="110">IF($C19&lt;&gt;"Yes",0,IF(AND(BO$3&gt;=$B19,BO$3&lt;=EOMONTH($B19,119)),INDEX($C$5:$DR$5,1,12*(YEAR(BO$3)-YEAR($B19))+MONTH(BO$3)-MONTH($B19)+1),0))</f>
        <v>0</v>
      </c>
      <c r="BP52" s="144">
        <f t="shared" si="110"/>
        <v>0</v>
      </c>
      <c r="BQ52" s="144">
        <f t="shared" si="110"/>
        <v>0</v>
      </c>
      <c r="BR52" s="144">
        <f t="shared" si="110"/>
        <v>0</v>
      </c>
      <c r="BS52" s="144">
        <f t="shared" si="110"/>
        <v>0</v>
      </c>
      <c r="BT52" s="144">
        <f t="shared" si="110"/>
        <v>0</v>
      </c>
      <c r="BU52" s="144">
        <f t="shared" si="110"/>
        <v>0</v>
      </c>
      <c r="BV52" s="144">
        <f t="shared" si="110"/>
        <v>0</v>
      </c>
      <c r="BW52" s="144">
        <f t="shared" si="110"/>
        <v>0</v>
      </c>
      <c r="BX52" s="144">
        <f t="shared" si="110"/>
        <v>0</v>
      </c>
      <c r="BY52" s="144">
        <f t="shared" si="110"/>
        <v>0</v>
      </c>
      <c r="BZ52" s="144">
        <f t="shared" si="110"/>
        <v>0</v>
      </c>
      <c r="CA52" s="144">
        <f t="shared" si="110"/>
        <v>0</v>
      </c>
      <c r="CB52" s="144">
        <f t="shared" si="110"/>
        <v>0</v>
      </c>
      <c r="CC52" s="144">
        <f t="shared" si="110"/>
        <v>0</v>
      </c>
      <c r="CD52" s="144">
        <f t="shared" si="110"/>
        <v>0</v>
      </c>
      <c r="CE52" s="144">
        <f t="shared" si="110"/>
        <v>0</v>
      </c>
      <c r="CF52" s="144">
        <f t="shared" si="110"/>
        <v>0</v>
      </c>
      <c r="CG52" s="144">
        <f t="shared" si="110"/>
        <v>0</v>
      </c>
      <c r="CH52" s="144">
        <f t="shared" si="110"/>
        <v>0</v>
      </c>
      <c r="CI52" s="144">
        <f t="shared" si="110"/>
        <v>0</v>
      </c>
      <c r="CJ52" s="144">
        <f t="shared" si="110"/>
        <v>0</v>
      </c>
      <c r="CK52" s="144">
        <f t="shared" si="110"/>
        <v>0</v>
      </c>
      <c r="CL52" s="144">
        <f t="shared" si="110"/>
        <v>0</v>
      </c>
      <c r="CM52" s="144">
        <f t="shared" si="110"/>
        <v>0</v>
      </c>
      <c r="CN52" s="144">
        <f t="shared" si="110"/>
        <v>0</v>
      </c>
      <c r="CO52" s="144">
        <f t="shared" si="110"/>
        <v>0</v>
      </c>
      <c r="CP52" s="144">
        <f t="shared" si="110"/>
        <v>0</v>
      </c>
      <c r="CQ52" s="144">
        <f t="shared" si="110"/>
        <v>0</v>
      </c>
      <c r="CR52" s="144">
        <f t="shared" si="110"/>
        <v>0</v>
      </c>
      <c r="CS52" s="144">
        <f t="shared" si="110"/>
        <v>0</v>
      </c>
      <c r="CT52" s="144">
        <f t="shared" si="110"/>
        <v>0</v>
      </c>
      <c r="CU52" s="144">
        <f t="shared" ref="CU52:DR52" si="111">IF($C19&lt;&gt;"Yes",0,IF(AND(CU$3&gt;=$B19,CU$3&lt;=EOMONTH($B19,119)),INDEX($C$5:$DR$5,1,12*(YEAR(CU$3)-YEAR($B19))+MONTH(CU$3)-MONTH($B19)+1),0))</f>
        <v>0</v>
      </c>
      <c r="CV52" s="144">
        <f t="shared" si="111"/>
        <v>0</v>
      </c>
      <c r="CW52" s="144">
        <f t="shared" si="111"/>
        <v>0</v>
      </c>
      <c r="CX52" s="144">
        <f t="shared" si="111"/>
        <v>0</v>
      </c>
      <c r="CY52" s="144">
        <f t="shared" si="111"/>
        <v>0</v>
      </c>
      <c r="CZ52" s="144">
        <f t="shared" si="111"/>
        <v>0</v>
      </c>
      <c r="DA52" s="144">
        <f t="shared" si="111"/>
        <v>0</v>
      </c>
      <c r="DB52" s="144">
        <f t="shared" si="111"/>
        <v>0</v>
      </c>
      <c r="DC52" s="144">
        <f t="shared" si="111"/>
        <v>0</v>
      </c>
      <c r="DD52" s="144">
        <f t="shared" si="111"/>
        <v>0</v>
      </c>
      <c r="DE52" s="144">
        <f t="shared" si="111"/>
        <v>0</v>
      </c>
      <c r="DF52" s="144">
        <f t="shared" si="111"/>
        <v>0</v>
      </c>
      <c r="DG52" s="144">
        <f t="shared" si="111"/>
        <v>0</v>
      </c>
      <c r="DH52" s="144">
        <f t="shared" si="111"/>
        <v>0</v>
      </c>
      <c r="DI52" s="144">
        <f t="shared" si="111"/>
        <v>0</v>
      </c>
      <c r="DJ52" s="144">
        <f t="shared" si="111"/>
        <v>0</v>
      </c>
      <c r="DK52" s="144">
        <f t="shared" si="111"/>
        <v>0</v>
      </c>
      <c r="DL52" s="144">
        <f t="shared" si="111"/>
        <v>0</v>
      </c>
      <c r="DM52" s="144">
        <f t="shared" si="111"/>
        <v>0</v>
      </c>
      <c r="DN52" s="144">
        <f t="shared" si="111"/>
        <v>0</v>
      </c>
      <c r="DO52" s="144">
        <f t="shared" si="111"/>
        <v>0</v>
      </c>
      <c r="DP52" s="144">
        <f t="shared" si="111"/>
        <v>0</v>
      </c>
      <c r="DQ52" s="144">
        <f t="shared" si="111"/>
        <v>0</v>
      </c>
      <c r="DR52" s="144">
        <f t="shared" si="111"/>
        <v>0</v>
      </c>
    </row>
    <row r="53" spans="1:122">
      <c r="A53" s="142" t="s">
        <v>339</v>
      </c>
      <c r="C53" s="144">
        <f t="shared" ref="C53:AH53" si="112">IF($C19&lt;&gt;"Yes",0,IF(AND(C$3&gt;=$B19,C$3&lt;=EOMONTH($B19,119)),INDEX($C$6:$DR$6,1,12*(YEAR(C$3)-YEAR($B19))+MONTH(C$3)-MONTH($B19)+1),0))</f>
        <v>0</v>
      </c>
      <c r="D53" s="144">
        <f t="shared" si="112"/>
        <v>0</v>
      </c>
      <c r="E53" s="144">
        <f t="shared" si="112"/>
        <v>0</v>
      </c>
      <c r="F53" s="144">
        <f t="shared" si="112"/>
        <v>0</v>
      </c>
      <c r="G53" s="144">
        <f t="shared" si="112"/>
        <v>0</v>
      </c>
      <c r="H53" s="144">
        <f t="shared" si="112"/>
        <v>0</v>
      </c>
      <c r="I53" s="144">
        <f t="shared" si="112"/>
        <v>0</v>
      </c>
      <c r="J53" s="144">
        <f t="shared" si="112"/>
        <v>0</v>
      </c>
      <c r="K53" s="144">
        <f t="shared" si="112"/>
        <v>0</v>
      </c>
      <c r="L53" s="144">
        <f t="shared" si="112"/>
        <v>0</v>
      </c>
      <c r="M53" s="144">
        <f t="shared" si="112"/>
        <v>0</v>
      </c>
      <c r="N53" s="144">
        <f t="shared" si="112"/>
        <v>0</v>
      </c>
      <c r="O53" s="144">
        <f t="shared" si="112"/>
        <v>0</v>
      </c>
      <c r="P53" s="144">
        <f t="shared" si="112"/>
        <v>0</v>
      </c>
      <c r="Q53" s="144">
        <f t="shared" si="112"/>
        <v>0</v>
      </c>
      <c r="R53" s="144">
        <f t="shared" si="112"/>
        <v>0</v>
      </c>
      <c r="S53" s="144">
        <f t="shared" si="112"/>
        <v>0</v>
      </c>
      <c r="T53" s="144">
        <f t="shared" si="112"/>
        <v>0</v>
      </c>
      <c r="U53" s="144">
        <f t="shared" si="112"/>
        <v>0</v>
      </c>
      <c r="V53" s="144">
        <f t="shared" si="112"/>
        <v>0</v>
      </c>
      <c r="W53" s="144">
        <f t="shared" si="112"/>
        <v>0</v>
      </c>
      <c r="X53" s="144">
        <f t="shared" si="112"/>
        <v>0</v>
      </c>
      <c r="Y53" s="144">
        <f t="shared" si="112"/>
        <v>0</v>
      </c>
      <c r="Z53" s="144">
        <f t="shared" si="112"/>
        <v>0</v>
      </c>
      <c r="AA53" s="144">
        <f t="shared" si="112"/>
        <v>0</v>
      </c>
      <c r="AB53" s="144">
        <f t="shared" si="112"/>
        <v>0</v>
      </c>
      <c r="AC53" s="144">
        <f t="shared" si="112"/>
        <v>0</v>
      </c>
      <c r="AD53" s="144">
        <f t="shared" si="112"/>
        <v>0</v>
      </c>
      <c r="AE53" s="144">
        <f t="shared" si="112"/>
        <v>0</v>
      </c>
      <c r="AF53" s="144">
        <f t="shared" si="112"/>
        <v>0</v>
      </c>
      <c r="AG53" s="144">
        <f t="shared" si="112"/>
        <v>0</v>
      </c>
      <c r="AH53" s="144">
        <f t="shared" si="112"/>
        <v>0</v>
      </c>
      <c r="AI53" s="144">
        <f t="shared" ref="AI53:BN53" si="113">IF($C19&lt;&gt;"Yes",0,IF(AND(AI$3&gt;=$B19,AI$3&lt;=EOMONTH($B19,119)),INDEX($C$6:$DR$6,1,12*(YEAR(AI$3)-YEAR($B19))+MONTH(AI$3)-MONTH($B19)+1),0))</f>
        <v>0</v>
      </c>
      <c r="AJ53" s="144">
        <f t="shared" si="113"/>
        <v>0</v>
      </c>
      <c r="AK53" s="144">
        <f t="shared" si="113"/>
        <v>0</v>
      </c>
      <c r="AL53" s="144">
        <f t="shared" si="113"/>
        <v>0</v>
      </c>
      <c r="AM53" s="144">
        <f t="shared" si="113"/>
        <v>0</v>
      </c>
      <c r="AN53" s="144">
        <f t="shared" si="113"/>
        <v>0</v>
      </c>
      <c r="AO53" s="144">
        <f t="shared" si="113"/>
        <v>0</v>
      </c>
      <c r="AP53" s="144">
        <f t="shared" si="113"/>
        <v>0</v>
      </c>
      <c r="AQ53" s="144">
        <f t="shared" si="113"/>
        <v>0</v>
      </c>
      <c r="AR53" s="144">
        <f t="shared" si="113"/>
        <v>0</v>
      </c>
      <c r="AS53" s="144">
        <f t="shared" si="113"/>
        <v>0</v>
      </c>
      <c r="AT53" s="144">
        <f t="shared" si="113"/>
        <v>0</v>
      </c>
      <c r="AU53" s="144">
        <f t="shared" si="113"/>
        <v>0</v>
      </c>
      <c r="AV53" s="144">
        <f t="shared" si="113"/>
        <v>0</v>
      </c>
      <c r="AW53" s="144">
        <f t="shared" si="113"/>
        <v>0</v>
      </c>
      <c r="AX53" s="144">
        <f t="shared" si="113"/>
        <v>0</v>
      </c>
      <c r="AY53" s="144">
        <f t="shared" si="113"/>
        <v>0</v>
      </c>
      <c r="AZ53" s="144">
        <f t="shared" si="113"/>
        <v>0</v>
      </c>
      <c r="BA53" s="144">
        <f t="shared" si="113"/>
        <v>0</v>
      </c>
      <c r="BB53" s="144">
        <f t="shared" si="113"/>
        <v>0</v>
      </c>
      <c r="BC53" s="144">
        <f t="shared" si="113"/>
        <v>0</v>
      </c>
      <c r="BD53" s="144">
        <f t="shared" si="113"/>
        <v>0</v>
      </c>
      <c r="BE53" s="144">
        <f t="shared" si="113"/>
        <v>0</v>
      </c>
      <c r="BF53" s="144">
        <f t="shared" si="113"/>
        <v>0</v>
      </c>
      <c r="BG53" s="144">
        <f t="shared" si="113"/>
        <v>0</v>
      </c>
      <c r="BH53" s="144">
        <f t="shared" si="113"/>
        <v>0</v>
      </c>
      <c r="BI53" s="144">
        <f t="shared" si="113"/>
        <v>0</v>
      </c>
      <c r="BJ53" s="144">
        <f t="shared" si="113"/>
        <v>0</v>
      </c>
      <c r="BK53" s="144">
        <f t="shared" si="113"/>
        <v>0</v>
      </c>
      <c r="BL53" s="144">
        <f t="shared" si="113"/>
        <v>0</v>
      </c>
      <c r="BM53" s="144">
        <f t="shared" si="113"/>
        <v>0</v>
      </c>
      <c r="BN53" s="144">
        <f t="shared" si="113"/>
        <v>0</v>
      </c>
      <c r="BO53" s="144">
        <f t="shared" ref="BO53:CT53" si="114">IF($C19&lt;&gt;"Yes",0,IF(AND(BO$3&gt;=$B19,BO$3&lt;=EOMONTH($B19,119)),INDEX($C$6:$DR$6,1,12*(YEAR(BO$3)-YEAR($B19))+MONTH(BO$3)-MONTH($B19)+1),0))</f>
        <v>0</v>
      </c>
      <c r="BP53" s="144">
        <f t="shared" si="114"/>
        <v>0</v>
      </c>
      <c r="BQ53" s="144">
        <f t="shared" si="114"/>
        <v>0</v>
      </c>
      <c r="BR53" s="144">
        <f t="shared" si="114"/>
        <v>0</v>
      </c>
      <c r="BS53" s="144">
        <f t="shared" si="114"/>
        <v>0</v>
      </c>
      <c r="BT53" s="144">
        <f t="shared" si="114"/>
        <v>0</v>
      </c>
      <c r="BU53" s="144">
        <f t="shared" si="114"/>
        <v>0</v>
      </c>
      <c r="BV53" s="144">
        <f t="shared" si="114"/>
        <v>0</v>
      </c>
      <c r="BW53" s="144">
        <f t="shared" si="114"/>
        <v>0</v>
      </c>
      <c r="BX53" s="144">
        <f t="shared" si="114"/>
        <v>0</v>
      </c>
      <c r="BY53" s="144">
        <f t="shared" si="114"/>
        <v>0</v>
      </c>
      <c r="BZ53" s="144">
        <f t="shared" si="114"/>
        <v>0</v>
      </c>
      <c r="CA53" s="144">
        <f t="shared" si="114"/>
        <v>0</v>
      </c>
      <c r="CB53" s="144">
        <f t="shared" si="114"/>
        <v>0</v>
      </c>
      <c r="CC53" s="144">
        <f t="shared" si="114"/>
        <v>0</v>
      </c>
      <c r="CD53" s="144">
        <f t="shared" si="114"/>
        <v>0</v>
      </c>
      <c r="CE53" s="144">
        <f t="shared" si="114"/>
        <v>0</v>
      </c>
      <c r="CF53" s="144">
        <f t="shared" si="114"/>
        <v>0</v>
      </c>
      <c r="CG53" s="144">
        <f t="shared" si="114"/>
        <v>0</v>
      </c>
      <c r="CH53" s="144">
        <f t="shared" si="114"/>
        <v>0</v>
      </c>
      <c r="CI53" s="144">
        <f t="shared" si="114"/>
        <v>0</v>
      </c>
      <c r="CJ53" s="144">
        <f t="shared" si="114"/>
        <v>0</v>
      </c>
      <c r="CK53" s="144">
        <f t="shared" si="114"/>
        <v>0</v>
      </c>
      <c r="CL53" s="144">
        <f t="shared" si="114"/>
        <v>0</v>
      </c>
      <c r="CM53" s="144">
        <f t="shared" si="114"/>
        <v>0</v>
      </c>
      <c r="CN53" s="144">
        <f t="shared" si="114"/>
        <v>0</v>
      </c>
      <c r="CO53" s="144">
        <f t="shared" si="114"/>
        <v>0</v>
      </c>
      <c r="CP53" s="144">
        <f t="shared" si="114"/>
        <v>0</v>
      </c>
      <c r="CQ53" s="144">
        <f t="shared" si="114"/>
        <v>0</v>
      </c>
      <c r="CR53" s="144">
        <f t="shared" si="114"/>
        <v>0</v>
      </c>
      <c r="CS53" s="144">
        <f t="shared" si="114"/>
        <v>0</v>
      </c>
      <c r="CT53" s="144">
        <f t="shared" si="114"/>
        <v>0</v>
      </c>
      <c r="CU53" s="144">
        <f t="shared" ref="CU53:DR53" si="115">IF($C19&lt;&gt;"Yes",0,IF(AND(CU$3&gt;=$B19,CU$3&lt;=EOMONTH($B19,119)),INDEX($C$6:$DR$6,1,12*(YEAR(CU$3)-YEAR($B19))+MONTH(CU$3)-MONTH($B19)+1),0))</f>
        <v>0</v>
      </c>
      <c r="CV53" s="144">
        <f t="shared" si="115"/>
        <v>0</v>
      </c>
      <c r="CW53" s="144">
        <f t="shared" si="115"/>
        <v>0</v>
      </c>
      <c r="CX53" s="144">
        <f t="shared" si="115"/>
        <v>0</v>
      </c>
      <c r="CY53" s="144">
        <f t="shared" si="115"/>
        <v>0</v>
      </c>
      <c r="CZ53" s="144">
        <f t="shared" si="115"/>
        <v>0</v>
      </c>
      <c r="DA53" s="144">
        <f t="shared" si="115"/>
        <v>0</v>
      </c>
      <c r="DB53" s="144">
        <f t="shared" si="115"/>
        <v>0</v>
      </c>
      <c r="DC53" s="144">
        <f t="shared" si="115"/>
        <v>0</v>
      </c>
      <c r="DD53" s="144">
        <f t="shared" si="115"/>
        <v>0</v>
      </c>
      <c r="DE53" s="144">
        <f t="shared" si="115"/>
        <v>0</v>
      </c>
      <c r="DF53" s="144">
        <f t="shared" si="115"/>
        <v>0</v>
      </c>
      <c r="DG53" s="144">
        <f t="shared" si="115"/>
        <v>0</v>
      </c>
      <c r="DH53" s="144">
        <f t="shared" si="115"/>
        <v>0</v>
      </c>
      <c r="DI53" s="144">
        <f t="shared" si="115"/>
        <v>0</v>
      </c>
      <c r="DJ53" s="144">
        <f t="shared" si="115"/>
        <v>0</v>
      </c>
      <c r="DK53" s="144">
        <f t="shared" si="115"/>
        <v>0</v>
      </c>
      <c r="DL53" s="144">
        <f t="shared" si="115"/>
        <v>0</v>
      </c>
      <c r="DM53" s="144">
        <f t="shared" si="115"/>
        <v>0</v>
      </c>
      <c r="DN53" s="144">
        <f t="shared" si="115"/>
        <v>0</v>
      </c>
      <c r="DO53" s="144">
        <f t="shared" si="115"/>
        <v>0</v>
      </c>
      <c r="DP53" s="144">
        <f t="shared" si="115"/>
        <v>0</v>
      </c>
      <c r="DQ53" s="144">
        <f t="shared" si="115"/>
        <v>0</v>
      </c>
      <c r="DR53" s="144">
        <f t="shared" si="115"/>
        <v>0</v>
      </c>
    </row>
    <row r="54" spans="1:122">
      <c r="A54" s="142" t="s">
        <v>340</v>
      </c>
      <c r="C54" s="144">
        <f t="shared" ref="C54:AH54" si="116">IF($C19&lt;&gt;"Yes",0,IF(AND(C$3&gt;=$B19,C$3&lt;=EOMONTH($B19,119)),INDEX($C$7:$DR$7,1,12*(YEAR(C$3)-YEAR($B19))+MONTH(C$3)-MONTH($B19)+1),0))</f>
        <v>0</v>
      </c>
      <c r="D54" s="144">
        <f t="shared" si="116"/>
        <v>0</v>
      </c>
      <c r="E54" s="144">
        <f t="shared" si="116"/>
        <v>0</v>
      </c>
      <c r="F54" s="144">
        <f t="shared" si="116"/>
        <v>0</v>
      </c>
      <c r="G54" s="144">
        <f t="shared" si="116"/>
        <v>0</v>
      </c>
      <c r="H54" s="144">
        <f t="shared" si="116"/>
        <v>0</v>
      </c>
      <c r="I54" s="144">
        <f t="shared" si="116"/>
        <v>0</v>
      </c>
      <c r="J54" s="144">
        <f t="shared" si="116"/>
        <v>0</v>
      </c>
      <c r="K54" s="144">
        <f t="shared" si="116"/>
        <v>0</v>
      </c>
      <c r="L54" s="144">
        <f t="shared" si="116"/>
        <v>0</v>
      </c>
      <c r="M54" s="144">
        <f t="shared" si="116"/>
        <v>0</v>
      </c>
      <c r="N54" s="144">
        <f t="shared" si="116"/>
        <v>0</v>
      </c>
      <c r="O54" s="144">
        <f t="shared" si="116"/>
        <v>0</v>
      </c>
      <c r="P54" s="144">
        <f t="shared" si="116"/>
        <v>0</v>
      </c>
      <c r="Q54" s="144">
        <f t="shared" si="116"/>
        <v>0</v>
      </c>
      <c r="R54" s="144">
        <f t="shared" si="116"/>
        <v>0</v>
      </c>
      <c r="S54" s="144">
        <f t="shared" si="116"/>
        <v>0</v>
      </c>
      <c r="T54" s="144">
        <f t="shared" si="116"/>
        <v>0</v>
      </c>
      <c r="U54" s="144">
        <f t="shared" si="116"/>
        <v>0</v>
      </c>
      <c r="V54" s="144">
        <f t="shared" si="116"/>
        <v>0</v>
      </c>
      <c r="W54" s="144">
        <f t="shared" si="116"/>
        <v>0</v>
      </c>
      <c r="X54" s="144">
        <f t="shared" si="116"/>
        <v>0</v>
      </c>
      <c r="Y54" s="144">
        <f t="shared" si="116"/>
        <v>0</v>
      </c>
      <c r="Z54" s="144">
        <f t="shared" si="116"/>
        <v>0</v>
      </c>
      <c r="AA54" s="144">
        <f t="shared" si="116"/>
        <v>0</v>
      </c>
      <c r="AB54" s="144">
        <f t="shared" si="116"/>
        <v>0</v>
      </c>
      <c r="AC54" s="144">
        <f t="shared" si="116"/>
        <v>0</v>
      </c>
      <c r="AD54" s="144">
        <f t="shared" si="116"/>
        <v>0</v>
      </c>
      <c r="AE54" s="144">
        <f t="shared" si="116"/>
        <v>0</v>
      </c>
      <c r="AF54" s="144">
        <f t="shared" si="116"/>
        <v>0</v>
      </c>
      <c r="AG54" s="144">
        <f t="shared" si="116"/>
        <v>0</v>
      </c>
      <c r="AH54" s="144">
        <f t="shared" si="116"/>
        <v>0</v>
      </c>
      <c r="AI54" s="144">
        <f t="shared" ref="AI54:BN54" si="117">IF($C19&lt;&gt;"Yes",0,IF(AND(AI$3&gt;=$B19,AI$3&lt;=EOMONTH($B19,119)),INDEX($C$7:$DR$7,1,12*(YEAR(AI$3)-YEAR($B19))+MONTH(AI$3)-MONTH($B19)+1),0))</f>
        <v>0</v>
      </c>
      <c r="AJ54" s="144">
        <f t="shared" si="117"/>
        <v>0</v>
      </c>
      <c r="AK54" s="144">
        <f t="shared" si="117"/>
        <v>0</v>
      </c>
      <c r="AL54" s="144">
        <f t="shared" si="117"/>
        <v>0</v>
      </c>
      <c r="AM54" s="144">
        <f t="shared" si="117"/>
        <v>0</v>
      </c>
      <c r="AN54" s="144">
        <f t="shared" si="117"/>
        <v>0</v>
      </c>
      <c r="AO54" s="144">
        <f t="shared" si="117"/>
        <v>0</v>
      </c>
      <c r="AP54" s="144">
        <f t="shared" si="117"/>
        <v>0</v>
      </c>
      <c r="AQ54" s="144">
        <f t="shared" si="117"/>
        <v>0</v>
      </c>
      <c r="AR54" s="144">
        <f t="shared" si="117"/>
        <v>0</v>
      </c>
      <c r="AS54" s="144">
        <f t="shared" si="117"/>
        <v>0</v>
      </c>
      <c r="AT54" s="144">
        <f t="shared" si="117"/>
        <v>0</v>
      </c>
      <c r="AU54" s="144">
        <f t="shared" si="117"/>
        <v>0</v>
      </c>
      <c r="AV54" s="144">
        <f t="shared" si="117"/>
        <v>0</v>
      </c>
      <c r="AW54" s="144">
        <f t="shared" si="117"/>
        <v>0</v>
      </c>
      <c r="AX54" s="144">
        <f t="shared" si="117"/>
        <v>0</v>
      </c>
      <c r="AY54" s="144">
        <f t="shared" si="117"/>
        <v>0</v>
      </c>
      <c r="AZ54" s="144">
        <f t="shared" si="117"/>
        <v>0</v>
      </c>
      <c r="BA54" s="144">
        <f t="shared" si="117"/>
        <v>0</v>
      </c>
      <c r="BB54" s="144">
        <f t="shared" si="117"/>
        <v>0</v>
      </c>
      <c r="BC54" s="144">
        <f t="shared" si="117"/>
        <v>0</v>
      </c>
      <c r="BD54" s="144">
        <f t="shared" si="117"/>
        <v>0</v>
      </c>
      <c r="BE54" s="144">
        <f t="shared" si="117"/>
        <v>0</v>
      </c>
      <c r="BF54" s="144">
        <f t="shared" si="117"/>
        <v>0</v>
      </c>
      <c r="BG54" s="144">
        <f t="shared" si="117"/>
        <v>0</v>
      </c>
      <c r="BH54" s="144">
        <f t="shared" si="117"/>
        <v>0</v>
      </c>
      <c r="BI54" s="144">
        <f t="shared" si="117"/>
        <v>0</v>
      </c>
      <c r="BJ54" s="144">
        <f t="shared" si="117"/>
        <v>0</v>
      </c>
      <c r="BK54" s="144">
        <f t="shared" si="117"/>
        <v>0</v>
      </c>
      <c r="BL54" s="144">
        <f t="shared" si="117"/>
        <v>0</v>
      </c>
      <c r="BM54" s="144">
        <f t="shared" si="117"/>
        <v>0</v>
      </c>
      <c r="BN54" s="144">
        <f t="shared" si="117"/>
        <v>0</v>
      </c>
      <c r="BO54" s="144">
        <f t="shared" ref="BO54:CT54" si="118">IF($C19&lt;&gt;"Yes",0,IF(AND(BO$3&gt;=$B19,BO$3&lt;=EOMONTH($B19,119)),INDEX($C$7:$DR$7,1,12*(YEAR(BO$3)-YEAR($B19))+MONTH(BO$3)-MONTH($B19)+1),0))</f>
        <v>0</v>
      </c>
      <c r="BP54" s="144">
        <f t="shared" si="118"/>
        <v>0</v>
      </c>
      <c r="BQ54" s="144">
        <f t="shared" si="118"/>
        <v>0</v>
      </c>
      <c r="BR54" s="144">
        <f t="shared" si="118"/>
        <v>0</v>
      </c>
      <c r="BS54" s="144">
        <f t="shared" si="118"/>
        <v>0</v>
      </c>
      <c r="BT54" s="144">
        <f t="shared" si="118"/>
        <v>0</v>
      </c>
      <c r="BU54" s="144">
        <f t="shared" si="118"/>
        <v>0</v>
      </c>
      <c r="BV54" s="144">
        <f t="shared" si="118"/>
        <v>0</v>
      </c>
      <c r="BW54" s="144">
        <f t="shared" si="118"/>
        <v>0</v>
      </c>
      <c r="BX54" s="144">
        <f t="shared" si="118"/>
        <v>0</v>
      </c>
      <c r="BY54" s="144">
        <f t="shared" si="118"/>
        <v>0</v>
      </c>
      <c r="BZ54" s="144">
        <f t="shared" si="118"/>
        <v>0</v>
      </c>
      <c r="CA54" s="144">
        <f t="shared" si="118"/>
        <v>0</v>
      </c>
      <c r="CB54" s="144">
        <f t="shared" si="118"/>
        <v>0</v>
      </c>
      <c r="CC54" s="144">
        <f t="shared" si="118"/>
        <v>0</v>
      </c>
      <c r="CD54" s="144">
        <f t="shared" si="118"/>
        <v>0</v>
      </c>
      <c r="CE54" s="144">
        <f t="shared" si="118"/>
        <v>0</v>
      </c>
      <c r="CF54" s="144">
        <f t="shared" si="118"/>
        <v>0</v>
      </c>
      <c r="CG54" s="144">
        <f t="shared" si="118"/>
        <v>0</v>
      </c>
      <c r="CH54" s="144">
        <f t="shared" si="118"/>
        <v>0</v>
      </c>
      <c r="CI54" s="144">
        <f t="shared" si="118"/>
        <v>0</v>
      </c>
      <c r="CJ54" s="144">
        <f t="shared" si="118"/>
        <v>0</v>
      </c>
      <c r="CK54" s="144">
        <f t="shared" si="118"/>
        <v>0</v>
      </c>
      <c r="CL54" s="144">
        <f t="shared" si="118"/>
        <v>0</v>
      </c>
      <c r="CM54" s="144">
        <f t="shared" si="118"/>
        <v>0</v>
      </c>
      <c r="CN54" s="144">
        <f t="shared" si="118"/>
        <v>0</v>
      </c>
      <c r="CO54" s="144">
        <f t="shared" si="118"/>
        <v>0</v>
      </c>
      <c r="CP54" s="144">
        <f t="shared" si="118"/>
        <v>0</v>
      </c>
      <c r="CQ54" s="144">
        <f t="shared" si="118"/>
        <v>0</v>
      </c>
      <c r="CR54" s="144">
        <f t="shared" si="118"/>
        <v>0</v>
      </c>
      <c r="CS54" s="144">
        <f t="shared" si="118"/>
        <v>0</v>
      </c>
      <c r="CT54" s="144">
        <f t="shared" si="118"/>
        <v>0</v>
      </c>
      <c r="CU54" s="144">
        <f t="shared" ref="CU54:DR54" si="119">IF($C19&lt;&gt;"Yes",0,IF(AND(CU$3&gt;=$B19,CU$3&lt;=EOMONTH($B19,119)),INDEX($C$7:$DR$7,1,12*(YEAR(CU$3)-YEAR($B19))+MONTH(CU$3)-MONTH($B19)+1),0))</f>
        <v>0</v>
      </c>
      <c r="CV54" s="144">
        <f t="shared" si="119"/>
        <v>0</v>
      </c>
      <c r="CW54" s="144">
        <f t="shared" si="119"/>
        <v>0</v>
      </c>
      <c r="CX54" s="144">
        <f t="shared" si="119"/>
        <v>0</v>
      </c>
      <c r="CY54" s="144">
        <f t="shared" si="119"/>
        <v>0</v>
      </c>
      <c r="CZ54" s="144">
        <f t="shared" si="119"/>
        <v>0</v>
      </c>
      <c r="DA54" s="144">
        <f t="shared" si="119"/>
        <v>0</v>
      </c>
      <c r="DB54" s="144">
        <f t="shared" si="119"/>
        <v>0</v>
      </c>
      <c r="DC54" s="144">
        <f t="shared" si="119"/>
        <v>0</v>
      </c>
      <c r="DD54" s="144">
        <f t="shared" si="119"/>
        <v>0</v>
      </c>
      <c r="DE54" s="144">
        <f t="shared" si="119"/>
        <v>0</v>
      </c>
      <c r="DF54" s="144">
        <f t="shared" si="119"/>
        <v>0</v>
      </c>
      <c r="DG54" s="144">
        <f t="shared" si="119"/>
        <v>0</v>
      </c>
      <c r="DH54" s="144">
        <f t="shared" si="119"/>
        <v>0</v>
      </c>
      <c r="DI54" s="144">
        <f t="shared" si="119"/>
        <v>0</v>
      </c>
      <c r="DJ54" s="144">
        <f t="shared" si="119"/>
        <v>0</v>
      </c>
      <c r="DK54" s="144">
        <f t="shared" si="119"/>
        <v>0</v>
      </c>
      <c r="DL54" s="144">
        <f t="shared" si="119"/>
        <v>0</v>
      </c>
      <c r="DM54" s="144">
        <f t="shared" si="119"/>
        <v>0</v>
      </c>
      <c r="DN54" s="144">
        <f t="shared" si="119"/>
        <v>0</v>
      </c>
      <c r="DO54" s="144">
        <f t="shared" si="119"/>
        <v>0</v>
      </c>
      <c r="DP54" s="144">
        <f t="shared" si="119"/>
        <v>0</v>
      </c>
      <c r="DQ54" s="144">
        <f t="shared" si="119"/>
        <v>0</v>
      </c>
      <c r="DR54" s="144">
        <f t="shared" si="119"/>
        <v>0</v>
      </c>
    </row>
    <row r="55" spans="1:122">
      <c r="A55" t="s">
        <v>341</v>
      </c>
      <c r="C55">
        <f t="shared" ref="C55:AH55" si="120">MAX(C25,0)+MAX(C28,0)+MAX(C31,0)+MAX(C34,0)+MAX(C37,0)+MAX(C40,0)+MAX(C43,0)+MAX(C46,0)+MAX(C49,0)+MAX(C52,0)</f>
        <v>0</v>
      </c>
      <c r="D55">
        <f t="shared" si="120"/>
        <v>0</v>
      </c>
      <c r="E55">
        <f t="shared" si="120"/>
        <v>0</v>
      </c>
      <c r="F55">
        <f t="shared" si="120"/>
        <v>0</v>
      </c>
      <c r="G55">
        <f t="shared" si="120"/>
        <v>0</v>
      </c>
      <c r="H55">
        <f t="shared" si="120"/>
        <v>0</v>
      </c>
      <c r="I55">
        <f t="shared" si="120"/>
        <v>0</v>
      </c>
      <c r="J55">
        <f t="shared" si="120"/>
        <v>0</v>
      </c>
      <c r="K55">
        <f t="shared" si="120"/>
        <v>0</v>
      </c>
      <c r="L55">
        <f t="shared" si="120"/>
        <v>0</v>
      </c>
      <c r="M55">
        <f t="shared" si="120"/>
        <v>0</v>
      </c>
      <c r="N55">
        <f t="shared" si="120"/>
        <v>0</v>
      </c>
      <c r="O55">
        <f t="shared" si="120"/>
        <v>0</v>
      </c>
      <c r="P55">
        <f t="shared" si="120"/>
        <v>0</v>
      </c>
      <c r="Q55">
        <f t="shared" si="120"/>
        <v>0</v>
      </c>
      <c r="R55">
        <f t="shared" si="120"/>
        <v>0</v>
      </c>
      <c r="S55">
        <f t="shared" si="120"/>
        <v>0</v>
      </c>
      <c r="T55">
        <f t="shared" si="120"/>
        <v>0</v>
      </c>
      <c r="U55">
        <f t="shared" si="120"/>
        <v>0</v>
      </c>
      <c r="V55">
        <f t="shared" si="120"/>
        <v>0</v>
      </c>
      <c r="W55">
        <f t="shared" si="120"/>
        <v>0</v>
      </c>
      <c r="X55">
        <f t="shared" si="120"/>
        <v>0</v>
      </c>
      <c r="Y55">
        <f t="shared" si="120"/>
        <v>0</v>
      </c>
      <c r="Z55">
        <f t="shared" si="120"/>
        <v>0</v>
      </c>
      <c r="AA55">
        <f t="shared" si="120"/>
        <v>0</v>
      </c>
      <c r="AB55">
        <f t="shared" si="120"/>
        <v>0</v>
      </c>
      <c r="AC55">
        <f t="shared" si="120"/>
        <v>0</v>
      </c>
      <c r="AD55">
        <f t="shared" si="120"/>
        <v>0</v>
      </c>
      <c r="AE55">
        <f t="shared" si="120"/>
        <v>0</v>
      </c>
      <c r="AF55">
        <f t="shared" si="120"/>
        <v>0</v>
      </c>
      <c r="AG55">
        <f t="shared" si="120"/>
        <v>0</v>
      </c>
      <c r="AH55">
        <f t="shared" si="120"/>
        <v>0</v>
      </c>
      <c r="AI55">
        <f t="shared" ref="AI55:BN55" si="121">MAX(AI25,0)+MAX(AI28,0)+MAX(AI31,0)+MAX(AI34,0)+MAX(AI37,0)+MAX(AI40,0)+MAX(AI43,0)+MAX(AI46,0)+MAX(AI49,0)+MAX(AI52,0)</f>
        <v>0</v>
      </c>
      <c r="AJ55">
        <f t="shared" si="121"/>
        <v>0</v>
      </c>
      <c r="AK55">
        <f t="shared" si="121"/>
        <v>0</v>
      </c>
      <c r="AL55">
        <f t="shared" si="121"/>
        <v>0</v>
      </c>
      <c r="AM55">
        <f t="shared" si="121"/>
        <v>0</v>
      </c>
      <c r="AN55">
        <f t="shared" si="121"/>
        <v>0</v>
      </c>
      <c r="AO55">
        <f t="shared" si="121"/>
        <v>0</v>
      </c>
      <c r="AP55">
        <f t="shared" si="121"/>
        <v>0</v>
      </c>
      <c r="AQ55">
        <f t="shared" si="121"/>
        <v>0</v>
      </c>
      <c r="AR55">
        <f t="shared" si="121"/>
        <v>0</v>
      </c>
      <c r="AS55">
        <f t="shared" si="121"/>
        <v>0</v>
      </c>
      <c r="AT55">
        <f t="shared" si="121"/>
        <v>0</v>
      </c>
      <c r="AU55">
        <f t="shared" si="121"/>
        <v>0</v>
      </c>
      <c r="AV55">
        <f t="shared" si="121"/>
        <v>0</v>
      </c>
      <c r="AW55">
        <f t="shared" si="121"/>
        <v>0</v>
      </c>
      <c r="AX55">
        <f t="shared" si="121"/>
        <v>0</v>
      </c>
      <c r="AY55">
        <f t="shared" si="121"/>
        <v>0</v>
      </c>
      <c r="AZ55">
        <f t="shared" si="121"/>
        <v>0</v>
      </c>
      <c r="BA55">
        <f t="shared" si="121"/>
        <v>0</v>
      </c>
      <c r="BB55">
        <f t="shared" si="121"/>
        <v>75340341.443347454</v>
      </c>
      <c r="BC55">
        <f t="shared" si="121"/>
        <v>12350875.646450398</v>
      </c>
      <c r="BD55">
        <f t="shared" si="121"/>
        <v>12350875.646450398</v>
      </c>
      <c r="BE55">
        <f t="shared" si="121"/>
        <v>12350875.646450398</v>
      </c>
      <c r="BF55">
        <f t="shared" si="121"/>
        <v>12350875.646450398</v>
      </c>
      <c r="BG55">
        <f t="shared" si="121"/>
        <v>12350875.646450398</v>
      </c>
      <c r="BH55">
        <f t="shared" si="121"/>
        <v>87691217.089797854</v>
      </c>
      <c r="BI55">
        <f t="shared" si="121"/>
        <v>24701751.292900797</v>
      </c>
      <c r="BJ55">
        <f t="shared" si="121"/>
        <v>24701751.292900797</v>
      </c>
      <c r="BK55">
        <f t="shared" si="121"/>
        <v>24701751.292900797</v>
      </c>
      <c r="BL55">
        <f t="shared" si="121"/>
        <v>24701751.292900797</v>
      </c>
      <c r="BM55">
        <f t="shared" si="121"/>
        <v>24701751.292900797</v>
      </c>
      <c r="BN55">
        <f t="shared" si="121"/>
        <v>87691217.089797854</v>
      </c>
      <c r="BO55">
        <f t="shared" ref="BO55:CT55" si="122">MAX(BO25,0)+MAX(BO28,0)+MAX(BO31,0)+MAX(BO34,0)+MAX(BO37,0)+MAX(BO40,0)+MAX(BO43,0)+MAX(BO46,0)+MAX(BO49,0)+MAX(BO52,0)</f>
        <v>24701751.292900797</v>
      </c>
      <c r="BP55">
        <f t="shared" si="122"/>
        <v>24701751.292900797</v>
      </c>
      <c r="BQ55">
        <f t="shared" si="122"/>
        <v>24701751.292900797</v>
      </c>
      <c r="BR55">
        <f t="shared" si="122"/>
        <v>24701751.292900797</v>
      </c>
      <c r="BS55">
        <f t="shared" si="122"/>
        <v>24701751.292900797</v>
      </c>
      <c r="BT55">
        <f t="shared" si="122"/>
        <v>87691217.089797854</v>
      </c>
      <c r="BU55">
        <f t="shared" si="122"/>
        <v>24701751.292900797</v>
      </c>
      <c r="BV55">
        <f t="shared" si="122"/>
        <v>24701751.292900797</v>
      </c>
      <c r="BW55">
        <f t="shared" si="122"/>
        <v>24701751.292900797</v>
      </c>
      <c r="BX55">
        <f t="shared" si="122"/>
        <v>24701751.292900797</v>
      </c>
      <c r="BY55">
        <f t="shared" si="122"/>
        <v>24701751.292900797</v>
      </c>
      <c r="BZ55">
        <f t="shared" si="122"/>
        <v>87691217.089797854</v>
      </c>
      <c r="CA55">
        <f t="shared" si="122"/>
        <v>24701751.292900797</v>
      </c>
      <c r="CB55">
        <f t="shared" si="122"/>
        <v>24701751.292900797</v>
      </c>
      <c r="CC55">
        <f t="shared" si="122"/>
        <v>24701751.292900797</v>
      </c>
      <c r="CD55">
        <f t="shared" si="122"/>
        <v>24701751.292900797</v>
      </c>
      <c r="CE55">
        <f t="shared" si="122"/>
        <v>24701751.292900797</v>
      </c>
      <c r="CF55">
        <f t="shared" si="122"/>
        <v>12350875.646450398</v>
      </c>
      <c r="CG55">
        <f t="shared" si="122"/>
        <v>12350875.646450398</v>
      </c>
      <c r="CH55">
        <f t="shared" si="122"/>
        <v>12350875.646450398</v>
      </c>
      <c r="CI55">
        <f t="shared" si="122"/>
        <v>12350875.646450398</v>
      </c>
      <c r="CJ55">
        <f t="shared" si="122"/>
        <v>12350875.646450398</v>
      </c>
      <c r="CK55">
        <f t="shared" si="122"/>
        <v>12350875.646450398</v>
      </c>
      <c r="CL55">
        <f t="shared" si="122"/>
        <v>0</v>
      </c>
      <c r="CM55">
        <f t="shared" si="122"/>
        <v>0</v>
      </c>
      <c r="CN55">
        <f t="shared" si="122"/>
        <v>0</v>
      </c>
      <c r="CO55">
        <f t="shared" si="122"/>
        <v>0</v>
      </c>
      <c r="CP55">
        <f t="shared" si="122"/>
        <v>0</v>
      </c>
      <c r="CQ55">
        <f t="shared" si="122"/>
        <v>0</v>
      </c>
      <c r="CR55">
        <f t="shared" si="122"/>
        <v>0</v>
      </c>
      <c r="CS55">
        <f t="shared" si="122"/>
        <v>0</v>
      </c>
      <c r="CT55">
        <f t="shared" si="122"/>
        <v>0</v>
      </c>
      <c r="CU55">
        <f t="shared" ref="CU55:DR55" si="123">MAX(CU25,0)+MAX(CU28,0)+MAX(CU31,0)+MAX(CU34,0)+MAX(CU37,0)+MAX(CU40,0)+MAX(CU43,0)+MAX(CU46,0)+MAX(CU49,0)+MAX(CU52,0)</f>
        <v>0</v>
      </c>
      <c r="CV55">
        <f t="shared" si="123"/>
        <v>0</v>
      </c>
      <c r="CW55">
        <f t="shared" si="123"/>
        <v>0</v>
      </c>
      <c r="CX55">
        <f t="shared" si="123"/>
        <v>0</v>
      </c>
      <c r="CY55">
        <f t="shared" si="123"/>
        <v>0</v>
      </c>
      <c r="CZ55">
        <f t="shared" si="123"/>
        <v>0</v>
      </c>
      <c r="DA55">
        <f t="shared" si="123"/>
        <v>0</v>
      </c>
      <c r="DB55">
        <f t="shared" si="123"/>
        <v>0</v>
      </c>
      <c r="DC55">
        <f t="shared" si="123"/>
        <v>0</v>
      </c>
      <c r="DD55">
        <f t="shared" si="123"/>
        <v>0</v>
      </c>
      <c r="DE55">
        <f t="shared" si="123"/>
        <v>0</v>
      </c>
      <c r="DF55">
        <f t="shared" si="123"/>
        <v>0</v>
      </c>
      <c r="DG55">
        <f t="shared" si="123"/>
        <v>0</v>
      </c>
      <c r="DH55">
        <f t="shared" si="123"/>
        <v>0</v>
      </c>
      <c r="DI55">
        <f t="shared" si="123"/>
        <v>0</v>
      </c>
      <c r="DJ55">
        <f t="shared" si="123"/>
        <v>0</v>
      </c>
      <c r="DK55">
        <f t="shared" si="123"/>
        <v>0</v>
      </c>
      <c r="DL55">
        <f t="shared" si="123"/>
        <v>0</v>
      </c>
      <c r="DM55">
        <f t="shared" si="123"/>
        <v>0</v>
      </c>
      <c r="DN55">
        <f t="shared" si="123"/>
        <v>0</v>
      </c>
      <c r="DO55">
        <f t="shared" si="123"/>
        <v>0</v>
      </c>
      <c r="DP55">
        <f t="shared" si="123"/>
        <v>0</v>
      </c>
      <c r="DQ55">
        <f t="shared" si="123"/>
        <v>0</v>
      </c>
      <c r="DR55">
        <f t="shared" si="123"/>
        <v>0</v>
      </c>
    </row>
    <row r="56" spans="1:122">
      <c r="A56" t="s">
        <v>342</v>
      </c>
      <c r="C56">
        <f t="shared" ref="C56:AH56" si="124">MAX(-C25,0)+MAX(-C28,0)+MAX(-C31,0)+MAX(-C34,0)+MAX(-C37,0)+MAX(-C40,0)+MAX(-C43,0)+MAX(-C46,0)+MAX(-C49,0)+MAX(-C52,0)</f>
        <v>0</v>
      </c>
      <c r="D56">
        <f t="shared" si="124"/>
        <v>0</v>
      </c>
      <c r="E56">
        <f t="shared" si="124"/>
        <v>0</v>
      </c>
      <c r="F56">
        <f t="shared" si="124"/>
        <v>0</v>
      </c>
      <c r="G56">
        <f t="shared" si="124"/>
        <v>0</v>
      </c>
      <c r="H56">
        <f t="shared" si="124"/>
        <v>0</v>
      </c>
      <c r="I56">
        <f t="shared" si="124"/>
        <v>0</v>
      </c>
      <c r="J56">
        <f t="shared" si="124"/>
        <v>0</v>
      </c>
      <c r="K56">
        <f t="shared" si="124"/>
        <v>0</v>
      </c>
      <c r="L56">
        <f t="shared" si="124"/>
        <v>0</v>
      </c>
      <c r="M56">
        <f t="shared" si="124"/>
        <v>0</v>
      </c>
      <c r="N56">
        <f t="shared" si="124"/>
        <v>0</v>
      </c>
      <c r="O56">
        <f t="shared" si="124"/>
        <v>0</v>
      </c>
      <c r="P56">
        <f t="shared" si="124"/>
        <v>0</v>
      </c>
      <c r="Q56">
        <f t="shared" si="124"/>
        <v>0</v>
      </c>
      <c r="R56">
        <f t="shared" si="124"/>
        <v>0</v>
      </c>
      <c r="S56">
        <f t="shared" si="124"/>
        <v>0</v>
      </c>
      <c r="T56">
        <f t="shared" si="124"/>
        <v>0</v>
      </c>
      <c r="U56">
        <f t="shared" si="124"/>
        <v>0</v>
      </c>
      <c r="V56">
        <f t="shared" si="124"/>
        <v>0</v>
      </c>
      <c r="W56">
        <f t="shared" si="124"/>
        <v>0</v>
      </c>
      <c r="X56">
        <f t="shared" si="124"/>
        <v>0</v>
      </c>
      <c r="Y56">
        <f t="shared" si="124"/>
        <v>0</v>
      </c>
      <c r="Z56">
        <f t="shared" si="124"/>
        <v>0</v>
      </c>
      <c r="AA56">
        <f t="shared" si="124"/>
        <v>7959375</v>
      </c>
      <c r="AB56">
        <f t="shared" si="124"/>
        <v>0</v>
      </c>
      <c r="AC56">
        <f t="shared" si="124"/>
        <v>0</v>
      </c>
      <c r="AD56">
        <f t="shared" si="124"/>
        <v>6583997.0703125</v>
      </c>
      <c r="AE56">
        <f t="shared" si="124"/>
        <v>6583997.0703125</v>
      </c>
      <c r="AF56">
        <f t="shared" si="124"/>
        <v>6583997.0703125</v>
      </c>
      <c r="AG56">
        <f t="shared" si="124"/>
        <v>14543372.0703125</v>
      </c>
      <c r="AH56">
        <f t="shared" si="124"/>
        <v>6583997.0703125</v>
      </c>
      <c r="AI56">
        <f t="shared" ref="AI56:BN56" si="125">MAX(-AI25,0)+MAX(-AI28,0)+MAX(-AI31,0)+MAX(-AI34,0)+MAX(-AI37,0)+MAX(-AI40,0)+MAX(-AI43,0)+MAX(-AI46,0)+MAX(-AI49,0)+MAX(-AI52,0)</f>
        <v>6583997.0703125</v>
      </c>
      <c r="AJ56">
        <f t="shared" si="125"/>
        <v>13167994.140625</v>
      </c>
      <c r="AK56">
        <f t="shared" si="125"/>
        <v>13167994.140625</v>
      </c>
      <c r="AL56">
        <f t="shared" si="125"/>
        <v>13167994.140625</v>
      </c>
      <c r="AM56">
        <f t="shared" si="125"/>
        <v>21127369.140625</v>
      </c>
      <c r="AN56">
        <f t="shared" si="125"/>
        <v>13167994.140625</v>
      </c>
      <c r="AO56">
        <f t="shared" si="125"/>
        <v>13167994.140625</v>
      </c>
      <c r="AP56">
        <f t="shared" si="125"/>
        <v>19751991.2109375</v>
      </c>
      <c r="AQ56">
        <f t="shared" si="125"/>
        <v>19751991.2109375</v>
      </c>
      <c r="AR56">
        <f t="shared" si="125"/>
        <v>19751991.2109375</v>
      </c>
      <c r="AS56">
        <f t="shared" si="125"/>
        <v>27711366.2109375</v>
      </c>
      <c r="AT56">
        <f t="shared" si="125"/>
        <v>19751991.2109375</v>
      </c>
      <c r="AU56">
        <f t="shared" si="125"/>
        <v>19751991.2109375</v>
      </c>
      <c r="AV56">
        <f t="shared" si="125"/>
        <v>24483356.934282441</v>
      </c>
      <c r="AW56">
        <f t="shared" si="125"/>
        <v>24483356.934282441</v>
      </c>
      <c r="AX56">
        <f t="shared" si="125"/>
        <v>24483356.934282441</v>
      </c>
      <c r="AY56">
        <f t="shared" si="125"/>
        <v>32442731.934282441</v>
      </c>
      <c r="AZ56">
        <f t="shared" si="125"/>
        <v>24483356.934282441</v>
      </c>
      <c r="BA56">
        <f t="shared" si="125"/>
        <v>24483356.934282441</v>
      </c>
      <c r="BB56">
        <f t="shared" si="125"/>
        <v>24483356.934282441</v>
      </c>
      <c r="BC56">
        <f t="shared" si="125"/>
        <v>24483356.934282441</v>
      </c>
      <c r="BD56">
        <f t="shared" si="125"/>
        <v>24483356.934282441</v>
      </c>
      <c r="BE56">
        <f t="shared" si="125"/>
        <v>24483356.934282441</v>
      </c>
      <c r="BF56">
        <f t="shared" si="125"/>
        <v>24483356.934282441</v>
      </c>
      <c r="BG56">
        <f t="shared" si="125"/>
        <v>24483356.934282441</v>
      </c>
      <c r="BH56">
        <f t="shared" si="125"/>
        <v>17899359.863969941</v>
      </c>
      <c r="BI56">
        <f t="shared" si="125"/>
        <v>17899359.863969941</v>
      </c>
      <c r="BJ56">
        <f t="shared" si="125"/>
        <v>17899359.863969941</v>
      </c>
      <c r="BK56">
        <f t="shared" si="125"/>
        <v>17899359.863969941</v>
      </c>
      <c r="BL56">
        <f t="shared" si="125"/>
        <v>17899359.863969941</v>
      </c>
      <c r="BM56">
        <f t="shared" si="125"/>
        <v>17899359.863969941</v>
      </c>
      <c r="BN56">
        <f t="shared" si="125"/>
        <v>11315362.793657441</v>
      </c>
      <c r="BO56">
        <f t="shared" ref="BO56:CT56" si="126">MAX(-BO25,0)+MAX(-BO28,0)+MAX(-BO31,0)+MAX(-BO34,0)+MAX(-BO37,0)+MAX(-BO40,0)+MAX(-BO43,0)+MAX(-BO46,0)+MAX(-BO49,0)+MAX(-BO52,0)</f>
        <v>11315362.793657441</v>
      </c>
      <c r="BP56">
        <f t="shared" si="126"/>
        <v>11315362.793657441</v>
      </c>
      <c r="BQ56">
        <f t="shared" si="126"/>
        <v>11315362.793657441</v>
      </c>
      <c r="BR56">
        <f t="shared" si="126"/>
        <v>11315362.793657441</v>
      </c>
      <c r="BS56">
        <f t="shared" si="126"/>
        <v>11315362.793657441</v>
      </c>
      <c r="BT56">
        <f t="shared" si="126"/>
        <v>4731365.7233449398</v>
      </c>
      <c r="BU56">
        <f t="shared" si="126"/>
        <v>4731365.7233449398</v>
      </c>
      <c r="BV56">
        <f t="shared" si="126"/>
        <v>4731365.7233449398</v>
      </c>
      <c r="BW56">
        <f t="shared" si="126"/>
        <v>4731365.7233449398</v>
      </c>
      <c r="BX56">
        <f t="shared" si="126"/>
        <v>4731365.7233449398</v>
      </c>
      <c r="BY56">
        <f t="shared" si="126"/>
        <v>4731365.7233449398</v>
      </c>
      <c r="BZ56">
        <f t="shared" si="126"/>
        <v>0</v>
      </c>
      <c r="CA56">
        <f t="shared" si="126"/>
        <v>0</v>
      </c>
      <c r="CB56">
        <f t="shared" si="126"/>
        <v>0</v>
      </c>
      <c r="CC56">
        <f t="shared" si="126"/>
        <v>0</v>
      </c>
      <c r="CD56">
        <f t="shared" si="126"/>
        <v>0</v>
      </c>
      <c r="CE56">
        <f t="shared" si="126"/>
        <v>0</v>
      </c>
      <c r="CF56">
        <f t="shared" si="126"/>
        <v>0</v>
      </c>
      <c r="CG56">
        <f t="shared" si="126"/>
        <v>0</v>
      </c>
      <c r="CH56">
        <f t="shared" si="126"/>
        <v>0</v>
      </c>
      <c r="CI56">
        <f t="shared" si="126"/>
        <v>0</v>
      </c>
      <c r="CJ56">
        <f t="shared" si="126"/>
        <v>0</v>
      </c>
      <c r="CK56">
        <f t="shared" si="126"/>
        <v>0</v>
      </c>
      <c r="CL56">
        <f t="shared" si="126"/>
        <v>0</v>
      </c>
      <c r="CM56">
        <f t="shared" si="126"/>
        <v>0</v>
      </c>
      <c r="CN56">
        <f t="shared" si="126"/>
        <v>0</v>
      </c>
      <c r="CO56">
        <f t="shared" si="126"/>
        <v>0</v>
      </c>
      <c r="CP56">
        <f t="shared" si="126"/>
        <v>0</v>
      </c>
      <c r="CQ56">
        <f t="shared" si="126"/>
        <v>0</v>
      </c>
      <c r="CR56">
        <f t="shared" si="126"/>
        <v>0</v>
      </c>
      <c r="CS56">
        <f t="shared" si="126"/>
        <v>0</v>
      </c>
      <c r="CT56">
        <f t="shared" si="126"/>
        <v>0</v>
      </c>
      <c r="CU56">
        <f t="shared" ref="CU56:DR56" si="127">MAX(-CU25,0)+MAX(-CU28,0)+MAX(-CU31,0)+MAX(-CU34,0)+MAX(-CU37,0)+MAX(-CU40,0)+MAX(-CU43,0)+MAX(-CU46,0)+MAX(-CU49,0)+MAX(-CU52,0)</f>
        <v>0</v>
      </c>
      <c r="CV56">
        <f t="shared" si="127"/>
        <v>0</v>
      </c>
      <c r="CW56">
        <f t="shared" si="127"/>
        <v>0</v>
      </c>
      <c r="CX56">
        <f t="shared" si="127"/>
        <v>0</v>
      </c>
      <c r="CY56">
        <f t="shared" si="127"/>
        <v>0</v>
      </c>
      <c r="CZ56">
        <f t="shared" si="127"/>
        <v>0</v>
      </c>
      <c r="DA56">
        <f t="shared" si="127"/>
        <v>0</v>
      </c>
      <c r="DB56">
        <f t="shared" si="127"/>
        <v>0</v>
      </c>
      <c r="DC56">
        <f t="shared" si="127"/>
        <v>0</v>
      </c>
      <c r="DD56">
        <f t="shared" si="127"/>
        <v>0</v>
      </c>
      <c r="DE56">
        <f t="shared" si="127"/>
        <v>0</v>
      </c>
      <c r="DF56">
        <f t="shared" si="127"/>
        <v>0</v>
      </c>
      <c r="DG56">
        <f t="shared" si="127"/>
        <v>0</v>
      </c>
      <c r="DH56">
        <f t="shared" si="127"/>
        <v>0</v>
      </c>
      <c r="DI56">
        <f t="shared" si="127"/>
        <v>0</v>
      </c>
      <c r="DJ56">
        <f t="shared" si="127"/>
        <v>0</v>
      </c>
      <c r="DK56">
        <f t="shared" si="127"/>
        <v>0</v>
      </c>
      <c r="DL56">
        <f t="shared" si="127"/>
        <v>0</v>
      </c>
      <c r="DM56">
        <f t="shared" si="127"/>
        <v>0</v>
      </c>
      <c r="DN56">
        <f t="shared" si="127"/>
        <v>0</v>
      </c>
      <c r="DO56">
        <f t="shared" si="127"/>
        <v>0</v>
      </c>
      <c r="DP56">
        <f t="shared" si="127"/>
        <v>0</v>
      </c>
      <c r="DQ56">
        <f t="shared" si="127"/>
        <v>0</v>
      </c>
      <c r="DR56">
        <f t="shared" si="127"/>
        <v>0</v>
      </c>
    </row>
    <row r="57" spans="1:122">
      <c r="A57" s="142" t="s">
        <v>343</v>
      </c>
      <c r="C57" s="144">
        <f t="shared" ref="C57:AH57" si="128">C25+C28+C31+C34+C37+C40+C43+C46+C49+C52</f>
        <v>0</v>
      </c>
      <c r="D57" s="144">
        <f t="shared" si="128"/>
        <v>0</v>
      </c>
      <c r="E57" s="144">
        <f t="shared" si="128"/>
        <v>0</v>
      </c>
      <c r="F57" s="144">
        <f t="shared" si="128"/>
        <v>0</v>
      </c>
      <c r="G57" s="144">
        <f t="shared" si="128"/>
        <v>0</v>
      </c>
      <c r="H57" s="144">
        <f t="shared" si="128"/>
        <v>0</v>
      </c>
      <c r="I57" s="144">
        <f t="shared" si="128"/>
        <v>0</v>
      </c>
      <c r="J57" s="144">
        <f t="shared" si="128"/>
        <v>0</v>
      </c>
      <c r="K57" s="144">
        <f t="shared" si="128"/>
        <v>0</v>
      </c>
      <c r="L57" s="144">
        <f t="shared" si="128"/>
        <v>0</v>
      </c>
      <c r="M57" s="144">
        <f t="shared" si="128"/>
        <v>0</v>
      </c>
      <c r="N57" s="144">
        <f t="shared" si="128"/>
        <v>0</v>
      </c>
      <c r="O57" s="144">
        <f t="shared" si="128"/>
        <v>0</v>
      </c>
      <c r="P57" s="144">
        <f t="shared" si="128"/>
        <v>0</v>
      </c>
      <c r="Q57" s="144">
        <f t="shared" si="128"/>
        <v>0</v>
      </c>
      <c r="R57" s="144">
        <f t="shared" si="128"/>
        <v>0</v>
      </c>
      <c r="S57" s="144">
        <f t="shared" si="128"/>
        <v>0</v>
      </c>
      <c r="T57" s="144">
        <f t="shared" si="128"/>
        <v>0</v>
      </c>
      <c r="U57" s="144">
        <f t="shared" si="128"/>
        <v>0</v>
      </c>
      <c r="V57" s="144">
        <f t="shared" si="128"/>
        <v>0</v>
      </c>
      <c r="W57" s="144">
        <f t="shared" si="128"/>
        <v>0</v>
      </c>
      <c r="X57" s="144">
        <f t="shared" si="128"/>
        <v>0</v>
      </c>
      <c r="Y57" s="144">
        <f t="shared" si="128"/>
        <v>0</v>
      </c>
      <c r="Z57" s="144">
        <f t="shared" si="128"/>
        <v>0</v>
      </c>
      <c r="AA57" s="144">
        <f t="shared" si="128"/>
        <v>-7959375</v>
      </c>
      <c r="AB57" s="144">
        <f t="shared" si="128"/>
        <v>0</v>
      </c>
      <c r="AC57" s="144">
        <f t="shared" si="128"/>
        <v>0</v>
      </c>
      <c r="AD57" s="144">
        <f t="shared" si="128"/>
        <v>-6583997.0703125</v>
      </c>
      <c r="AE57" s="144">
        <f t="shared" si="128"/>
        <v>-6583997.0703125</v>
      </c>
      <c r="AF57" s="144">
        <f t="shared" si="128"/>
        <v>-6583997.0703125</v>
      </c>
      <c r="AG57" s="144">
        <f t="shared" si="128"/>
        <v>-14543372.0703125</v>
      </c>
      <c r="AH57" s="144">
        <f t="shared" si="128"/>
        <v>-6583997.0703125</v>
      </c>
      <c r="AI57" s="144">
        <f t="shared" ref="AI57:BN57" si="129">AI25+AI28+AI31+AI34+AI37+AI40+AI43+AI46+AI49+AI52</f>
        <v>-6583997.0703125</v>
      </c>
      <c r="AJ57" s="144">
        <f t="shared" si="129"/>
        <v>-13167994.140625</v>
      </c>
      <c r="AK57" s="144">
        <f t="shared" si="129"/>
        <v>-13167994.140625</v>
      </c>
      <c r="AL57" s="144">
        <f t="shared" si="129"/>
        <v>-13167994.140625</v>
      </c>
      <c r="AM57" s="144">
        <f t="shared" si="129"/>
        <v>-21127369.140625</v>
      </c>
      <c r="AN57" s="144">
        <f t="shared" si="129"/>
        <v>-13167994.140625</v>
      </c>
      <c r="AO57" s="144">
        <f t="shared" si="129"/>
        <v>-13167994.140625</v>
      </c>
      <c r="AP57" s="144">
        <f t="shared" si="129"/>
        <v>-19751991.2109375</v>
      </c>
      <c r="AQ57" s="144">
        <f t="shared" si="129"/>
        <v>-19751991.2109375</v>
      </c>
      <c r="AR57" s="144">
        <f t="shared" si="129"/>
        <v>-19751991.2109375</v>
      </c>
      <c r="AS57" s="144">
        <f t="shared" si="129"/>
        <v>-27711366.2109375</v>
      </c>
      <c r="AT57" s="144">
        <f t="shared" si="129"/>
        <v>-19751991.2109375</v>
      </c>
      <c r="AU57" s="144">
        <f t="shared" si="129"/>
        <v>-19751991.2109375</v>
      </c>
      <c r="AV57" s="144">
        <f t="shared" si="129"/>
        <v>-24483356.934282441</v>
      </c>
      <c r="AW57" s="144">
        <f t="shared" si="129"/>
        <v>-24483356.934282441</v>
      </c>
      <c r="AX57" s="144">
        <f t="shared" si="129"/>
        <v>-24483356.934282441</v>
      </c>
      <c r="AY57" s="144">
        <f t="shared" si="129"/>
        <v>-32442731.934282441</v>
      </c>
      <c r="AZ57" s="144">
        <f t="shared" si="129"/>
        <v>-24483356.934282441</v>
      </c>
      <c r="BA57" s="144">
        <f t="shared" si="129"/>
        <v>-24483356.934282441</v>
      </c>
      <c r="BB57" s="144">
        <f t="shared" si="129"/>
        <v>50856984.509065017</v>
      </c>
      <c r="BC57" s="144">
        <f t="shared" si="129"/>
        <v>-12132481.28783204</v>
      </c>
      <c r="BD57" s="144">
        <f t="shared" si="129"/>
        <v>-12132481.28783204</v>
      </c>
      <c r="BE57" s="144">
        <f t="shared" si="129"/>
        <v>-12132481.28783204</v>
      </c>
      <c r="BF57" s="144">
        <f t="shared" si="129"/>
        <v>-12132481.28783204</v>
      </c>
      <c r="BG57" s="144">
        <f t="shared" si="129"/>
        <v>-12132481.28783204</v>
      </c>
      <c r="BH57" s="144">
        <f t="shared" si="129"/>
        <v>69791857.225827917</v>
      </c>
      <c r="BI57" s="144">
        <f t="shared" si="129"/>
        <v>6802391.4289308563</v>
      </c>
      <c r="BJ57" s="144">
        <f t="shared" si="129"/>
        <v>6802391.4289308563</v>
      </c>
      <c r="BK57" s="144">
        <f t="shared" si="129"/>
        <v>6802391.4289308563</v>
      </c>
      <c r="BL57" s="144">
        <f t="shared" si="129"/>
        <v>6802391.4289308563</v>
      </c>
      <c r="BM57" s="144">
        <f t="shared" si="129"/>
        <v>6802391.4289308563</v>
      </c>
      <c r="BN57" s="144">
        <f t="shared" si="129"/>
        <v>76375854.296140417</v>
      </c>
      <c r="BO57" s="144">
        <f t="shared" ref="BO57:CT57" si="130">BO25+BO28+BO31+BO34+BO37+BO40+BO43+BO46+BO49+BO52</f>
        <v>13386388.499243356</v>
      </c>
      <c r="BP57" s="144">
        <f t="shared" si="130"/>
        <v>13386388.499243356</v>
      </c>
      <c r="BQ57" s="144">
        <f t="shared" si="130"/>
        <v>13386388.499243356</v>
      </c>
      <c r="BR57" s="144">
        <f t="shared" si="130"/>
        <v>13386388.499243356</v>
      </c>
      <c r="BS57" s="144">
        <f t="shared" si="130"/>
        <v>13386388.499243356</v>
      </c>
      <c r="BT57" s="144">
        <f t="shared" si="130"/>
        <v>82959851.366452917</v>
      </c>
      <c r="BU57" s="144">
        <f t="shared" si="130"/>
        <v>19970385.569555856</v>
      </c>
      <c r="BV57" s="144">
        <f t="shared" si="130"/>
        <v>19970385.569555856</v>
      </c>
      <c r="BW57" s="144">
        <f t="shared" si="130"/>
        <v>19970385.569555856</v>
      </c>
      <c r="BX57" s="144">
        <f t="shared" si="130"/>
        <v>19970385.569555856</v>
      </c>
      <c r="BY57" s="144">
        <f t="shared" si="130"/>
        <v>19970385.569555856</v>
      </c>
      <c r="BZ57" s="144">
        <f t="shared" si="130"/>
        <v>87691217.089797854</v>
      </c>
      <c r="CA57" s="144">
        <f t="shared" si="130"/>
        <v>24701751.292900797</v>
      </c>
      <c r="CB57" s="144">
        <f t="shared" si="130"/>
        <v>24701751.292900797</v>
      </c>
      <c r="CC57" s="144">
        <f t="shared" si="130"/>
        <v>24701751.292900797</v>
      </c>
      <c r="CD57" s="144">
        <f t="shared" si="130"/>
        <v>24701751.292900797</v>
      </c>
      <c r="CE57" s="144">
        <f t="shared" si="130"/>
        <v>24701751.292900797</v>
      </c>
      <c r="CF57" s="144">
        <f t="shared" si="130"/>
        <v>12350875.646450398</v>
      </c>
      <c r="CG57" s="144">
        <f t="shared" si="130"/>
        <v>12350875.646450398</v>
      </c>
      <c r="CH57" s="144">
        <f t="shared" si="130"/>
        <v>12350875.646450398</v>
      </c>
      <c r="CI57" s="144">
        <f t="shared" si="130"/>
        <v>12350875.646450398</v>
      </c>
      <c r="CJ57" s="144">
        <f t="shared" si="130"/>
        <v>12350875.646450398</v>
      </c>
      <c r="CK57" s="144">
        <f t="shared" si="130"/>
        <v>12350875.646450398</v>
      </c>
      <c r="CL57" s="144">
        <f t="shared" si="130"/>
        <v>0</v>
      </c>
      <c r="CM57" s="144">
        <f t="shared" si="130"/>
        <v>0</v>
      </c>
      <c r="CN57" s="144">
        <f t="shared" si="130"/>
        <v>0</v>
      </c>
      <c r="CO57" s="144">
        <f t="shared" si="130"/>
        <v>0</v>
      </c>
      <c r="CP57" s="144">
        <f t="shared" si="130"/>
        <v>0</v>
      </c>
      <c r="CQ57" s="144">
        <f t="shared" si="130"/>
        <v>0</v>
      </c>
      <c r="CR57" s="144">
        <f t="shared" si="130"/>
        <v>0</v>
      </c>
      <c r="CS57" s="144">
        <f t="shared" si="130"/>
        <v>0</v>
      </c>
      <c r="CT57" s="144">
        <f t="shared" si="130"/>
        <v>0</v>
      </c>
      <c r="CU57" s="144">
        <f t="shared" ref="CU57:DR57" si="131">CU25+CU28+CU31+CU34+CU37+CU40+CU43+CU46+CU49+CU52</f>
        <v>0</v>
      </c>
      <c r="CV57" s="144">
        <f t="shared" si="131"/>
        <v>0</v>
      </c>
      <c r="CW57" s="144">
        <f t="shared" si="131"/>
        <v>0</v>
      </c>
      <c r="CX57" s="144">
        <f t="shared" si="131"/>
        <v>0</v>
      </c>
      <c r="CY57" s="144">
        <f t="shared" si="131"/>
        <v>0</v>
      </c>
      <c r="CZ57" s="144">
        <f t="shared" si="131"/>
        <v>0</v>
      </c>
      <c r="DA57" s="144">
        <f t="shared" si="131"/>
        <v>0</v>
      </c>
      <c r="DB57" s="144">
        <f t="shared" si="131"/>
        <v>0</v>
      </c>
      <c r="DC57" s="144">
        <f t="shared" si="131"/>
        <v>0</v>
      </c>
      <c r="DD57" s="144">
        <f t="shared" si="131"/>
        <v>0</v>
      </c>
      <c r="DE57" s="144">
        <f t="shared" si="131"/>
        <v>0</v>
      </c>
      <c r="DF57" s="144">
        <f t="shared" si="131"/>
        <v>0</v>
      </c>
      <c r="DG57" s="144">
        <f t="shared" si="131"/>
        <v>0</v>
      </c>
      <c r="DH57" s="144">
        <f t="shared" si="131"/>
        <v>0</v>
      </c>
      <c r="DI57" s="144">
        <f t="shared" si="131"/>
        <v>0</v>
      </c>
      <c r="DJ57" s="144">
        <f t="shared" si="131"/>
        <v>0</v>
      </c>
      <c r="DK57" s="144">
        <f t="shared" si="131"/>
        <v>0</v>
      </c>
      <c r="DL57" s="144">
        <f t="shared" si="131"/>
        <v>0</v>
      </c>
      <c r="DM57" s="144">
        <f t="shared" si="131"/>
        <v>0</v>
      </c>
      <c r="DN57" s="144">
        <f t="shared" si="131"/>
        <v>0</v>
      </c>
      <c r="DO57" s="144">
        <f t="shared" si="131"/>
        <v>0</v>
      </c>
      <c r="DP57" s="144">
        <f t="shared" si="131"/>
        <v>0</v>
      </c>
      <c r="DQ57" s="144">
        <f t="shared" si="131"/>
        <v>0</v>
      </c>
      <c r="DR57" s="144">
        <f t="shared" si="131"/>
        <v>0</v>
      </c>
    </row>
    <row r="58" spans="1:122">
      <c r="A58" s="142" t="s">
        <v>344</v>
      </c>
      <c r="C58" s="144">
        <f t="shared" ref="C58:AH58" si="132">C25</f>
        <v>0</v>
      </c>
      <c r="D58" s="144">
        <f t="shared" si="132"/>
        <v>0</v>
      </c>
      <c r="E58" s="144">
        <f t="shared" si="132"/>
        <v>0</v>
      </c>
      <c r="F58" s="144">
        <f t="shared" si="132"/>
        <v>0</v>
      </c>
      <c r="G58" s="144">
        <f t="shared" si="132"/>
        <v>0</v>
      </c>
      <c r="H58" s="144">
        <f t="shared" si="132"/>
        <v>0</v>
      </c>
      <c r="I58" s="144">
        <f t="shared" si="132"/>
        <v>0</v>
      </c>
      <c r="J58" s="144">
        <f t="shared" si="132"/>
        <v>0</v>
      </c>
      <c r="K58" s="144">
        <f t="shared" si="132"/>
        <v>0</v>
      </c>
      <c r="L58" s="144">
        <f t="shared" si="132"/>
        <v>0</v>
      </c>
      <c r="M58" s="144">
        <f t="shared" si="132"/>
        <v>0</v>
      </c>
      <c r="N58" s="144">
        <f t="shared" si="132"/>
        <v>0</v>
      </c>
      <c r="O58" s="144">
        <f t="shared" si="132"/>
        <v>0</v>
      </c>
      <c r="P58" s="144">
        <f t="shared" si="132"/>
        <v>0</v>
      </c>
      <c r="Q58" s="144">
        <f t="shared" si="132"/>
        <v>0</v>
      </c>
      <c r="R58" s="144">
        <f t="shared" si="132"/>
        <v>0</v>
      </c>
      <c r="S58" s="144">
        <f t="shared" si="132"/>
        <v>0</v>
      </c>
      <c r="T58" s="144">
        <f t="shared" si="132"/>
        <v>0</v>
      </c>
      <c r="U58" s="144">
        <f t="shared" si="132"/>
        <v>0</v>
      </c>
      <c r="V58" s="144">
        <f t="shared" si="132"/>
        <v>0</v>
      </c>
      <c r="W58" s="144">
        <f t="shared" si="132"/>
        <v>0</v>
      </c>
      <c r="X58" s="144">
        <f t="shared" si="132"/>
        <v>0</v>
      </c>
      <c r="Y58" s="144">
        <f t="shared" si="132"/>
        <v>0</v>
      </c>
      <c r="Z58" s="144">
        <f t="shared" si="132"/>
        <v>0</v>
      </c>
      <c r="AA58" s="144">
        <f t="shared" si="132"/>
        <v>-7959375</v>
      </c>
      <c r="AB58" s="144">
        <f t="shared" si="132"/>
        <v>0</v>
      </c>
      <c r="AC58" s="144">
        <f t="shared" si="132"/>
        <v>0</v>
      </c>
      <c r="AD58" s="144">
        <f t="shared" si="132"/>
        <v>-6583997.0703125</v>
      </c>
      <c r="AE58" s="144">
        <f t="shared" si="132"/>
        <v>-6583997.0703125</v>
      </c>
      <c r="AF58" s="144">
        <f t="shared" si="132"/>
        <v>-6583997.0703125</v>
      </c>
      <c r="AG58" s="144">
        <f t="shared" si="132"/>
        <v>-6583997.0703125</v>
      </c>
      <c r="AH58" s="144">
        <f t="shared" si="132"/>
        <v>-6583997.0703125</v>
      </c>
      <c r="AI58" s="144">
        <f t="shared" ref="AI58:BN58" si="133">AI25</f>
        <v>-6583997.0703125</v>
      </c>
      <c r="AJ58" s="144">
        <f t="shared" si="133"/>
        <v>-6583997.0703125</v>
      </c>
      <c r="AK58" s="144">
        <f t="shared" si="133"/>
        <v>-6583997.0703125</v>
      </c>
      <c r="AL58" s="144">
        <f t="shared" si="133"/>
        <v>-6583997.0703125</v>
      </c>
      <c r="AM58" s="144">
        <f t="shared" si="133"/>
        <v>-6583997.0703125</v>
      </c>
      <c r="AN58" s="144">
        <f t="shared" si="133"/>
        <v>-6583997.0703125</v>
      </c>
      <c r="AO58" s="144">
        <f t="shared" si="133"/>
        <v>-6583997.0703125</v>
      </c>
      <c r="AP58" s="144">
        <f t="shared" si="133"/>
        <v>-6583997.0703125</v>
      </c>
      <c r="AQ58" s="144">
        <f t="shared" si="133"/>
        <v>-6583997.0703125</v>
      </c>
      <c r="AR58" s="144">
        <f t="shared" si="133"/>
        <v>-6583997.0703125</v>
      </c>
      <c r="AS58" s="144">
        <f t="shared" si="133"/>
        <v>-6583997.0703125</v>
      </c>
      <c r="AT58" s="144">
        <f t="shared" si="133"/>
        <v>-6583997.0703125</v>
      </c>
      <c r="AU58" s="144">
        <f t="shared" si="133"/>
        <v>-6583997.0703125</v>
      </c>
      <c r="AV58" s="144">
        <f t="shared" si="133"/>
        <v>-4731365.7233449398</v>
      </c>
      <c r="AW58" s="144">
        <f t="shared" si="133"/>
        <v>-4731365.7233449398</v>
      </c>
      <c r="AX58" s="144">
        <f t="shared" si="133"/>
        <v>-4731365.7233449398</v>
      </c>
      <c r="AY58" s="144">
        <f t="shared" si="133"/>
        <v>-4731365.7233449398</v>
      </c>
      <c r="AZ58" s="144">
        <f t="shared" si="133"/>
        <v>-4731365.7233449398</v>
      </c>
      <c r="BA58" s="144">
        <f t="shared" si="133"/>
        <v>-4731365.7233449398</v>
      </c>
      <c r="BB58" s="144">
        <f t="shared" si="133"/>
        <v>75340341.443347454</v>
      </c>
      <c r="BC58" s="144">
        <f t="shared" si="133"/>
        <v>12350875.646450398</v>
      </c>
      <c r="BD58" s="144">
        <f t="shared" si="133"/>
        <v>12350875.646450398</v>
      </c>
      <c r="BE58" s="144">
        <f t="shared" si="133"/>
        <v>12350875.646450398</v>
      </c>
      <c r="BF58" s="144">
        <f t="shared" si="133"/>
        <v>12350875.646450398</v>
      </c>
      <c r="BG58" s="144">
        <f t="shared" si="133"/>
        <v>12350875.646450398</v>
      </c>
      <c r="BH58" s="144">
        <f t="shared" si="133"/>
        <v>12350875.646450398</v>
      </c>
      <c r="BI58" s="144">
        <f t="shared" si="133"/>
        <v>12350875.646450398</v>
      </c>
      <c r="BJ58" s="144">
        <f t="shared" si="133"/>
        <v>12350875.646450398</v>
      </c>
      <c r="BK58" s="144">
        <f t="shared" si="133"/>
        <v>12350875.646450398</v>
      </c>
      <c r="BL58" s="144">
        <f t="shared" si="133"/>
        <v>12350875.646450398</v>
      </c>
      <c r="BM58" s="144">
        <f t="shared" si="133"/>
        <v>12350875.646450398</v>
      </c>
      <c r="BN58" s="144">
        <f t="shared" si="133"/>
        <v>0</v>
      </c>
      <c r="BO58" s="144">
        <f t="shared" ref="BO58:CT58" si="134">BO25</f>
        <v>0</v>
      </c>
      <c r="BP58" s="144">
        <f t="shared" si="134"/>
        <v>0</v>
      </c>
      <c r="BQ58" s="144">
        <f t="shared" si="134"/>
        <v>0</v>
      </c>
      <c r="BR58" s="144">
        <f t="shared" si="134"/>
        <v>0</v>
      </c>
      <c r="BS58" s="144">
        <f t="shared" si="134"/>
        <v>0</v>
      </c>
      <c r="BT58" s="144">
        <f t="shared" si="134"/>
        <v>0</v>
      </c>
      <c r="BU58" s="144">
        <f t="shared" si="134"/>
        <v>0</v>
      </c>
      <c r="BV58" s="144">
        <f t="shared" si="134"/>
        <v>0</v>
      </c>
      <c r="BW58" s="144">
        <f t="shared" si="134"/>
        <v>0</v>
      </c>
      <c r="BX58" s="144">
        <f t="shared" si="134"/>
        <v>0</v>
      </c>
      <c r="BY58" s="144">
        <f t="shared" si="134"/>
        <v>0</v>
      </c>
      <c r="BZ58" s="144">
        <f t="shared" si="134"/>
        <v>0</v>
      </c>
      <c r="CA58" s="144">
        <f t="shared" si="134"/>
        <v>0</v>
      </c>
      <c r="CB58" s="144">
        <f t="shared" si="134"/>
        <v>0</v>
      </c>
      <c r="CC58" s="144">
        <f t="shared" si="134"/>
        <v>0</v>
      </c>
      <c r="CD58" s="144">
        <f t="shared" si="134"/>
        <v>0</v>
      </c>
      <c r="CE58" s="144">
        <f t="shared" si="134"/>
        <v>0</v>
      </c>
      <c r="CF58" s="144">
        <f t="shared" si="134"/>
        <v>0</v>
      </c>
      <c r="CG58" s="144">
        <f t="shared" si="134"/>
        <v>0</v>
      </c>
      <c r="CH58" s="144">
        <f t="shared" si="134"/>
        <v>0</v>
      </c>
      <c r="CI58" s="144">
        <f t="shared" si="134"/>
        <v>0</v>
      </c>
      <c r="CJ58" s="144">
        <f t="shared" si="134"/>
        <v>0</v>
      </c>
      <c r="CK58" s="144">
        <f t="shared" si="134"/>
        <v>0</v>
      </c>
      <c r="CL58" s="144">
        <f t="shared" si="134"/>
        <v>0</v>
      </c>
      <c r="CM58" s="144">
        <f t="shared" si="134"/>
        <v>0</v>
      </c>
      <c r="CN58" s="144">
        <f t="shared" si="134"/>
        <v>0</v>
      </c>
      <c r="CO58" s="144">
        <f t="shared" si="134"/>
        <v>0</v>
      </c>
      <c r="CP58" s="144">
        <f t="shared" si="134"/>
        <v>0</v>
      </c>
      <c r="CQ58" s="144">
        <f t="shared" si="134"/>
        <v>0</v>
      </c>
      <c r="CR58" s="144">
        <f t="shared" si="134"/>
        <v>0</v>
      </c>
      <c r="CS58" s="144">
        <f t="shared" si="134"/>
        <v>0</v>
      </c>
      <c r="CT58" s="144">
        <f t="shared" si="134"/>
        <v>0</v>
      </c>
      <c r="CU58" s="144">
        <f t="shared" ref="CU58:DR58" si="135">CU25</f>
        <v>0</v>
      </c>
      <c r="CV58" s="144">
        <f t="shared" si="135"/>
        <v>0</v>
      </c>
      <c r="CW58" s="144">
        <f t="shared" si="135"/>
        <v>0</v>
      </c>
      <c r="CX58" s="144">
        <f t="shared" si="135"/>
        <v>0</v>
      </c>
      <c r="CY58" s="144">
        <f t="shared" si="135"/>
        <v>0</v>
      </c>
      <c r="CZ58" s="144">
        <f t="shared" si="135"/>
        <v>0</v>
      </c>
      <c r="DA58" s="144">
        <f t="shared" si="135"/>
        <v>0</v>
      </c>
      <c r="DB58" s="144">
        <f t="shared" si="135"/>
        <v>0</v>
      </c>
      <c r="DC58" s="144">
        <f t="shared" si="135"/>
        <v>0</v>
      </c>
      <c r="DD58" s="144">
        <f t="shared" si="135"/>
        <v>0</v>
      </c>
      <c r="DE58" s="144">
        <f t="shared" si="135"/>
        <v>0</v>
      </c>
      <c r="DF58" s="144">
        <f t="shared" si="135"/>
        <v>0</v>
      </c>
      <c r="DG58" s="144">
        <f t="shared" si="135"/>
        <v>0</v>
      </c>
      <c r="DH58" s="144">
        <f t="shared" si="135"/>
        <v>0</v>
      </c>
      <c r="DI58" s="144">
        <f t="shared" si="135"/>
        <v>0</v>
      </c>
      <c r="DJ58" s="144">
        <f t="shared" si="135"/>
        <v>0</v>
      </c>
      <c r="DK58" s="144">
        <f t="shared" si="135"/>
        <v>0</v>
      </c>
      <c r="DL58" s="144">
        <f t="shared" si="135"/>
        <v>0</v>
      </c>
      <c r="DM58" s="144">
        <f t="shared" si="135"/>
        <v>0</v>
      </c>
      <c r="DN58" s="144">
        <f t="shared" si="135"/>
        <v>0</v>
      </c>
      <c r="DO58" s="144">
        <f t="shared" si="135"/>
        <v>0</v>
      </c>
      <c r="DP58" s="144">
        <f t="shared" si="135"/>
        <v>0</v>
      </c>
      <c r="DQ58" s="144">
        <f t="shared" si="135"/>
        <v>0</v>
      </c>
      <c r="DR58" s="144">
        <f t="shared" si="135"/>
        <v>0</v>
      </c>
    </row>
    <row r="59" spans="1:122">
      <c r="A59" s="142" t="s">
        <v>345</v>
      </c>
      <c r="C59" s="144">
        <f t="shared" ref="C59:AH59" si="136">C28+C31+C34+C37+C40+C43+C46+C49+C52</f>
        <v>0</v>
      </c>
      <c r="D59" s="144">
        <f t="shared" si="136"/>
        <v>0</v>
      </c>
      <c r="E59" s="144">
        <f t="shared" si="136"/>
        <v>0</v>
      </c>
      <c r="F59" s="144">
        <f t="shared" si="136"/>
        <v>0</v>
      </c>
      <c r="G59" s="144">
        <f t="shared" si="136"/>
        <v>0</v>
      </c>
      <c r="H59" s="144">
        <f t="shared" si="136"/>
        <v>0</v>
      </c>
      <c r="I59" s="144">
        <f t="shared" si="136"/>
        <v>0</v>
      </c>
      <c r="J59" s="144">
        <f t="shared" si="136"/>
        <v>0</v>
      </c>
      <c r="K59" s="144">
        <f t="shared" si="136"/>
        <v>0</v>
      </c>
      <c r="L59" s="144">
        <f t="shared" si="136"/>
        <v>0</v>
      </c>
      <c r="M59" s="144">
        <f t="shared" si="136"/>
        <v>0</v>
      </c>
      <c r="N59" s="144">
        <f t="shared" si="136"/>
        <v>0</v>
      </c>
      <c r="O59" s="144">
        <f t="shared" si="136"/>
        <v>0</v>
      </c>
      <c r="P59" s="144">
        <f t="shared" si="136"/>
        <v>0</v>
      </c>
      <c r="Q59" s="144">
        <f t="shared" si="136"/>
        <v>0</v>
      </c>
      <c r="R59" s="144">
        <f t="shared" si="136"/>
        <v>0</v>
      </c>
      <c r="S59" s="144">
        <f t="shared" si="136"/>
        <v>0</v>
      </c>
      <c r="T59" s="144">
        <f t="shared" si="136"/>
        <v>0</v>
      </c>
      <c r="U59" s="144">
        <f t="shared" si="136"/>
        <v>0</v>
      </c>
      <c r="V59" s="144">
        <f t="shared" si="136"/>
        <v>0</v>
      </c>
      <c r="W59" s="144">
        <f t="shared" si="136"/>
        <v>0</v>
      </c>
      <c r="X59" s="144">
        <f t="shared" si="136"/>
        <v>0</v>
      </c>
      <c r="Y59" s="144">
        <f t="shared" si="136"/>
        <v>0</v>
      </c>
      <c r="Z59" s="144">
        <f t="shared" si="136"/>
        <v>0</v>
      </c>
      <c r="AA59" s="144">
        <f t="shared" si="136"/>
        <v>0</v>
      </c>
      <c r="AB59" s="144">
        <f t="shared" si="136"/>
        <v>0</v>
      </c>
      <c r="AC59" s="144">
        <f t="shared" si="136"/>
        <v>0</v>
      </c>
      <c r="AD59" s="144">
        <f t="shared" si="136"/>
        <v>0</v>
      </c>
      <c r="AE59" s="144">
        <f t="shared" si="136"/>
        <v>0</v>
      </c>
      <c r="AF59" s="144">
        <f t="shared" si="136"/>
        <v>0</v>
      </c>
      <c r="AG59" s="144">
        <f t="shared" si="136"/>
        <v>-7959375</v>
      </c>
      <c r="AH59" s="144">
        <f t="shared" si="136"/>
        <v>0</v>
      </c>
      <c r="AI59" s="144">
        <f t="shared" ref="AI59:BN59" si="137">AI28+AI31+AI34+AI37+AI40+AI43+AI46+AI49+AI52</f>
        <v>0</v>
      </c>
      <c r="AJ59" s="144">
        <f t="shared" si="137"/>
        <v>-6583997.0703125</v>
      </c>
      <c r="AK59" s="144">
        <f t="shared" si="137"/>
        <v>-6583997.0703125</v>
      </c>
      <c r="AL59" s="144">
        <f t="shared" si="137"/>
        <v>-6583997.0703125</v>
      </c>
      <c r="AM59" s="144">
        <f t="shared" si="137"/>
        <v>-14543372.0703125</v>
      </c>
      <c r="AN59" s="144">
        <f t="shared" si="137"/>
        <v>-6583997.0703125</v>
      </c>
      <c r="AO59" s="144">
        <f t="shared" si="137"/>
        <v>-6583997.0703125</v>
      </c>
      <c r="AP59" s="144">
        <f t="shared" si="137"/>
        <v>-13167994.140625</v>
      </c>
      <c r="AQ59" s="144">
        <f t="shared" si="137"/>
        <v>-13167994.140625</v>
      </c>
      <c r="AR59" s="144">
        <f t="shared" si="137"/>
        <v>-13167994.140625</v>
      </c>
      <c r="AS59" s="144">
        <f t="shared" si="137"/>
        <v>-21127369.140625</v>
      </c>
      <c r="AT59" s="144">
        <f t="shared" si="137"/>
        <v>-13167994.140625</v>
      </c>
      <c r="AU59" s="144">
        <f t="shared" si="137"/>
        <v>-13167994.140625</v>
      </c>
      <c r="AV59" s="144">
        <f t="shared" si="137"/>
        <v>-19751991.2109375</v>
      </c>
      <c r="AW59" s="144">
        <f t="shared" si="137"/>
        <v>-19751991.2109375</v>
      </c>
      <c r="AX59" s="144">
        <f t="shared" si="137"/>
        <v>-19751991.2109375</v>
      </c>
      <c r="AY59" s="144">
        <f t="shared" si="137"/>
        <v>-27711366.2109375</v>
      </c>
      <c r="AZ59" s="144">
        <f t="shared" si="137"/>
        <v>-19751991.2109375</v>
      </c>
      <c r="BA59" s="144">
        <f t="shared" si="137"/>
        <v>-19751991.2109375</v>
      </c>
      <c r="BB59" s="144">
        <f t="shared" si="137"/>
        <v>-24483356.934282441</v>
      </c>
      <c r="BC59" s="144">
        <f t="shared" si="137"/>
        <v>-24483356.934282441</v>
      </c>
      <c r="BD59" s="144">
        <f t="shared" si="137"/>
        <v>-24483356.934282441</v>
      </c>
      <c r="BE59" s="144">
        <f t="shared" si="137"/>
        <v>-24483356.934282441</v>
      </c>
      <c r="BF59" s="144">
        <f t="shared" si="137"/>
        <v>-24483356.934282441</v>
      </c>
      <c r="BG59" s="144">
        <f t="shared" si="137"/>
        <v>-24483356.934282441</v>
      </c>
      <c r="BH59" s="144">
        <f t="shared" si="137"/>
        <v>57440981.579377517</v>
      </c>
      <c r="BI59" s="144">
        <f t="shared" si="137"/>
        <v>-5548484.2175195413</v>
      </c>
      <c r="BJ59" s="144">
        <f t="shared" si="137"/>
        <v>-5548484.2175195413</v>
      </c>
      <c r="BK59" s="144">
        <f t="shared" si="137"/>
        <v>-5548484.2175195413</v>
      </c>
      <c r="BL59" s="144">
        <f t="shared" si="137"/>
        <v>-5548484.2175195413</v>
      </c>
      <c r="BM59" s="144">
        <f t="shared" si="137"/>
        <v>-5548484.2175195413</v>
      </c>
      <c r="BN59" s="144">
        <f t="shared" si="137"/>
        <v>76375854.296140417</v>
      </c>
      <c r="BO59" s="144">
        <f t="shared" ref="BO59:CT59" si="138">BO28+BO31+BO34+BO37+BO40+BO43+BO46+BO49+BO52</f>
        <v>13386388.499243356</v>
      </c>
      <c r="BP59" s="144">
        <f t="shared" si="138"/>
        <v>13386388.499243356</v>
      </c>
      <c r="BQ59" s="144">
        <f t="shared" si="138"/>
        <v>13386388.499243356</v>
      </c>
      <c r="BR59" s="144">
        <f t="shared" si="138"/>
        <v>13386388.499243356</v>
      </c>
      <c r="BS59" s="144">
        <f t="shared" si="138"/>
        <v>13386388.499243356</v>
      </c>
      <c r="BT59" s="144">
        <f t="shared" si="138"/>
        <v>82959851.366452917</v>
      </c>
      <c r="BU59" s="144">
        <f t="shared" si="138"/>
        <v>19970385.569555856</v>
      </c>
      <c r="BV59" s="144">
        <f t="shared" si="138"/>
        <v>19970385.569555856</v>
      </c>
      <c r="BW59" s="144">
        <f t="shared" si="138"/>
        <v>19970385.569555856</v>
      </c>
      <c r="BX59" s="144">
        <f t="shared" si="138"/>
        <v>19970385.569555856</v>
      </c>
      <c r="BY59" s="144">
        <f t="shared" si="138"/>
        <v>19970385.569555856</v>
      </c>
      <c r="BZ59" s="144">
        <f t="shared" si="138"/>
        <v>87691217.089797854</v>
      </c>
      <c r="CA59" s="144">
        <f t="shared" si="138"/>
        <v>24701751.292900797</v>
      </c>
      <c r="CB59" s="144">
        <f t="shared" si="138"/>
        <v>24701751.292900797</v>
      </c>
      <c r="CC59" s="144">
        <f t="shared" si="138"/>
        <v>24701751.292900797</v>
      </c>
      <c r="CD59" s="144">
        <f t="shared" si="138"/>
        <v>24701751.292900797</v>
      </c>
      <c r="CE59" s="144">
        <f t="shared" si="138"/>
        <v>24701751.292900797</v>
      </c>
      <c r="CF59" s="144">
        <f t="shared" si="138"/>
        <v>12350875.646450398</v>
      </c>
      <c r="CG59" s="144">
        <f t="shared" si="138"/>
        <v>12350875.646450398</v>
      </c>
      <c r="CH59" s="144">
        <f t="shared" si="138"/>
        <v>12350875.646450398</v>
      </c>
      <c r="CI59" s="144">
        <f t="shared" si="138"/>
        <v>12350875.646450398</v>
      </c>
      <c r="CJ59" s="144">
        <f t="shared" si="138"/>
        <v>12350875.646450398</v>
      </c>
      <c r="CK59" s="144">
        <f t="shared" si="138"/>
        <v>12350875.646450398</v>
      </c>
      <c r="CL59" s="144">
        <f t="shared" si="138"/>
        <v>0</v>
      </c>
      <c r="CM59" s="144">
        <f t="shared" si="138"/>
        <v>0</v>
      </c>
      <c r="CN59" s="144">
        <f t="shared" si="138"/>
        <v>0</v>
      </c>
      <c r="CO59" s="144">
        <f t="shared" si="138"/>
        <v>0</v>
      </c>
      <c r="CP59" s="144">
        <f t="shared" si="138"/>
        <v>0</v>
      </c>
      <c r="CQ59" s="144">
        <f t="shared" si="138"/>
        <v>0</v>
      </c>
      <c r="CR59" s="144">
        <f t="shared" si="138"/>
        <v>0</v>
      </c>
      <c r="CS59" s="144">
        <f t="shared" si="138"/>
        <v>0</v>
      </c>
      <c r="CT59" s="144">
        <f t="shared" si="138"/>
        <v>0</v>
      </c>
      <c r="CU59" s="144">
        <f t="shared" ref="CU59:DR59" si="139">CU28+CU31+CU34+CU37+CU40+CU43+CU46+CU49+CU52</f>
        <v>0</v>
      </c>
      <c r="CV59" s="144">
        <f t="shared" si="139"/>
        <v>0</v>
      </c>
      <c r="CW59" s="144">
        <f t="shared" si="139"/>
        <v>0</v>
      </c>
      <c r="CX59" s="144">
        <f t="shared" si="139"/>
        <v>0</v>
      </c>
      <c r="CY59" s="144">
        <f t="shared" si="139"/>
        <v>0</v>
      </c>
      <c r="CZ59" s="144">
        <f t="shared" si="139"/>
        <v>0</v>
      </c>
      <c r="DA59" s="144">
        <f t="shared" si="139"/>
        <v>0</v>
      </c>
      <c r="DB59" s="144">
        <f t="shared" si="139"/>
        <v>0</v>
      </c>
      <c r="DC59" s="144">
        <f t="shared" si="139"/>
        <v>0</v>
      </c>
      <c r="DD59" s="144">
        <f t="shared" si="139"/>
        <v>0</v>
      </c>
      <c r="DE59" s="144">
        <f t="shared" si="139"/>
        <v>0</v>
      </c>
      <c r="DF59" s="144">
        <f t="shared" si="139"/>
        <v>0</v>
      </c>
      <c r="DG59" s="144">
        <f t="shared" si="139"/>
        <v>0</v>
      </c>
      <c r="DH59" s="144">
        <f t="shared" si="139"/>
        <v>0</v>
      </c>
      <c r="DI59" s="144">
        <f t="shared" si="139"/>
        <v>0</v>
      </c>
      <c r="DJ59" s="144">
        <f t="shared" si="139"/>
        <v>0</v>
      </c>
      <c r="DK59" s="144">
        <f t="shared" si="139"/>
        <v>0</v>
      </c>
      <c r="DL59" s="144">
        <f t="shared" si="139"/>
        <v>0</v>
      </c>
      <c r="DM59" s="144">
        <f t="shared" si="139"/>
        <v>0</v>
      </c>
      <c r="DN59" s="144">
        <f t="shared" si="139"/>
        <v>0</v>
      </c>
      <c r="DO59" s="144">
        <f t="shared" si="139"/>
        <v>0</v>
      </c>
      <c r="DP59" s="144">
        <f t="shared" si="139"/>
        <v>0</v>
      </c>
      <c r="DQ59" s="144">
        <f t="shared" si="139"/>
        <v>0</v>
      </c>
      <c r="DR59" s="144">
        <f t="shared" si="139"/>
        <v>0</v>
      </c>
    </row>
    <row r="60" spans="1:122">
      <c r="A60" s="142" t="s">
        <v>346</v>
      </c>
      <c r="C60" s="144">
        <f t="shared" ref="C60:AH60" si="140">C26+C29+C32+C35+C38+C41+C44+C47+C50+C53</f>
        <v>0</v>
      </c>
      <c r="D60" s="144">
        <f t="shared" si="140"/>
        <v>0</v>
      </c>
      <c r="E60" s="144">
        <f t="shared" si="140"/>
        <v>0</v>
      </c>
      <c r="F60" s="144">
        <f t="shared" si="140"/>
        <v>0</v>
      </c>
      <c r="G60" s="144">
        <f t="shared" si="140"/>
        <v>0</v>
      </c>
      <c r="H60" s="144">
        <f t="shared" si="140"/>
        <v>0</v>
      </c>
      <c r="I60" s="144">
        <f t="shared" si="140"/>
        <v>0</v>
      </c>
      <c r="J60" s="144">
        <f t="shared" si="140"/>
        <v>0</v>
      </c>
      <c r="K60" s="144">
        <f t="shared" si="140"/>
        <v>0</v>
      </c>
      <c r="L60" s="144">
        <f t="shared" si="140"/>
        <v>0</v>
      </c>
      <c r="M60" s="144">
        <f t="shared" si="140"/>
        <v>0</v>
      </c>
      <c r="N60" s="144">
        <f t="shared" si="140"/>
        <v>0</v>
      </c>
      <c r="O60" s="144">
        <f t="shared" si="140"/>
        <v>0</v>
      </c>
      <c r="P60" s="144">
        <f t="shared" si="140"/>
        <v>0</v>
      </c>
      <c r="Q60" s="144">
        <f t="shared" si="140"/>
        <v>0</v>
      </c>
      <c r="R60" s="144">
        <f t="shared" si="140"/>
        <v>0</v>
      </c>
      <c r="S60" s="144">
        <f t="shared" si="140"/>
        <v>0</v>
      </c>
      <c r="T60" s="144">
        <f t="shared" si="140"/>
        <v>0</v>
      </c>
      <c r="U60" s="144">
        <f t="shared" si="140"/>
        <v>0</v>
      </c>
      <c r="V60" s="144">
        <f t="shared" si="140"/>
        <v>0</v>
      </c>
      <c r="W60" s="144">
        <f t="shared" si="140"/>
        <v>0</v>
      </c>
      <c r="X60" s="144">
        <f t="shared" si="140"/>
        <v>0</v>
      </c>
      <c r="Y60" s="144">
        <f t="shared" si="140"/>
        <v>0</v>
      </c>
      <c r="Z60" s="144">
        <f t="shared" si="140"/>
        <v>0</v>
      </c>
      <c r="AA60" s="144">
        <f t="shared" si="140"/>
        <v>0</v>
      </c>
      <c r="AB60" s="144">
        <f t="shared" si="140"/>
        <v>0</v>
      </c>
      <c r="AC60" s="144">
        <f t="shared" si="140"/>
        <v>0</v>
      </c>
      <c r="AD60" s="144">
        <f t="shared" si="140"/>
        <v>0</v>
      </c>
      <c r="AE60" s="144">
        <f t="shared" si="140"/>
        <v>0</v>
      </c>
      <c r="AF60" s="144">
        <f t="shared" si="140"/>
        <v>0</v>
      </c>
      <c r="AG60" s="144">
        <f t="shared" si="140"/>
        <v>0</v>
      </c>
      <c r="AH60" s="144">
        <f t="shared" si="140"/>
        <v>0</v>
      </c>
      <c r="AI60" s="144">
        <f t="shared" ref="AI60:BN60" si="141">AI26+AI29+AI32+AI35+AI38+AI41+AI44+AI47+AI50+AI53</f>
        <v>0</v>
      </c>
      <c r="AJ60" s="144">
        <f t="shared" si="141"/>
        <v>0</v>
      </c>
      <c r="AK60" s="144">
        <f t="shared" si="141"/>
        <v>0</v>
      </c>
      <c r="AL60" s="144">
        <f t="shared" si="141"/>
        <v>0</v>
      </c>
      <c r="AM60" s="144">
        <f t="shared" si="141"/>
        <v>0</v>
      </c>
      <c r="AN60" s="144">
        <f t="shared" si="141"/>
        <v>0</v>
      </c>
      <c r="AO60" s="144">
        <f t="shared" si="141"/>
        <v>0</v>
      </c>
      <c r="AP60" s="144">
        <f t="shared" si="141"/>
        <v>0</v>
      </c>
      <c r="AQ60" s="144">
        <f t="shared" si="141"/>
        <v>0</v>
      </c>
      <c r="AR60" s="144">
        <f t="shared" si="141"/>
        <v>0</v>
      </c>
      <c r="AS60" s="144">
        <f t="shared" si="141"/>
        <v>0</v>
      </c>
      <c r="AT60" s="144">
        <f t="shared" si="141"/>
        <v>0</v>
      </c>
      <c r="AU60" s="144">
        <f t="shared" si="141"/>
        <v>0</v>
      </c>
      <c r="AV60" s="144">
        <f t="shared" si="141"/>
        <v>1875000.0000000002</v>
      </c>
      <c r="AW60" s="144">
        <f t="shared" si="141"/>
        <v>1875000.0000000002</v>
      </c>
      <c r="AX60" s="144">
        <f t="shared" si="141"/>
        <v>1875000.0000000002</v>
      </c>
      <c r="AY60" s="144">
        <f t="shared" si="141"/>
        <v>1875000.0000000002</v>
      </c>
      <c r="AZ60" s="144">
        <f t="shared" si="141"/>
        <v>1875000.0000000002</v>
      </c>
      <c r="BA60" s="144">
        <f t="shared" si="141"/>
        <v>1875000.0000000002</v>
      </c>
      <c r="BB60" s="144">
        <f t="shared" si="141"/>
        <v>78125000.000000015</v>
      </c>
      <c r="BC60" s="144">
        <f t="shared" si="141"/>
        <v>14375000</v>
      </c>
      <c r="BD60" s="144">
        <f t="shared" si="141"/>
        <v>14375000</v>
      </c>
      <c r="BE60" s="144">
        <f t="shared" si="141"/>
        <v>14375000</v>
      </c>
      <c r="BF60" s="144">
        <f t="shared" si="141"/>
        <v>14375000</v>
      </c>
      <c r="BG60" s="144">
        <f t="shared" si="141"/>
        <v>14375000</v>
      </c>
      <c r="BH60" s="144">
        <f t="shared" si="141"/>
        <v>90625000.000000015</v>
      </c>
      <c r="BI60" s="144">
        <f t="shared" si="141"/>
        <v>26875000</v>
      </c>
      <c r="BJ60" s="144">
        <f t="shared" si="141"/>
        <v>26875000</v>
      </c>
      <c r="BK60" s="144">
        <f t="shared" si="141"/>
        <v>26875000</v>
      </c>
      <c r="BL60" s="144">
        <f t="shared" si="141"/>
        <v>26875000</v>
      </c>
      <c r="BM60" s="144">
        <f t="shared" si="141"/>
        <v>26875000</v>
      </c>
      <c r="BN60" s="144">
        <f t="shared" si="141"/>
        <v>90625000.000000015</v>
      </c>
      <c r="BO60" s="144">
        <f t="shared" ref="BO60:CT60" si="142">BO26+BO29+BO32+BO35+BO38+BO41+BO44+BO47+BO50+BO53</f>
        <v>26875000</v>
      </c>
      <c r="BP60" s="144">
        <f t="shared" si="142"/>
        <v>26875000</v>
      </c>
      <c r="BQ60" s="144">
        <f t="shared" si="142"/>
        <v>26875000</v>
      </c>
      <c r="BR60" s="144">
        <f t="shared" si="142"/>
        <v>26875000</v>
      </c>
      <c r="BS60" s="144">
        <f t="shared" si="142"/>
        <v>26875000</v>
      </c>
      <c r="BT60" s="144">
        <f t="shared" si="142"/>
        <v>90625000.000000015</v>
      </c>
      <c r="BU60" s="144">
        <f t="shared" si="142"/>
        <v>26875000</v>
      </c>
      <c r="BV60" s="144">
        <f t="shared" si="142"/>
        <v>26875000</v>
      </c>
      <c r="BW60" s="144">
        <f t="shared" si="142"/>
        <v>26875000</v>
      </c>
      <c r="BX60" s="144">
        <f t="shared" si="142"/>
        <v>26875000</v>
      </c>
      <c r="BY60" s="144">
        <f t="shared" si="142"/>
        <v>26875000</v>
      </c>
      <c r="BZ60" s="144">
        <f t="shared" si="142"/>
        <v>88750000.000000015</v>
      </c>
      <c r="CA60" s="144">
        <f t="shared" si="142"/>
        <v>25000000</v>
      </c>
      <c r="CB60" s="144">
        <f t="shared" si="142"/>
        <v>25000000</v>
      </c>
      <c r="CC60" s="144">
        <f t="shared" si="142"/>
        <v>25000000</v>
      </c>
      <c r="CD60" s="144">
        <f t="shared" si="142"/>
        <v>25000000</v>
      </c>
      <c r="CE60" s="144">
        <f t="shared" si="142"/>
        <v>25000000</v>
      </c>
      <c r="CF60" s="144">
        <f t="shared" si="142"/>
        <v>12500000</v>
      </c>
      <c r="CG60" s="144">
        <f t="shared" si="142"/>
        <v>12500000</v>
      </c>
      <c r="CH60" s="144">
        <f t="shared" si="142"/>
        <v>12500000</v>
      </c>
      <c r="CI60" s="144">
        <f t="shared" si="142"/>
        <v>12500000</v>
      </c>
      <c r="CJ60" s="144">
        <f t="shared" si="142"/>
        <v>12500000</v>
      </c>
      <c r="CK60" s="144">
        <f t="shared" si="142"/>
        <v>12500000</v>
      </c>
      <c r="CL60" s="144">
        <f t="shared" si="142"/>
        <v>0</v>
      </c>
      <c r="CM60" s="144">
        <f t="shared" si="142"/>
        <v>0</v>
      </c>
      <c r="CN60" s="144">
        <f t="shared" si="142"/>
        <v>0</v>
      </c>
      <c r="CO60" s="144">
        <f t="shared" si="142"/>
        <v>0</v>
      </c>
      <c r="CP60" s="144">
        <f t="shared" si="142"/>
        <v>0</v>
      </c>
      <c r="CQ60" s="144">
        <f t="shared" si="142"/>
        <v>0</v>
      </c>
      <c r="CR60" s="144">
        <f t="shared" si="142"/>
        <v>0</v>
      </c>
      <c r="CS60" s="144">
        <f t="shared" si="142"/>
        <v>0</v>
      </c>
      <c r="CT60" s="144">
        <f t="shared" si="142"/>
        <v>0</v>
      </c>
      <c r="CU60" s="144">
        <f t="shared" ref="CU60:DR60" si="143">CU26+CU29+CU32+CU35+CU38+CU41+CU44+CU47+CU50+CU53</f>
        <v>0</v>
      </c>
      <c r="CV60" s="144">
        <f t="shared" si="143"/>
        <v>0</v>
      </c>
      <c r="CW60" s="144">
        <f t="shared" si="143"/>
        <v>0</v>
      </c>
      <c r="CX60" s="144">
        <f t="shared" si="143"/>
        <v>0</v>
      </c>
      <c r="CY60" s="144">
        <f t="shared" si="143"/>
        <v>0</v>
      </c>
      <c r="CZ60" s="144">
        <f t="shared" si="143"/>
        <v>0</v>
      </c>
      <c r="DA60" s="144">
        <f t="shared" si="143"/>
        <v>0</v>
      </c>
      <c r="DB60" s="144">
        <f t="shared" si="143"/>
        <v>0</v>
      </c>
      <c r="DC60" s="144">
        <f t="shared" si="143"/>
        <v>0</v>
      </c>
      <c r="DD60" s="144">
        <f t="shared" si="143"/>
        <v>0</v>
      </c>
      <c r="DE60" s="144">
        <f t="shared" si="143"/>
        <v>0</v>
      </c>
      <c r="DF60" s="144">
        <f t="shared" si="143"/>
        <v>0</v>
      </c>
      <c r="DG60" s="144">
        <f t="shared" si="143"/>
        <v>0</v>
      </c>
      <c r="DH60" s="144">
        <f t="shared" si="143"/>
        <v>0</v>
      </c>
      <c r="DI60" s="144">
        <f t="shared" si="143"/>
        <v>0</v>
      </c>
      <c r="DJ60" s="144">
        <f t="shared" si="143"/>
        <v>0</v>
      </c>
      <c r="DK60" s="144">
        <f t="shared" si="143"/>
        <v>0</v>
      </c>
      <c r="DL60" s="144">
        <f t="shared" si="143"/>
        <v>0</v>
      </c>
      <c r="DM60" s="144">
        <f t="shared" si="143"/>
        <v>0</v>
      </c>
      <c r="DN60" s="144">
        <f t="shared" si="143"/>
        <v>0</v>
      </c>
      <c r="DO60" s="144">
        <f t="shared" si="143"/>
        <v>0</v>
      </c>
      <c r="DP60" s="144">
        <f t="shared" si="143"/>
        <v>0</v>
      </c>
      <c r="DQ60" s="144">
        <f t="shared" si="143"/>
        <v>0</v>
      </c>
      <c r="DR60" s="144">
        <f t="shared" si="143"/>
        <v>0</v>
      </c>
    </row>
    <row r="61" spans="1:122">
      <c r="A61" s="142" t="s">
        <v>347</v>
      </c>
      <c r="C61" s="144">
        <f t="shared" ref="C61:AH61" si="144">C26</f>
        <v>0</v>
      </c>
      <c r="D61" s="144">
        <f t="shared" si="144"/>
        <v>0</v>
      </c>
      <c r="E61" s="144">
        <f t="shared" si="144"/>
        <v>0</v>
      </c>
      <c r="F61" s="144">
        <f t="shared" si="144"/>
        <v>0</v>
      </c>
      <c r="G61" s="144">
        <f t="shared" si="144"/>
        <v>0</v>
      </c>
      <c r="H61" s="144">
        <f t="shared" si="144"/>
        <v>0</v>
      </c>
      <c r="I61" s="144">
        <f t="shared" si="144"/>
        <v>0</v>
      </c>
      <c r="J61" s="144">
        <f t="shared" si="144"/>
        <v>0</v>
      </c>
      <c r="K61" s="144">
        <f t="shared" si="144"/>
        <v>0</v>
      </c>
      <c r="L61" s="144">
        <f t="shared" si="144"/>
        <v>0</v>
      </c>
      <c r="M61" s="144">
        <f t="shared" si="144"/>
        <v>0</v>
      </c>
      <c r="N61" s="144">
        <f t="shared" si="144"/>
        <v>0</v>
      </c>
      <c r="O61" s="144">
        <f t="shared" si="144"/>
        <v>0</v>
      </c>
      <c r="P61" s="144">
        <f t="shared" si="144"/>
        <v>0</v>
      </c>
      <c r="Q61" s="144">
        <f t="shared" si="144"/>
        <v>0</v>
      </c>
      <c r="R61" s="144">
        <f t="shared" si="144"/>
        <v>0</v>
      </c>
      <c r="S61" s="144">
        <f t="shared" si="144"/>
        <v>0</v>
      </c>
      <c r="T61" s="144">
        <f t="shared" si="144"/>
        <v>0</v>
      </c>
      <c r="U61" s="144">
        <f t="shared" si="144"/>
        <v>0</v>
      </c>
      <c r="V61" s="144">
        <f t="shared" si="144"/>
        <v>0</v>
      </c>
      <c r="W61" s="144">
        <f t="shared" si="144"/>
        <v>0</v>
      </c>
      <c r="X61" s="144">
        <f t="shared" si="144"/>
        <v>0</v>
      </c>
      <c r="Y61" s="144">
        <f t="shared" si="144"/>
        <v>0</v>
      </c>
      <c r="Z61" s="144">
        <f t="shared" si="144"/>
        <v>0</v>
      </c>
      <c r="AA61" s="144">
        <f t="shared" si="144"/>
        <v>0</v>
      </c>
      <c r="AB61" s="144">
        <f t="shared" si="144"/>
        <v>0</v>
      </c>
      <c r="AC61" s="144">
        <f t="shared" si="144"/>
        <v>0</v>
      </c>
      <c r="AD61" s="144">
        <f t="shared" si="144"/>
        <v>0</v>
      </c>
      <c r="AE61" s="144">
        <f t="shared" si="144"/>
        <v>0</v>
      </c>
      <c r="AF61" s="144">
        <f t="shared" si="144"/>
        <v>0</v>
      </c>
      <c r="AG61" s="144">
        <f t="shared" si="144"/>
        <v>0</v>
      </c>
      <c r="AH61" s="144">
        <f t="shared" si="144"/>
        <v>0</v>
      </c>
      <c r="AI61" s="144">
        <f t="shared" ref="AI61:BN61" si="145">AI26</f>
        <v>0</v>
      </c>
      <c r="AJ61" s="144">
        <f t="shared" si="145"/>
        <v>0</v>
      </c>
      <c r="AK61" s="144">
        <f t="shared" si="145"/>
        <v>0</v>
      </c>
      <c r="AL61" s="144">
        <f t="shared" si="145"/>
        <v>0</v>
      </c>
      <c r="AM61" s="144">
        <f t="shared" si="145"/>
        <v>0</v>
      </c>
      <c r="AN61" s="144">
        <f t="shared" si="145"/>
        <v>0</v>
      </c>
      <c r="AO61" s="144">
        <f t="shared" si="145"/>
        <v>0</v>
      </c>
      <c r="AP61" s="144">
        <f t="shared" si="145"/>
        <v>0</v>
      </c>
      <c r="AQ61" s="144">
        <f t="shared" si="145"/>
        <v>0</v>
      </c>
      <c r="AR61" s="144">
        <f t="shared" si="145"/>
        <v>0</v>
      </c>
      <c r="AS61" s="144">
        <f t="shared" si="145"/>
        <v>0</v>
      </c>
      <c r="AT61" s="144">
        <f t="shared" si="145"/>
        <v>0</v>
      </c>
      <c r="AU61" s="144">
        <f t="shared" si="145"/>
        <v>0</v>
      </c>
      <c r="AV61" s="144">
        <f t="shared" si="145"/>
        <v>1875000.0000000002</v>
      </c>
      <c r="AW61" s="144">
        <f t="shared" si="145"/>
        <v>1875000.0000000002</v>
      </c>
      <c r="AX61" s="144">
        <f t="shared" si="145"/>
        <v>1875000.0000000002</v>
      </c>
      <c r="AY61" s="144">
        <f t="shared" si="145"/>
        <v>1875000.0000000002</v>
      </c>
      <c r="AZ61" s="144">
        <f t="shared" si="145"/>
        <v>1875000.0000000002</v>
      </c>
      <c r="BA61" s="144">
        <f t="shared" si="145"/>
        <v>1875000.0000000002</v>
      </c>
      <c r="BB61" s="144">
        <f t="shared" si="145"/>
        <v>76250000.000000015</v>
      </c>
      <c r="BC61" s="144">
        <f t="shared" si="145"/>
        <v>12500000</v>
      </c>
      <c r="BD61" s="144">
        <f t="shared" si="145"/>
        <v>12500000</v>
      </c>
      <c r="BE61" s="144">
        <f t="shared" si="145"/>
        <v>12500000</v>
      </c>
      <c r="BF61" s="144">
        <f t="shared" si="145"/>
        <v>12500000</v>
      </c>
      <c r="BG61" s="144">
        <f t="shared" si="145"/>
        <v>12500000</v>
      </c>
      <c r="BH61" s="144">
        <f t="shared" si="145"/>
        <v>12500000</v>
      </c>
      <c r="BI61" s="144">
        <f t="shared" si="145"/>
        <v>12500000</v>
      </c>
      <c r="BJ61" s="144">
        <f t="shared" si="145"/>
        <v>12500000</v>
      </c>
      <c r="BK61" s="144">
        <f t="shared" si="145"/>
        <v>12500000</v>
      </c>
      <c r="BL61" s="144">
        <f t="shared" si="145"/>
        <v>12500000</v>
      </c>
      <c r="BM61" s="144">
        <f t="shared" si="145"/>
        <v>12500000</v>
      </c>
      <c r="BN61" s="144">
        <f t="shared" si="145"/>
        <v>0</v>
      </c>
      <c r="BO61" s="144">
        <f t="shared" ref="BO61:CT61" si="146">BO26</f>
        <v>0</v>
      </c>
      <c r="BP61" s="144">
        <f t="shared" si="146"/>
        <v>0</v>
      </c>
      <c r="BQ61" s="144">
        <f t="shared" si="146"/>
        <v>0</v>
      </c>
      <c r="BR61" s="144">
        <f t="shared" si="146"/>
        <v>0</v>
      </c>
      <c r="BS61" s="144">
        <f t="shared" si="146"/>
        <v>0</v>
      </c>
      <c r="BT61" s="144">
        <f t="shared" si="146"/>
        <v>0</v>
      </c>
      <c r="BU61" s="144">
        <f t="shared" si="146"/>
        <v>0</v>
      </c>
      <c r="BV61" s="144">
        <f t="shared" si="146"/>
        <v>0</v>
      </c>
      <c r="BW61" s="144">
        <f t="shared" si="146"/>
        <v>0</v>
      </c>
      <c r="BX61" s="144">
        <f t="shared" si="146"/>
        <v>0</v>
      </c>
      <c r="BY61" s="144">
        <f t="shared" si="146"/>
        <v>0</v>
      </c>
      <c r="BZ61" s="144">
        <f t="shared" si="146"/>
        <v>0</v>
      </c>
      <c r="CA61" s="144">
        <f t="shared" si="146"/>
        <v>0</v>
      </c>
      <c r="CB61" s="144">
        <f t="shared" si="146"/>
        <v>0</v>
      </c>
      <c r="CC61" s="144">
        <f t="shared" si="146"/>
        <v>0</v>
      </c>
      <c r="CD61" s="144">
        <f t="shared" si="146"/>
        <v>0</v>
      </c>
      <c r="CE61" s="144">
        <f t="shared" si="146"/>
        <v>0</v>
      </c>
      <c r="CF61" s="144">
        <f t="shared" si="146"/>
        <v>0</v>
      </c>
      <c r="CG61" s="144">
        <f t="shared" si="146"/>
        <v>0</v>
      </c>
      <c r="CH61" s="144">
        <f t="shared" si="146"/>
        <v>0</v>
      </c>
      <c r="CI61" s="144">
        <f t="shared" si="146"/>
        <v>0</v>
      </c>
      <c r="CJ61" s="144">
        <f t="shared" si="146"/>
        <v>0</v>
      </c>
      <c r="CK61" s="144">
        <f t="shared" si="146"/>
        <v>0</v>
      </c>
      <c r="CL61" s="144">
        <f t="shared" si="146"/>
        <v>0</v>
      </c>
      <c r="CM61" s="144">
        <f t="shared" si="146"/>
        <v>0</v>
      </c>
      <c r="CN61" s="144">
        <f t="shared" si="146"/>
        <v>0</v>
      </c>
      <c r="CO61" s="144">
        <f t="shared" si="146"/>
        <v>0</v>
      </c>
      <c r="CP61" s="144">
        <f t="shared" si="146"/>
        <v>0</v>
      </c>
      <c r="CQ61" s="144">
        <f t="shared" si="146"/>
        <v>0</v>
      </c>
      <c r="CR61" s="144">
        <f t="shared" si="146"/>
        <v>0</v>
      </c>
      <c r="CS61" s="144">
        <f t="shared" si="146"/>
        <v>0</v>
      </c>
      <c r="CT61" s="144">
        <f t="shared" si="146"/>
        <v>0</v>
      </c>
      <c r="CU61" s="144">
        <f t="shared" ref="CU61:DR61" si="147">CU26</f>
        <v>0</v>
      </c>
      <c r="CV61" s="144">
        <f t="shared" si="147"/>
        <v>0</v>
      </c>
      <c r="CW61" s="144">
        <f t="shared" si="147"/>
        <v>0</v>
      </c>
      <c r="CX61" s="144">
        <f t="shared" si="147"/>
        <v>0</v>
      </c>
      <c r="CY61" s="144">
        <f t="shared" si="147"/>
        <v>0</v>
      </c>
      <c r="CZ61" s="144">
        <f t="shared" si="147"/>
        <v>0</v>
      </c>
      <c r="DA61" s="144">
        <f t="shared" si="147"/>
        <v>0</v>
      </c>
      <c r="DB61" s="144">
        <f t="shared" si="147"/>
        <v>0</v>
      </c>
      <c r="DC61" s="144">
        <f t="shared" si="147"/>
        <v>0</v>
      </c>
      <c r="DD61" s="144">
        <f t="shared" si="147"/>
        <v>0</v>
      </c>
      <c r="DE61" s="144">
        <f t="shared" si="147"/>
        <v>0</v>
      </c>
      <c r="DF61" s="144">
        <f t="shared" si="147"/>
        <v>0</v>
      </c>
      <c r="DG61" s="144">
        <f t="shared" si="147"/>
        <v>0</v>
      </c>
      <c r="DH61" s="144">
        <f t="shared" si="147"/>
        <v>0</v>
      </c>
      <c r="DI61" s="144">
        <f t="shared" si="147"/>
        <v>0</v>
      </c>
      <c r="DJ61" s="144">
        <f t="shared" si="147"/>
        <v>0</v>
      </c>
      <c r="DK61" s="144">
        <f t="shared" si="147"/>
        <v>0</v>
      </c>
      <c r="DL61" s="144">
        <f t="shared" si="147"/>
        <v>0</v>
      </c>
      <c r="DM61" s="144">
        <f t="shared" si="147"/>
        <v>0</v>
      </c>
      <c r="DN61" s="144">
        <f t="shared" si="147"/>
        <v>0</v>
      </c>
      <c r="DO61" s="144">
        <f t="shared" si="147"/>
        <v>0</v>
      </c>
      <c r="DP61" s="144">
        <f t="shared" si="147"/>
        <v>0</v>
      </c>
      <c r="DQ61" s="144">
        <f t="shared" si="147"/>
        <v>0</v>
      </c>
      <c r="DR61" s="144">
        <f t="shared" si="147"/>
        <v>0</v>
      </c>
    </row>
    <row r="62" spans="1:122">
      <c r="A62" s="142" t="s">
        <v>348</v>
      </c>
      <c r="C62" s="144">
        <f t="shared" ref="C62:AH62" si="148">C29+C32+C35+C38+C41+C44+C47+C50+C53</f>
        <v>0</v>
      </c>
      <c r="D62" s="144">
        <f t="shared" si="148"/>
        <v>0</v>
      </c>
      <c r="E62" s="144">
        <f t="shared" si="148"/>
        <v>0</v>
      </c>
      <c r="F62" s="144">
        <f t="shared" si="148"/>
        <v>0</v>
      </c>
      <c r="G62" s="144">
        <f t="shared" si="148"/>
        <v>0</v>
      </c>
      <c r="H62" s="144">
        <f t="shared" si="148"/>
        <v>0</v>
      </c>
      <c r="I62" s="144">
        <f t="shared" si="148"/>
        <v>0</v>
      </c>
      <c r="J62" s="144">
        <f t="shared" si="148"/>
        <v>0</v>
      </c>
      <c r="K62" s="144">
        <f t="shared" si="148"/>
        <v>0</v>
      </c>
      <c r="L62" s="144">
        <f t="shared" si="148"/>
        <v>0</v>
      </c>
      <c r="M62" s="144">
        <f t="shared" si="148"/>
        <v>0</v>
      </c>
      <c r="N62" s="144">
        <f t="shared" si="148"/>
        <v>0</v>
      </c>
      <c r="O62" s="144">
        <f t="shared" si="148"/>
        <v>0</v>
      </c>
      <c r="P62" s="144">
        <f t="shared" si="148"/>
        <v>0</v>
      </c>
      <c r="Q62" s="144">
        <f t="shared" si="148"/>
        <v>0</v>
      </c>
      <c r="R62" s="144">
        <f t="shared" si="148"/>
        <v>0</v>
      </c>
      <c r="S62" s="144">
        <f t="shared" si="148"/>
        <v>0</v>
      </c>
      <c r="T62" s="144">
        <f t="shared" si="148"/>
        <v>0</v>
      </c>
      <c r="U62" s="144">
        <f t="shared" si="148"/>
        <v>0</v>
      </c>
      <c r="V62" s="144">
        <f t="shared" si="148"/>
        <v>0</v>
      </c>
      <c r="W62" s="144">
        <f t="shared" si="148"/>
        <v>0</v>
      </c>
      <c r="X62" s="144">
        <f t="shared" si="148"/>
        <v>0</v>
      </c>
      <c r="Y62" s="144">
        <f t="shared" si="148"/>
        <v>0</v>
      </c>
      <c r="Z62" s="144">
        <f t="shared" si="148"/>
        <v>0</v>
      </c>
      <c r="AA62" s="144">
        <f t="shared" si="148"/>
        <v>0</v>
      </c>
      <c r="AB62" s="144">
        <f t="shared" si="148"/>
        <v>0</v>
      </c>
      <c r="AC62" s="144">
        <f t="shared" si="148"/>
        <v>0</v>
      </c>
      <c r="AD62" s="144">
        <f t="shared" si="148"/>
        <v>0</v>
      </c>
      <c r="AE62" s="144">
        <f t="shared" si="148"/>
        <v>0</v>
      </c>
      <c r="AF62" s="144">
        <f t="shared" si="148"/>
        <v>0</v>
      </c>
      <c r="AG62" s="144">
        <f t="shared" si="148"/>
        <v>0</v>
      </c>
      <c r="AH62" s="144">
        <f t="shared" si="148"/>
        <v>0</v>
      </c>
      <c r="AI62" s="144">
        <f t="shared" ref="AI62:BN62" si="149">AI29+AI32+AI35+AI38+AI41+AI44+AI47+AI50+AI53</f>
        <v>0</v>
      </c>
      <c r="AJ62" s="144">
        <f t="shared" si="149"/>
        <v>0</v>
      </c>
      <c r="AK62" s="144">
        <f t="shared" si="149"/>
        <v>0</v>
      </c>
      <c r="AL62" s="144">
        <f t="shared" si="149"/>
        <v>0</v>
      </c>
      <c r="AM62" s="144">
        <f t="shared" si="149"/>
        <v>0</v>
      </c>
      <c r="AN62" s="144">
        <f t="shared" si="149"/>
        <v>0</v>
      </c>
      <c r="AO62" s="144">
        <f t="shared" si="149"/>
        <v>0</v>
      </c>
      <c r="AP62" s="144">
        <f t="shared" si="149"/>
        <v>0</v>
      </c>
      <c r="AQ62" s="144">
        <f t="shared" si="149"/>
        <v>0</v>
      </c>
      <c r="AR62" s="144">
        <f t="shared" si="149"/>
        <v>0</v>
      </c>
      <c r="AS62" s="144">
        <f t="shared" si="149"/>
        <v>0</v>
      </c>
      <c r="AT62" s="144">
        <f t="shared" si="149"/>
        <v>0</v>
      </c>
      <c r="AU62" s="144">
        <f t="shared" si="149"/>
        <v>0</v>
      </c>
      <c r="AV62" s="144">
        <f t="shared" si="149"/>
        <v>0</v>
      </c>
      <c r="AW62" s="144">
        <f t="shared" si="149"/>
        <v>0</v>
      </c>
      <c r="AX62" s="144">
        <f t="shared" si="149"/>
        <v>0</v>
      </c>
      <c r="AY62" s="144">
        <f t="shared" si="149"/>
        <v>0</v>
      </c>
      <c r="AZ62" s="144">
        <f t="shared" si="149"/>
        <v>0</v>
      </c>
      <c r="BA62" s="144">
        <f t="shared" si="149"/>
        <v>0</v>
      </c>
      <c r="BB62" s="144">
        <f t="shared" si="149"/>
        <v>1875000.0000000002</v>
      </c>
      <c r="BC62" s="144">
        <f t="shared" si="149"/>
        <v>1875000.0000000002</v>
      </c>
      <c r="BD62" s="144">
        <f t="shared" si="149"/>
        <v>1875000.0000000002</v>
      </c>
      <c r="BE62" s="144">
        <f t="shared" si="149"/>
        <v>1875000.0000000002</v>
      </c>
      <c r="BF62" s="144">
        <f t="shared" si="149"/>
        <v>1875000.0000000002</v>
      </c>
      <c r="BG62" s="144">
        <f t="shared" si="149"/>
        <v>1875000.0000000002</v>
      </c>
      <c r="BH62" s="144">
        <f t="shared" si="149"/>
        <v>78125000.000000015</v>
      </c>
      <c r="BI62" s="144">
        <f t="shared" si="149"/>
        <v>14375000</v>
      </c>
      <c r="BJ62" s="144">
        <f t="shared" si="149"/>
        <v>14375000</v>
      </c>
      <c r="BK62" s="144">
        <f t="shared" si="149"/>
        <v>14375000</v>
      </c>
      <c r="BL62" s="144">
        <f t="shared" si="149"/>
        <v>14375000</v>
      </c>
      <c r="BM62" s="144">
        <f t="shared" si="149"/>
        <v>14375000</v>
      </c>
      <c r="BN62" s="144">
        <f t="shared" si="149"/>
        <v>90625000.000000015</v>
      </c>
      <c r="BO62" s="144">
        <f t="shared" ref="BO62:CT62" si="150">BO29+BO32+BO35+BO38+BO41+BO44+BO47+BO50+BO53</f>
        <v>26875000</v>
      </c>
      <c r="BP62" s="144">
        <f t="shared" si="150"/>
        <v>26875000</v>
      </c>
      <c r="BQ62" s="144">
        <f t="shared" si="150"/>
        <v>26875000</v>
      </c>
      <c r="BR62" s="144">
        <f t="shared" si="150"/>
        <v>26875000</v>
      </c>
      <c r="BS62" s="144">
        <f t="shared" si="150"/>
        <v>26875000</v>
      </c>
      <c r="BT62" s="144">
        <f t="shared" si="150"/>
        <v>90625000.000000015</v>
      </c>
      <c r="BU62" s="144">
        <f t="shared" si="150"/>
        <v>26875000</v>
      </c>
      <c r="BV62" s="144">
        <f t="shared" si="150"/>
        <v>26875000</v>
      </c>
      <c r="BW62" s="144">
        <f t="shared" si="150"/>
        <v>26875000</v>
      </c>
      <c r="BX62" s="144">
        <f t="shared" si="150"/>
        <v>26875000</v>
      </c>
      <c r="BY62" s="144">
        <f t="shared" si="150"/>
        <v>26875000</v>
      </c>
      <c r="BZ62" s="144">
        <f t="shared" si="150"/>
        <v>88750000.000000015</v>
      </c>
      <c r="CA62" s="144">
        <f t="shared" si="150"/>
        <v>25000000</v>
      </c>
      <c r="CB62" s="144">
        <f t="shared" si="150"/>
        <v>25000000</v>
      </c>
      <c r="CC62" s="144">
        <f t="shared" si="150"/>
        <v>25000000</v>
      </c>
      <c r="CD62" s="144">
        <f t="shared" si="150"/>
        <v>25000000</v>
      </c>
      <c r="CE62" s="144">
        <f t="shared" si="150"/>
        <v>25000000</v>
      </c>
      <c r="CF62" s="144">
        <f t="shared" si="150"/>
        <v>12500000</v>
      </c>
      <c r="CG62" s="144">
        <f t="shared" si="150"/>
        <v>12500000</v>
      </c>
      <c r="CH62" s="144">
        <f t="shared" si="150"/>
        <v>12500000</v>
      </c>
      <c r="CI62" s="144">
        <f t="shared" si="150"/>
        <v>12500000</v>
      </c>
      <c r="CJ62" s="144">
        <f t="shared" si="150"/>
        <v>12500000</v>
      </c>
      <c r="CK62" s="144">
        <f t="shared" si="150"/>
        <v>12500000</v>
      </c>
      <c r="CL62" s="144">
        <f t="shared" si="150"/>
        <v>0</v>
      </c>
      <c r="CM62" s="144">
        <f t="shared" si="150"/>
        <v>0</v>
      </c>
      <c r="CN62" s="144">
        <f t="shared" si="150"/>
        <v>0</v>
      </c>
      <c r="CO62" s="144">
        <f t="shared" si="150"/>
        <v>0</v>
      </c>
      <c r="CP62" s="144">
        <f t="shared" si="150"/>
        <v>0</v>
      </c>
      <c r="CQ62" s="144">
        <f t="shared" si="150"/>
        <v>0</v>
      </c>
      <c r="CR62" s="144">
        <f t="shared" si="150"/>
        <v>0</v>
      </c>
      <c r="CS62" s="144">
        <f t="shared" si="150"/>
        <v>0</v>
      </c>
      <c r="CT62" s="144">
        <f t="shared" si="150"/>
        <v>0</v>
      </c>
      <c r="CU62" s="144">
        <f t="shared" ref="CU62:DR62" si="151">CU29+CU32+CU35+CU38+CU41+CU44+CU47+CU50+CU53</f>
        <v>0</v>
      </c>
      <c r="CV62" s="144">
        <f t="shared" si="151"/>
        <v>0</v>
      </c>
      <c r="CW62" s="144">
        <f t="shared" si="151"/>
        <v>0</v>
      </c>
      <c r="CX62" s="144">
        <f t="shared" si="151"/>
        <v>0</v>
      </c>
      <c r="CY62" s="144">
        <f t="shared" si="151"/>
        <v>0</v>
      </c>
      <c r="CZ62" s="144">
        <f t="shared" si="151"/>
        <v>0</v>
      </c>
      <c r="DA62" s="144">
        <f t="shared" si="151"/>
        <v>0</v>
      </c>
      <c r="DB62" s="144">
        <f t="shared" si="151"/>
        <v>0</v>
      </c>
      <c r="DC62" s="144">
        <f t="shared" si="151"/>
        <v>0</v>
      </c>
      <c r="DD62" s="144">
        <f t="shared" si="151"/>
        <v>0</v>
      </c>
      <c r="DE62" s="144">
        <f t="shared" si="151"/>
        <v>0</v>
      </c>
      <c r="DF62" s="144">
        <f t="shared" si="151"/>
        <v>0</v>
      </c>
      <c r="DG62" s="144">
        <f t="shared" si="151"/>
        <v>0</v>
      </c>
      <c r="DH62" s="144">
        <f t="shared" si="151"/>
        <v>0</v>
      </c>
      <c r="DI62" s="144">
        <f t="shared" si="151"/>
        <v>0</v>
      </c>
      <c r="DJ62" s="144">
        <f t="shared" si="151"/>
        <v>0</v>
      </c>
      <c r="DK62" s="144">
        <f t="shared" si="151"/>
        <v>0</v>
      </c>
      <c r="DL62" s="144">
        <f t="shared" si="151"/>
        <v>0</v>
      </c>
      <c r="DM62" s="144">
        <f t="shared" si="151"/>
        <v>0</v>
      </c>
      <c r="DN62" s="144">
        <f t="shared" si="151"/>
        <v>0</v>
      </c>
      <c r="DO62" s="144">
        <f t="shared" si="151"/>
        <v>0</v>
      </c>
      <c r="DP62" s="144">
        <f t="shared" si="151"/>
        <v>0</v>
      </c>
      <c r="DQ62" s="144">
        <f t="shared" si="151"/>
        <v>0</v>
      </c>
      <c r="DR62" s="144">
        <f t="shared" si="151"/>
        <v>0</v>
      </c>
    </row>
    <row r="63" spans="1:122">
      <c r="A63" s="142" t="s">
        <v>349</v>
      </c>
      <c r="C63" s="144">
        <f t="shared" ref="C63:AH63" si="152">C27+C30+C33+C36+C39+C42+C45+C48+C51+C54</f>
        <v>0</v>
      </c>
      <c r="D63" s="144">
        <f t="shared" si="152"/>
        <v>0</v>
      </c>
      <c r="E63" s="144">
        <f t="shared" si="152"/>
        <v>0</v>
      </c>
      <c r="F63" s="144">
        <f t="shared" si="152"/>
        <v>0</v>
      </c>
      <c r="G63" s="144">
        <f t="shared" si="152"/>
        <v>0</v>
      </c>
      <c r="H63" s="144">
        <f t="shared" si="152"/>
        <v>0</v>
      </c>
      <c r="I63" s="144">
        <f t="shared" si="152"/>
        <v>0</v>
      </c>
      <c r="J63" s="144">
        <f t="shared" si="152"/>
        <v>0</v>
      </c>
      <c r="K63" s="144">
        <f t="shared" si="152"/>
        <v>0</v>
      </c>
      <c r="L63" s="144">
        <f t="shared" si="152"/>
        <v>0</v>
      </c>
      <c r="M63" s="144">
        <f t="shared" si="152"/>
        <v>0</v>
      </c>
      <c r="N63" s="144">
        <f t="shared" si="152"/>
        <v>0</v>
      </c>
      <c r="O63" s="144">
        <f t="shared" si="152"/>
        <v>0</v>
      </c>
      <c r="P63" s="144">
        <f t="shared" si="152"/>
        <v>0</v>
      </c>
      <c r="Q63" s="144">
        <f t="shared" si="152"/>
        <v>0</v>
      </c>
      <c r="R63" s="144">
        <f t="shared" si="152"/>
        <v>0</v>
      </c>
      <c r="S63" s="144">
        <f t="shared" si="152"/>
        <v>0</v>
      </c>
      <c r="T63" s="144">
        <f t="shared" si="152"/>
        <v>0</v>
      </c>
      <c r="U63" s="144">
        <f t="shared" si="152"/>
        <v>0</v>
      </c>
      <c r="V63" s="144">
        <f t="shared" si="152"/>
        <v>0</v>
      </c>
      <c r="W63" s="144">
        <f t="shared" si="152"/>
        <v>0</v>
      </c>
      <c r="X63" s="144">
        <f t="shared" si="152"/>
        <v>0</v>
      </c>
      <c r="Y63" s="144">
        <f t="shared" si="152"/>
        <v>0</v>
      </c>
      <c r="Z63" s="144">
        <f t="shared" si="152"/>
        <v>0</v>
      </c>
      <c r="AA63" s="144">
        <f t="shared" si="152"/>
        <v>0</v>
      </c>
      <c r="AB63" s="144">
        <f t="shared" si="152"/>
        <v>0</v>
      </c>
      <c r="AC63" s="144">
        <f t="shared" si="152"/>
        <v>0</v>
      </c>
      <c r="AD63" s="144">
        <f t="shared" si="152"/>
        <v>0</v>
      </c>
      <c r="AE63" s="144">
        <f t="shared" si="152"/>
        <v>0</v>
      </c>
      <c r="AF63" s="144">
        <f t="shared" si="152"/>
        <v>0</v>
      </c>
      <c r="AG63" s="144">
        <f t="shared" si="152"/>
        <v>0</v>
      </c>
      <c r="AH63" s="144">
        <f t="shared" si="152"/>
        <v>0</v>
      </c>
      <c r="AI63" s="144">
        <f t="shared" ref="AI63:BN63" si="153">AI27+AI30+AI33+AI36+AI39+AI42+AI45+AI48+AI51+AI54</f>
        <v>0</v>
      </c>
      <c r="AJ63" s="144">
        <f t="shared" si="153"/>
        <v>0</v>
      </c>
      <c r="AK63" s="144">
        <f t="shared" si="153"/>
        <v>0</v>
      </c>
      <c r="AL63" s="144">
        <f t="shared" si="153"/>
        <v>0</v>
      </c>
      <c r="AM63" s="144">
        <f t="shared" si="153"/>
        <v>0</v>
      </c>
      <c r="AN63" s="144">
        <f t="shared" si="153"/>
        <v>0</v>
      </c>
      <c r="AO63" s="144">
        <f t="shared" si="153"/>
        <v>0</v>
      </c>
      <c r="AP63" s="144">
        <f t="shared" si="153"/>
        <v>0</v>
      </c>
      <c r="AQ63" s="144">
        <f t="shared" si="153"/>
        <v>0</v>
      </c>
      <c r="AR63" s="144">
        <f t="shared" si="153"/>
        <v>0</v>
      </c>
      <c r="AS63" s="144">
        <f t="shared" si="153"/>
        <v>0</v>
      </c>
      <c r="AT63" s="144">
        <f t="shared" si="153"/>
        <v>0</v>
      </c>
      <c r="AU63" s="144">
        <f t="shared" si="153"/>
        <v>0</v>
      </c>
      <c r="AV63" s="144">
        <f t="shared" si="153"/>
        <v>0</v>
      </c>
      <c r="AW63" s="144">
        <f t="shared" si="153"/>
        <v>0</v>
      </c>
      <c r="AX63" s="144">
        <f t="shared" si="153"/>
        <v>0</v>
      </c>
      <c r="AY63" s="144">
        <f t="shared" si="153"/>
        <v>0</v>
      </c>
      <c r="AZ63" s="144">
        <f t="shared" si="153"/>
        <v>0</v>
      </c>
      <c r="BA63" s="144">
        <f t="shared" si="153"/>
        <v>0</v>
      </c>
      <c r="BB63" s="144">
        <f t="shared" si="153"/>
        <v>74375000.000000015</v>
      </c>
      <c r="BC63" s="144">
        <f t="shared" si="153"/>
        <v>10625000</v>
      </c>
      <c r="BD63" s="144">
        <f t="shared" si="153"/>
        <v>10625000</v>
      </c>
      <c r="BE63" s="144">
        <f t="shared" si="153"/>
        <v>10625000</v>
      </c>
      <c r="BF63" s="144">
        <f t="shared" si="153"/>
        <v>10625000</v>
      </c>
      <c r="BG63" s="144">
        <f t="shared" si="153"/>
        <v>10625000</v>
      </c>
      <c r="BH63" s="144">
        <f t="shared" si="153"/>
        <v>85000000.000000015</v>
      </c>
      <c r="BI63" s="144">
        <f t="shared" si="153"/>
        <v>21250000</v>
      </c>
      <c r="BJ63" s="144">
        <f t="shared" si="153"/>
        <v>21250000</v>
      </c>
      <c r="BK63" s="144">
        <f t="shared" si="153"/>
        <v>21250000</v>
      </c>
      <c r="BL63" s="144">
        <f t="shared" si="153"/>
        <v>21250000</v>
      </c>
      <c r="BM63" s="144">
        <f t="shared" si="153"/>
        <v>21250000</v>
      </c>
      <c r="BN63" s="144">
        <f t="shared" si="153"/>
        <v>85000000.000000015</v>
      </c>
      <c r="BO63" s="144">
        <f t="shared" ref="BO63:CT63" si="154">BO27+BO30+BO33+BO36+BO39+BO42+BO45+BO48+BO51+BO54</f>
        <v>21250000</v>
      </c>
      <c r="BP63" s="144">
        <f t="shared" si="154"/>
        <v>21250000</v>
      </c>
      <c r="BQ63" s="144">
        <f t="shared" si="154"/>
        <v>21250000</v>
      </c>
      <c r="BR63" s="144">
        <f t="shared" si="154"/>
        <v>21250000</v>
      </c>
      <c r="BS63" s="144">
        <f t="shared" si="154"/>
        <v>21250000</v>
      </c>
      <c r="BT63" s="144">
        <f t="shared" si="154"/>
        <v>85000000.000000015</v>
      </c>
      <c r="BU63" s="144">
        <f t="shared" si="154"/>
        <v>21250000</v>
      </c>
      <c r="BV63" s="144">
        <f t="shared" si="154"/>
        <v>21250000</v>
      </c>
      <c r="BW63" s="144">
        <f t="shared" si="154"/>
        <v>21250000</v>
      </c>
      <c r="BX63" s="144">
        <f t="shared" si="154"/>
        <v>21250000</v>
      </c>
      <c r="BY63" s="144">
        <f t="shared" si="154"/>
        <v>21250000</v>
      </c>
      <c r="BZ63" s="144">
        <f t="shared" si="154"/>
        <v>85000000.000000015</v>
      </c>
      <c r="CA63" s="144">
        <f t="shared" si="154"/>
        <v>21250000</v>
      </c>
      <c r="CB63" s="144">
        <f t="shared" si="154"/>
        <v>21250000</v>
      </c>
      <c r="CC63" s="144">
        <f t="shared" si="154"/>
        <v>21250000</v>
      </c>
      <c r="CD63" s="144">
        <f t="shared" si="154"/>
        <v>21250000</v>
      </c>
      <c r="CE63" s="144">
        <f t="shared" si="154"/>
        <v>21250000</v>
      </c>
      <c r="CF63" s="144">
        <f t="shared" si="154"/>
        <v>10625000</v>
      </c>
      <c r="CG63" s="144">
        <f t="shared" si="154"/>
        <v>10625000</v>
      </c>
      <c r="CH63" s="144">
        <f t="shared" si="154"/>
        <v>10625000</v>
      </c>
      <c r="CI63" s="144">
        <f t="shared" si="154"/>
        <v>10625000</v>
      </c>
      <c r="CJ63" s="144">
        <f t="shared" si="154"/>
        <v>10625000</v>
      </c>
      <c r="CK63" s="144">
        <f t="shared" si="154"/>
        <v>10625000</v>
      </c>
      <c r="CL63" s="144">
        <f t="shared" si="154"/>
        <v>0</v>
      </c>
      <c r="CM63" s="144">
        <f t="shared" si="154"/>
        <v>0</v>
      </c>
      <c r="CN63" s="144">
        <f t="shared" si="154"/>
        <v>0</v>
      </c>
      <c r="CO63" s="144">
        <f t="shared" si="154"/>
        <v>0</v>
      </c>
      <c r="CP63" s="144">
        <f t="shared" si="154"/>
        <v>0</v>
      </c>
      <c r="CQ63" s="144">
        <f t="shared" si="154"/>
        <v>0</v>
      </c>
      <c r="CR63" s="144">
        <f t="shared" si="154"/>
        <v>0</v>
      </c>
      <c r="CS63" s="144">
        <f t="shared" si="154"/>
        <v>0</v>
      </c>
      <c r="CT63" s="144">
        <f t="shared" si="154"/>
        <v>0</v>
      </c>
      <c r="CU63" s="144">
        <f t="shared" ref="CU63:DR63" si="155">CU27+CU30+CU33+CU36+CU39+CU42+CU45+CU48+CU51+CU54</f>
        <v>0</v>
      </c>
      <c r="CV63" s="144">
        <f t="shared" si="155"/>
        <v>0</v>
      </c>
      <c r="CW63" s="144">
        <f t="shared" si="155"/>
        <v>0</v>
      </c>
      <c r="CX63" s="144">
        <f t="shared" si="155"/>
        <v>0</v>
      </c>
      <c r="CY63" s="144">
        <f t="shared" si="155"/>
        <v>0</v>
      </c>
      <c r="CZ63" s="144">
        <f t="shared" si="155"/>
        <v>0</v>
      </c>
      <c r="DA63" s="144">
        <f t="shared" si="155"/>
        <v>0</v>
      </c>
      <c r="DB63" s="144">
        <f t="shared" si="155"/>
        <v>0</v>
      </c>
      <c r="DC63" s="144">
        <f t="shared" si="155"/>
        <v>0</v>
      </c>
      <c r="DD63" s="144">
        <f t="shared" si="155"/>
        <v>0</v>
      </c>
      <c r="DE63" s="144">
        <f t="shared" si="155"/>
        <v>0</v>
      </c>
      <c r="DF63" s="144">
        <f t="shared" si="155"/>
        <v>0</v>
      </c>
      <c r="DG63" s="144">
        <f t="shared" si="155"/>
        <v>0</v>
      </c>
      <c r="DH63" s="144">
        <f t="shared" si="155"/>
        <v>0</v>
      </c>
      <c r="DI63" s="144">
        <f t="shared" si="155"/>
        <v>0</v>
      </c>
      <c r="DJ63" s="144">
        <f t="shared" si="155"/>
        <v>0</v>
      </c>
      <c r="DK63" s="144">
        <f t="shared" si="155"/>
        <v>0</v>
      </c>
      <c r="DL63" s="144">
        <f t="shared" si="155"/>
        <v>0</v>
      </c>
      <c r="DM63" s="144">
        <f t="shared" si="155"/>
        <v>0</v>
      </c>
      <c r="DN63" s="144">
        <f t="shared" si="155"/>
        <v>0</v>
      </c>
      <c r="DO63" s="144">
        <f t="shared" si="155"/>
        <v>0</v>
      </c>
      <c r="DP63" s="144">
        <f t="shared" si="155"/>
        <v>0</v>
      </c>
      <c r="DQ63" s="144">
        <f t="shared" si="155"/>
        <v>0</v>
      </c>
      <c r="DR63" s="144">
        <f t="shared" si="155"/>
        <v>0</v>
      </c>
    </row>
    <row r="64" spans="1:122">
      <c r="A64" s="142" t="s">
        <v>350</v>
      </c>
      <c r="C64" s="144">
        <f t="shared" ref="C64:AH64" si="156">C27</f>
        <v>0</v>
      </c>
      <c r="D64" s="144">
        <f t="shared" si="156"/>
        <v>0</v>
      </c>
      <c r="E64" s="144">
        <f t="shared" si="156"/>
        <v>0</v>
      </c>
      <c r="F64" s="144">
        <f t="shared" si="156"/>
        <v>0</v>
      </c>
      <c r="G64" s="144">
        <f t="shared" si="156"/>
        <v>0</v>
      </c>
      <c r="H64" s="144">
        <f t="shared" si="156"/>
        <v>0</v>
      </c>
      <c r="I64" s="144">
        <f t="shared" si="156"/>
        <v>0</v>
      </c>
      <c r="J64" s="144">
        <f t="shared" si="156"/>
        <v>0</v>
      </c>
      <c r="K64" s="144">
        <f t="shared" si="156"/>
        <v>0</v>
      </c>
      <c r="L64" s="144">
        <f t="shared" si="156"/>
        <v>0</v>
      </c>
      <c r="M64" s="144">
        <f t="shared" si="156"/>
        <v>0</v>
      </c>
      <c r="N64" s="144">
        <f t="shared" si="156"/>
        <v>0</v>
      </c>
      <c r="O64" s="144">
        <f t="shared" si="156"/>
        <v>0</v>
      </c>
      <c r="P64" s="144">
        <f t="shared" si="156"/>
        <v>0</v>
      </c>
      <c r="Q64" s="144">
        <f t="shared" si="156"/>
        <v>0</v>
      </c>
      <c r="R64" s="144">
        <f t="shared" si="156"/>
        <v>0</v>
      </c>
      <c r="S64" s="144">
        <f t="shared" si="156"/>
        <v>0</v>
      </c>
      <c r="T64" s="144">
        <f t="shared" si="156"/>
        <v>0</v>
      </c>
      <c r="U64" s="144">
        <f t="shared" si="156"/>
        <v>0</v>
      </c>
      <c r="V64" s="144">
        <f t="shared" si="156"/>
        <v>0</v>
      </c>
      <c r="W64" s="144">
        <f t="shared" si="156"/>
        <v>0</v>
      </c>
      <c r="X64" s="144">
        <f t="shared" si="156"/>
        <v>0</v>
      </c>
      <c r="Y64" s="144">
        <f t="shared" si="156"/>
        <v>0</v>
      </c>
      <c r="Z64" s="144">
        <f t="shared" si="156"/>
        <v>0</v>
      </c>
      <c r="AA64" s="144">
        <f t="shared" si="156"/>
        <v>0</v>
      </c>
      <c r="AB64" s="144">
        <f t="shared" si="156"/>
        <v>0</v>
      </c>
      <c r="AC64" s="144">
        <f t="shared" si="156"/>
        <v>0</v>
      </c>
      <c r="AD64" s="144">
        <f t="shared" si="156"/>
        <v>0</v>
      </c>
      <c r="AE64" s="144">
        <f t="shared" si="156"/>
        <v>0</v>
      </c>
      <c r="AF64" s="144">
        <f t="shared" si="156"/>
        <v>0</v>
      </c>
      <c r="AG64" s="144">
        <f t="shared" si="156"/>
        <v>0</v>
      </c>
      <c r="AH64" s="144">
        <f t="shared" si="156"/>
        <v>0</v>
      </c>
      <c r="AI64" s="144">
        <f t="shared" ref="AI64:BN64" si="157">AI27</f>
        <v>0</v>
      </c>
      <c r="AJ64" s="144">
        <f t="shared" si="157"/>
        <v>0</v>
      </c>
      <c r="AK64" s="144">
        <f t="shared" si="157"/>
        <v>0</v>
      </c>
      <c r="AL64" s="144">
        <f t="shared" si="157"/>
        <v>0</v>
      </c>
      <c r="AM64" s="144">
        <f t="shared" si="157"/>
        <v>0</v>
      </c>
      <c r="AN64" s="144">
        <f t="shared" si="157"/>
        <v>0</v>
      </c>
      <c r="AO64" s="144">
        <f t="shared" si="157"/>
        <v>0</v>
      </c>
      <c r="AP64" s="144">
        <f t="shared" si="157"/>
        <v>0</v>
      </c>
      <c r="AQ64" s="144">
        <f t="shared" si="157"/>
        <v>0</v>
      </c>
      <c r="AR64" s="144">
        <f t="shared" si="157"/>
        <v>0</v>
      </c>
      <c r="AS64" s="144">
        <f t="shared" si="157"/>
        <v>0</v>
      </c>
      <c r="AT64" s="144">
        <f t="shared" si="157"/>
        <v>0</v>
      </c>
      <c r="AU64" s="144">
        <f t="shared" si="157"/>
        <v>0</v>
      </c>
      <c r="AV64" s="144">
        <f t="shared" si="157"/>
        <v>0</v>
      </c>
      <c r="AW64" s="144">
        <f t="shared" si="157"/>
        <v>0</v>
      </c>
      <c r="AX64" s="144">
        <f t="shared" si="157"/>
        <v>0</v>
      </c>
      <c r="AY64" s="144">
        <f t="shared" si="157"/>
        <v>0</v>
      </c>
      <c r="AZ64" s="144">
        <f t="shared" si="157"/>
        <v>0</v>
      </c>
      <c r="BA64" s="144">
        <f t="shared" si="157"/>
        <v>0</v>
      </c>
      <c r="BB64" s="144">
        <f t="shared" si="157"/>
        <v>74375000.000000015</v>
      </c>
      <c r="BC64" s="144">
        <f t="shared" si="157"/>
        <v>10625000</v>
      </c>
      <c r="BD64" s="144">
        <f t="shared" si="157"/>
        <v>10625000</v>
      </c>
      <c r="BE64" s="144">
        <f t="shared" si="157"/>
        <v>10625000</v>
      </c>
      <c r="BF64" s="144">
        <f t="shared" si="157"/>
        <v>10625000</v>
      </c>
      <c r="BG64" s="144">
        <f t="shared" si="157"/>
        <v>10625000</v>
      </c>
      <c r="BH64" s="144">
        <f t="shared" si="157"/>
        <v>10625000</v>
      </c>
      <c r="BI64" s="144">
        <f t="shared" si="157"/>
        <v>10625000</v>
      </c>
      <c r="BJ64" s="144">
        <f t="shared" si="157"/>
        <v>10625000</v>
      </c>
      <c r="BK64" s="144">
        <f t="shared" si="157"/>
        <v>10625000</v>
      </c>
      <c r="BL64" s="144">
        <f t="shared" si="157"/>
        <v>10625000</v>
      </c>
      <c r="BM64" s="144">
        <f t="shared" si="157"/>
        <v>10625000</v>
      </c>
      <c r="BN64" s="144">
        <f t="shared" si="157"/>
        <v>0</v>
      </c>
      <c r="BO64" s="144">
        <f t="shared" ref="BO64:CT64" si="158">BO27</f>
        <v>0</v>
      </c>
      <c r="BP64" s="144">
        <f t="shared" si="158"/>
        <v>0</v>
      </c>
      <c r="BQ64" s="144">
        <f t="shared" si="158"/>
        <v>0</v>
      </c>
      <c r="BR64" s="144">
        <f t="shared" si="158"/>
        <v>0</v>
      </c>
      <c r="BS64" s="144">
        <f t="shared" si="158"/>
        <v>0</v>
      </c>
      <c r="BT64" s="144">
        <f t="shared" si="158"/>
        <v>0</v>
      </c>
      <c r="BU64" s="144">
        <f t="shared" si="158"/>
        <v>0</v>
      </c>
      <c r="BV64" s="144">
        <f t="shared" si="158"/>
        <v>0</v>
      </c>
      <c r="BW64" s="144">
        <f t="shared" si="158"/>
        <v>0</v>
      </c>
      <c r="BX64" s="144">
        <f t="shared" si="158"/>
        <v>0</v>
      </c>
      <c r="BY64" s="144">
        <f t="shared" si="158"/>
        <v>0</v>
      </c>
      <c r="BZ64" s="144">
        <f t="shared" si="158"/>
        <v>0</v>
      </c>
      <c r="CA64" s="144">
        <f t="shared" si="158"/>
        <v>0</v>
      </c>
      <c r="CB64" s="144">
        <f t="shared" si="158"/>
        <v>0</v>
      </c>
      <c r="CC64" s="144">
        <f t="shared" si="158"/>
        <v>0</v>
      </c>
      <c r="CD64" s="144">
        <f t="shared" si="158"/>
        <v>0</v>
      </c>
      <c r="CE64" s="144">
        <f t="shared" si="158"/>
        <v>0</v>
      </c>
      <c r="CF64" s="144">
        <f t="shared" si="158"/>
        <v>0</v>
      </c>
      <c r="CG64" s="144">
        <f t="shared" si="158"/>
        <v>0</v>
      </c>
      <c r="CH64" s="144">
        <f t="shared" si="158"/>
        <v>0</v>
      </c>
      <c r="CI64" s="144">
        <f t="shared" si="158"/>
        <v>0</v>
      </c>
      <c r="CJ64" s="144">
        <f t="shared" si="158"/>
        <v>0</v>
      </c>
      <c r="CK64" s="144">
        <f t="shared" si="158"/>
        <v>0</v>
      </c>
      <c r="CL64" s="144">
        <f t="shared" si="158"/>
        <v>0</v>
      </c>
      <c r="CM64" s="144">
        <f t="shared" si="158"/>
        <v>0</v>
      </c>
      <c r="CN64" s="144">
        <f t="shared" si="158"/>
        <v>0</v>
      </c>
      <c r="CO64" s="144">
        <f t="shared" si="158"/>
        <v>0</v>
      </c>
      <c r="CP64" s="144">
        <f t="shared" si="158"/>
        <v>0</v>
      </c>
      <c r="CQ64" s="144">
        <f t="shared" si="158"/>
        <v>0</v>
      </c>
      <c r="CR64" s="144">
        <f t="shared" si="158"/>
        <v>0</v>
      </c>
      <c r="CS64" s="144">
        <f t="shared" si="158"/>
        <v>0</v>
      </c>
      <c r="CT64" s="144">
        <f t="shared" si="158"/>
        <v>0</v>
      </c>
      <c r="CU64" s="144">
        <f t="shared" ref="CU64:DR64" si="159">CU27</f>
        <v>0</v>
      </c>
      <c r="CV64" s="144">
        <f t="shared" si="159"/>
        <v>0</v>
      </c>
      <c r="CW64" s="144">
        <f t="shared" si="159"/>
        <v>0</v>
      </c>
      <c r="CX64" s="144">
        <f t="shared" si="159"/>
        <v>0</v>
      </c>
      <c r="CY64" s="144">
        <f t="shared" si="159"/>
        <v>0</v>
      </c>
      <c r="CZ64" s="144">
        <f t="shared" si="159"/>
        <v>0</v>
      </c>
      <c r="DA64" s="144">
        <f t="shared" si="159"/>
        <v>0</v>
      </c>
      <c r="DB64" s="144">
        <f t="shared" si="159"/>
        <v>0</v>
      </c>
      <c r="DC64" s="144">
        <f t="shared" si="159"/>
        <v>0</v>
      </c>
      <c r="DD64" s="144">
        <f t="shared" si="159"/>
        <v>0</v>
      </c>
      <c r="DE64" s="144">
        <f t="shared" si="159"/>
        <v>0</v>
      </c>
      <c r="DF64" s="144">
        <f t="shared" si="159"/>
        <v>0</v>
      </c>
      <c r="DG64" s="144">
        <f t="shared" si="159"/>
        <v>0</v>
      </c>
      <c r="DH64" s="144">
        <f t="shared" si="159"/>
        <v>0</v>
      </c>
      <c r="DI64" s="144">
        <f t="shared" si="159"/>
        <v>0</v>
      </c>
      <c r="DJ64" s="144">
        <f t="shared" si="159"/>
        <v>0</v>
      </c>
      <c r="DK64" s="144">
        <f t="shared" si="159"/>
        <v>0</v>
      </c>
      <c r="DL64" s="144">
        <f t="shared" si="159"/>
        <v>0</v>
      </c>
      <c r="DM64" s="144">
        <f t="shared" si="159"/>
        <v>0</v>
      </c>
      <c r="DN64" s="144">
        <f t="shared" si="159"/>
        <v>0</v>
      </c>
      <c r="DO64" s="144">
        <f t="shared" si="159"/>
        <v>0</v>
      </c>
      <c r="DP64" s="144">
        <f t="shared" si="159"/>
        <v>0</v>
      </c>
      <c r="DQ64" s="144">
        <f t="shared" si="159"/>
        <v>0</v>
      </c>
      <c r="DR64" s="144">
        <f t="shared" si="159"/>
        <v>0</v>
      </c>
    </row>
    <row r="65" spans="1:122">
      <c r="A65" s="142" t="s">
        <v>351</v>
      </c>
      <c r="C65" s="144">
        <f t="shared" ref="C65:AH65" si="160">C30+C33+C36+C39+C42+C45+C48+C51+C54</f>
        <v>0</v>
      </c>
      <c r="D65" s="144">
        <f t="shared" si="160"/>
        <v>0</v>
      </c>
      <c r="E65" s="144">
        <f t="shared" si="160"/>
        <v>0</v>
      </c>
      <c r="F65" s="144">
        <f t="shared" si="160"/>
        <v>0</v>
      </c>
      <c r="G65" s="144">
        <f t="shared" si="160"/>
        <v>0</v>
      </c>
      <c r="H65" s="144">
        <f t="shared" si="160"/>
        <v>0</v>
      </c>
      <c r="I65" s="144">
        <f t="shared" si="160"/>
        <v>0</v>
      </c>
      <c r="J65" s="144">
        <f t="shared" si="160"/>
        <v>0</v>
      </c>
      <c r="K65" s="144">
        <f t="shared" si="160"/>
        <v>0</v>
      </c>
      <c r="L65" s="144">
        <f t="shared" si="160"/>
        <v>0</v>
      </c>
      <c r="M65" s="144">
        <f t="shared" si="160"/>
        <v>0</v>
      </c>
      <c r="N65" s="144">
        <f t="shared" si="160"/>
        <v>0</v>
      </c>
      <c r="O65" s="144">
        <f t="shared" si="160"/>
        <v>0</v>
      </c>
      <c r="P65" s="144">
        <f t="shared" si="160"/>
        <v>0</v>
      </c>
      <c r="Q65" s="144">
        <f t="shared" si="160"/>
        <v>0</v>
      </c>
      <c r="R65" s="144">
        <f t="shared" si="160"/>
        <v>0</v>
      </c>
      <c r="S65" s="144">
        <f t="shared" si="160"/>
        <v>0</v>
      </c>
      <c r="T65" s="144">
        <f t="shared" si="160"/>
        <v>0</v>
      </c>
      <c r="U65" s="144">
        <f t="shared" si="160"/>
        <v>0</v>
      </c>
      <c r="V65" s="144">
        <f t="shared" si="160"/>
        <v>0</v>
      </c>
      <c r="W65" s="144">
        <f t="shared" si="160"/>
        <v>0</v>
      </c>
      <c r="X65" s="144">
        <f t="shared" si="160"/>
        <v>0</v>
      </c>
      <c r="Y65" s="144">
        <f t="shared" si="160"/>
        <v>0</v>
      </c>
      <c r="Z65" s="144">
        <f t="shared" si="160"/>
        <v>0</v>
      </c>
      <c r="AA65" s="144">
        <f t="shared" si="160"/>
        <v>0</v>
      </c>
      <c r="AB65" s="144">
        <f t="shared" si="160"/>
        <v>0</v>
      </c>
      <c r="AC65" s="144">
        <f t="shared" si="160"/>
        <v>0</v>
      </c>
      <c r="AD65" s="144">
        <f t="shared" si="160"/>
        <v>0</v>
      </c>
      <c r="AE65" s="144">
        <f t="shared" si="160"/>
        <v>0</v>
      </c>
      <c r="AF65" s="144">
        <f t="shared" si="160"/>
        <v>0</v>
      </c>
      <c r="AG65" s="144">
        <f t="shared" si="160"/>
        <v>0</v>
      </c>
      <c r="AH65" s="144">
        <f t="shared" si="160"/>
        <v>0</v>
      </c>
      <c r="AI65" s="144">
        <f t="shared" ref="AI65:BN65" si="161">AI30+AI33+AI36+AI39+AI42+AI45+AI48+AI51+AI54</f>
        <v>0</v>
      </c>
      <c r="AJ65" s="144">
        <f t="shared" si="161"/>
        <v>0</v>
      </c>
      <c r="AK65" s="144">
        <f t="shared" si="161"/>
        <v>0</v>
      </c>
      <c r="AL65" s="144">
        <f t="shared" si="161"/>
        <v>0</v>
      </c>
      <c r="AM65" s="144">
        <f t="shared" si="161"/>
        <v>0</v>
      </c>
      <c r="AN65" s="144">
        <f t="shared" si="161"/>
        <v>0</v>
      </c>
      <c r="AO65" s="144">
        <f t="shared" si="161"/>
        <v>0</v>
      </c>
      <c r="AP65" s="144">
        <f t="shared" si="161"/>
        <v>0</v>
      </c>
      <c r="AQ65" s="144">
        <f t="shared" si="161"/>
        <v>0</v>
      </c>
      <c r="AR65" s="144">
        <f t="shared" si="161"/>
        <v>0</v>
      </c>
      <c r="AS65" s="144">
        <f t="shared" si="161"/>
        <v>0</v>
      </c>
      <c r="AT65" s="144">
        <f t="shared" si="161"/>
        <v>0</v>
      </c>
      <c r="AU65" s="144">
        <f t="shared" si="161"/>
        <v>0</v>
      </c>
      <c r="AV65" s="144">
        <f t="shared" si="161"/>
        <v>0</v>
      </c>
      <c r="AW65" s="144">
        <f t="shared" si="161"/>
        <v>0</v>
      </c>
      <c r="AX65" s="144">
        <f t="shared" si="161"/>
        <v>0</v>
      </c>
      <c r="AY65" s="144">
        <f t="shared" si="161"/>
        <v>0</v>
      </c>
      <c r="AZ65" s="144">
        <f t="shared" si="161"/>
        <v>0</v>
      </c>
      <c r="BA65" s="144">
        <f t="shared" si="161"/>
        <v>0</v>
      </c>
      <c r="BB65" s="144">
        <f t="shared" si="161"/>
        <v>0</v>
      </c>
      <c r="BC65" s="144">
        <f t="shared" si="161"/>
        <v>0</v>
      </c>
      <c r="BD65" s="144">
        <f t="shared" si="161"/>
        <v>0</v>
      </c>
      <c r="BE65" s="144">
        <f t="shared" si="161"/>
        <v>0</v>
      </c>
      <c r="BF65" s="144">
        <f t="shared" si="161"/>
        <v>0</v>
      </c>
      <c r="BG65" s="144">
        <f t="shared" si="161"/>
        <v>0</v>
      </c>
      <c r="BH65" s="144">
        <f t="shared" si="161"/>
        <v>74375000.000000015</v>
      </c>
      <c r="BI65" s="144">
        <f t="shared" si="161"/>
        <v>10625000</v>
      </c>
      <c r="BJ65" s="144">
        <f t="shared" si="161"/>
        <v>10625000</v>
      </c>
      <c r="BK65" s="144">
        <f t="shared" si="161"/>
        <v>10625000</v>
      </c>
      <c r="BL65" s="144">
        <f t="shared" si="161"/>
        <v>10625000</v>
      </c>
      <c r="BM65" s="144">
        <f t="shared" si="161"/>
        <v>10625000</v>
      </c>
      <c r="BN65" s="144">
        <f t="shared" si="161"/>
        <v>85000000.000000015</v>
      </c>
      <c r="BO65" s="144">
        <f t="shared" ref="BO65:CT65" si="162">BO30+BO33+BO36+BO39+BO42+BO45+BO48+BO51+BO54</f>
        <v>21250000</v>
      </c>
      <c r="BP65" s="144">
        <f t="shared" si="162"/>
        <v>21250000</v>
      </c>
      <c r="BQ65" s="144">
        <f t="shared" si="162"/>
        <v>21250000</v>
      </c>
      <c r="BR65" s="144">
        <f t="shared" si="162"/>
        <v>21250000</v>
      </c>
      <c r="BS65" s="144">
        <f t="shared" si="162"/>
        <v>21250000</v>
      </c>
      <c r="BT65" s="144">
        <f t="shared" si="162"/>
        <v>85000000.000000015</v>
      </c>
      <c r="BU65" s="144">
        <f t="shared" si="162"/>
        <v>21250000</v>
      </c>
      <c r="BV65" s="144">
        <f t="shared" si="162"/>
        <v>21250000</v>
      </c>
      <c r="BW65" s="144">
        <f t="shared" si="162"/>
        <v>21250000</v>
      </c>
      <c r="BX65" s="144">
        <f t="shared" si="162"/>
        <v>21250000</v>
      </c>
      <c r="BY65" s="144">
        <f t="shared" si="162"/>
        <v>21250000</v>
      </c>
      <c r="BZ65" s="144">
        <f t="shared" si="162"/>
        <v>85000000.000000015</v>
      </c>
      <c r="CA65" s="144">
        <f t="shared" si="162"/>
        <v>21250000</v>
      </c>
      <c r="CB65" s="144">
        <f t="shared" si="162"/>
        <v>21250000</v>
      </c>
      <c r="CC65" s="144">
        <f t="shared" si="162"/>
        <v>21250000</v>
      </c>
      <c r="CD65" s="144">
        <f t="shared" si="162"/>
        <v>21250000</v>
      </c>
      <c r="CE65" s="144">
        <f t="shared" si="162"/>
        <v>21250000</v>
      </c>
      <c r="CF65" s="144">
        <f t="shared" si="162"/>
        <v>10625000</v>
      </c>
      <c r="CG65" s="144">
        <f t="shared" si="162"/>
        <v>10625000</v>
      </c>
      <c r="CH65" s="144">
        <f t="shared" si="162"/>
        <v>10625000</v>
      </c>
      <c r="CI65" s="144">
        <f t="shared" si="162"/>
        <v>10625000</v>
      </c>
      <c r="CJ65" s="144">
        <f t="shared" si="162"/>
        <v>10625000</v>
      </c>
      <c r="CK65" s="144">
        <f t="shared" si="162"/>
        <v>10625000</v>
      </c>
      <c r="CL65" s="144">
        <f t="shared" si="162"/>
        <v>0</v>
      </c>
      <c r="CM65" s="144">
        <f t="shared" si="162"/>
        <v>0</v>
      </c>
      <c r="CN65" s="144">
        <f t="shared" si="162"/>
        <v>0</v>
      </c>
      <c r="CO65" s="144">
        <f t="shared" si="162"/>
        <v>0</v>
      </c>
      <c r="CP65" s="144">
        <f t="shared" si="162"/>
        <v>0</v>
      </c>
      <c r="CQ65" s="144">
        <f t="shared" si="162"/>
        <v>0</v>
      </c>
      <c r="CR65" s="144">
        <f t="shared" si="162"/>
        <v>0</v>
      </c>
      <c r="CS65" s="144">
        <f t="shared" si="162"/>
        <v>0</v>
      </c>
      <c r="CT65" s="144">
        <f t="shared" si="162"/>
        <v>0</v>
      </c>
      <c r="CU65" s="144">
        <f t="shared" ref="CU65:DR65" si="163">CU30+CU33+CU36+CU39+CU42+CU45+CU48+CU51+CU54</f>
        <v>0</v>
      </c>
      <c r="CV65" s="144">
        <f t="shared" si="163"/>
        <v>0</v>
      </c>
      <c r="CW65" s="144">
        <f t="shared" si="163"/>
        <v>0</v>
      </c>
      <c r="CX65" s="144">
        <f t="shared" si="163"/>
        <v>0</v>
      </c>
      <c r="CY65" s="144">
        <f t="shared" si="163"/>
        <v>0</v>
      </c>
      <c r="CZ65" s="144">
        <f t="shared" si="163"/>
        <v>0</v>
      </c>
      <c r="DA65" s="144">
        <f t="shared" si="163"/>
        <v>0</v>
      </c>
      <c r="DB65" s="144">
        <f t="shared" si="163"/>
        <v>0</v>
      </c>
      <c r="DC65" s="144">
        <f t="shared" si="163"/>
        <v>0</v>
      </c>
      <c r="DD65" s="144">
        <f t="shared" si="163"/>
        <v>0</v>
      </c>
      <c r="DE65" s="144">
        <f t="shared" si="163"/>
        <v>0</v>
      </c>
      <c r="DF65" s="144">
        <f t="shared" si="163"/>
        <v>0</v>
      </c>
      <c r="DG65" s="144">
        <f t="shared" si="163"/>
        <v>0</v>
      </c>
      <c r="DH65" s="144">
        <f t="shared" si="163"/>
        <v>0</v>
      </c>
      <c r="DI65" s="144">
        <f t="shared" si="163"/>
        <v>0</v>
      </c>
      <c r="DJ65" s="144">
        <f t="shared" si="163"/>
        <v>0</v>
      </c>
      <c r="DK65" s="144">
        <f t="shared" si="163"/>
        <v>0</v>
      </c>
      <c r="DL65" s="144">
        <f t="shared" si="163"/>
        <v>0</v>
      </c>
      <c r="DM65" s="144">
        <f t="shared" si="163"/>
        <v>0</v>
      </c>
      <c r="DN65" s="144">
        <f t="shared" si="163"/>
        <v>0</v>
      </c>
      <c r="DO65" s="144">
        <f t="shared" si="163"/>
        <v>0</v>
      </c>
      <c r="DP65" s="144">
        <f t="shared" si="163"/>
        <v>0</v>
      </c>
      <c r="DQ65" s="144">
        <f t="shared" si="163"/>
        <v>0</v>
      </c>
      <c r="DR65" s="144">
        <f t="shared" si="163"/>
        <v>0</v>
      </c>
    </row>
    <row r="67" spans="1:122">
      <c r="A67" s="142" t="s">
        <v>352</v>
      </c>
      <c r="C67" s="143">
        <f>IF(Results_10yr!B17="Yes",1,0)</f>
        <v>0</v>
      </c>
      <c r="D67" s="143">
        <f>IF(Results_10yr!C17="Yes",1,0)</f>
        <v>1</v>
      </c>
      <c r="E67" s="143">
        <f>IF(Results_10yr!D17="Yes",1,0)</f>
        <v>1</v>
      </c>
      <c r="F67" s="143">
        <f>IF(Results_10yr!E17="Yes",1,0)</f>
        <v>1</v>
      </c>
      <c r="G67" s="143">
        <f>IF(Results_10yr!F17="Yes",1,0)</f>
        <v>1</v>
      </c>
      <c r="H67" s="143">
        <f>IF(Results_10yr!G17="Yes",1,0)</f>
        <v>1</v>
      </c>
      <c r="I67" s="143">
        <f>IF(Results_10yr!H17="Yes",1,0)</f>
        <v>1</v>
      </c>
      <c r="J67" s="143">
        <f>IF(Results_10yr!I17="Yes",1,0)</f>
        <v>1</v>
      </c>
      <c r="K67" s="143">
        <f>IF(Results_10yr!J17="Yes",1,0)</f>
        <v>1</v>
      </c>
      <c r="L67" s="143">
        <f>IF(Results_10yr!K17="Yes",1,0)</f>
        <v>1</v>
      </c>
    </row>
    <row r="69" spans="1:122">
      <c r="A69" s="142" t="s">
        <v>353</v>
      </c>
      <c r="C69" s="144">
        <f t="shared" ref="C69:AH69" si="164">$C$67*C26+$D$67*C29+$E$67*C32+$F$67*C35+$G$67*C38+$H$67*C41+$I$67*C44+$J$67*C47+$K$67*C50+$L$67*C53</f>
        <v>0</v>
      </c>
      <c r="D69" s="144">
        <f t="shared" si="164"/>
        <v>0</v>
      </c>
      <c r="E69" s="144">
        <f t="shared" si="164"/>
        <v>0</v>
      </c>
      <c r="F69" s="144">
        <f t="shared" si="164"/>
        <v>0</v>
      </c>
      <c r="G69" s="144">
        <f t="shared" si="164"/>
        <v>0</v>
      </c>
      <c r="H69" s="144">
        <f t="shared" si="164"/>
        <v>0</v>
      </c>
      <c r="I69" s="144">
        <f t="shared" si="164"/>
        <v>0</v>
      </c>
      <c r="J69" s="144">
        <f t="shared" si="164"/>
        <v>0</v>
      </c>
      <c r="K69" s="144">
        <f t="shared" si="164"/>
        <v>0</v>
      </c>
      <c r="L69" s="144">
        <f t="shared" si="164"/>
        <v>0</v>
      </c>
      <c r="M69" s="144">
        <f t="shared" si="164"/>
        <v>0</v>
      </c>
      <c r="N69" s="144">
        <f t="shared" si="164"/>
        <v>0</v>
      </c>
      <c r="O69" s="144">
        <f t="shared" si="164"/>
        <v>0</v>
      </c>
      <c r="P69" s="144">
        <f t="shared" si="164"/>
        <v>0</v>
      </c>
      <c r="Q69" s="144">
        <f t="shared" si="164"/>
        <v>0</v>
      </c>
      <c r="R69" s="144">
        <f t="shared" si="164"/>
        <v>0</v>
      </c>
      <c r="S69" s="144">
        <f t="shared" si="164"/>
        <v>0</v>
      </c>
      <c r="T69" s="144">
        <f t="shared" si="164"/>
        <v>0</v>
      </c>
      <c r="U69" s="144">
        <f t="shared" si="164"/>
        <v>0</v>
      </c>
      <c r="V69" s="144">
        <f t="shared" si="164"/>
        <v>0</v>
      </c>
      <c r="W69" s="144">
        <f t="shared" si="164"/>
        <v>0</v>
      </c>
      <c r="X69" s="144">
        <f t="shared" si="164"/>
        <v>0</v>
      </c>
      <c r="Y69" s="144">
        <f t="shared" si="164"/>
        <v>0</v>
      </c>
      <c r="Z69" s="144">
        <f t="shared" si="164"/>
        <v>0</v>
      </c>
      <c r="AA69" s="144">
        <f t="shared" si="164"/>
        <v>0</v>
      </c>
      <c r="AB69" s="144">
        <f t="shared" si="164"/>
        <v>0</v>
      </c>
      <c r="AC69" s="144">
        <f t="shared" si="164"/>
        <v>0</v>
      </c>
      <c r="AD69" s="144">
        <f t="shared" si="164"/>
        <v>0</v>
      </c>
      <c r="AE69" s="144">
        <f t="shared" si="164"/>
        <v>0</v>
      </c>
      <c r="AF69" s="144">
        <f t="shared" si="164"/>
        <v>0</v>
      </c>
      <c r="AG69" s="144">
        <f t="shared" si="164"/>
        <v>0</v>
      </c>
      <c r="AH69" s="144">
        <f t="shared" si="164"/>
        <v>0</v>
      </c>
      <c r="AI69" s="144">
        <f t="shared" ref="AI69:BN69" si="165">$C$67*AI26+$D$67*AI29+$E$67*AI32+$F$67*AI35+$G$67*AI38+$H$67*AI41+$I$67*AI44+$J$67*AI47+$K$67*AI50+$L$67*AI53</f>
        <v>0</v>
      </c>
      <c r="AJ69" s="144">
        <f t="shared" si="165"/>
        <v>0</v>
      </c>
      <c r="AK69" s="144">
        <f t="shared" si="165"/>
        <v>0</v>
      </c>
      <c r="AL69" s="144">
        <f t="shared" si="165"/>
        <v>0</v>
      </c>
      <c r="AM69" s="144">
        <f t="shared" si="165"/>
        <v>0</v>
      </c>
      <c r="AN69" s="144">
        <f t="shared" si="165"/>
        <v>0</v>
      </c>
      <c r="AO69" s="144">
        <f t="shared" si="165"/>
        <v>0</v>
      </c>
      <c r="AP69" s="144">
        <f t="shared" si="165"/>
        <v>0</v>
      </c>
      <c r="AQ69" s="144">
        <f t="shared" si="165"/>
        <v>0</v>
      </c>
      <c r="AR69" s="144">
        <f t="shared" si="165"/>
        <v>0</v>
      </c>
      <c r="AS69" s="144">
        <f t="shared" si="165"/>
        <v>0</v>
      </c>
      <c r="AT69" s="144">
        <f t="shared" si="165"/>
        <v>0</v>
      </c>
      <c r="AU69" s="144">
        <f t="shared" si="165"/>
        <v>0</v>
      </c>
      <c r="AV69" s="144">
        <f t="shared" si="165"/>
        <v>0</v>
      </c>
      <c r="AW69" s="144">
        <f t="shared" si="165"/>
        <v>0</v>
      </c>
      <c r="AX69" s="144">
        <f t="shared" si="165"/>
        <v>0</v>
      </c>
      <c r="AY69" s="144">
        <f t="shared" si="165"/>
        <v>0</v>
      </c>
      <c r="AZ69" s="144">
        <f t="shared" si="165"/>
        <v>0</v>
      </c>
      <c r="BA69" s="144">
        <f t="shared" si="165"/>
        <v>0</v>
      </c>
      <c r="BB69" s="144">
        <f t="shared" si="165"/>
        <v>1875000.0000000002</v>
      </c>
      <c r="BC69" s="144">
        <f t="shared" si="165"/>
        <v>1875000.0000000002</v>
      </c>
      <c r="BD69" s="144">
        <f t="shared" si="165"/>
        <v>1875000.0000000002</v>
      </c>
      <c r="BE69" s="144">
        <f t="shared" si="165"/>
        <v>1875000.0000000002</v>
      </c>
      <c r="BF69" s="144">
        <f t="shared" si="165"/>
        <v>1875000.0000000002</v>
      </c>
      <c r="BG69" s="144">
        <f t="shared" si="165"/>
        <v>1875000.0000000002</v>
      </c>
      <c r="BH69" s="144">
        <f t="shared" si="165"/>
        <v>78125000.000000015</v>
      </c>
      <c r="BI69" s="144">
        <f t="shared" si="165"/>
        <v>14375000</v>
      </c>
      <c r="BJ69" s="144">
        <f t="shared" si="165"/>
        <v>14375000</v>
      </c>
      <c r="BK69" s="144">
        <f t="shared" si="165"/>
        <v>14375000</v>
      </c>
      <c r="BL69" s="144">
        <f t="shared" si="165"/>
        <v>14375000</v>
      </c>
      <c r="BM69" s="144">
        <f t="shared" si="165"/>
        <v>14375000</v>
      </c>
      <c r="BN69" s="144">
        <f t="shared" si="165"/>
        <v>90625000.000000015</v>
      </c>
      <c r="BO69" s="144">
        <f t="shared" ref="BO69:CT69" si="166">$C$67*BO26+$D$67*BO29+$E$67*BO32+$F$67*BO35+$G$67*BO38+$H$67*BO41+$I$67*BO44+$J$67*BO47+$K$67*BO50+$L$67*BO53</f>
        <v>26875000</v>
      </c>
      <c r="BP69" s="144">
        <f t="shared" si="166"/>
        <v>26875000</v>
      </c>
      <c r="BQ69" s="144">
        <f t="shared" si="166"/>
        <v>26875000</v>
      </c>
      <c r="BR69" s="144">
        <f t="shared" si="166"/>
        <v>26875000</v>
      </c>
      <c r="BS69" s="144">
        <f t="shared" si="166"/>
        <v>26875000</v>
      </c>
      <c r="BT69" s="144">
        <f t="shared" si="166"/>
        <v>90625000.000000015</v>
      </c>
      <c r="BU69" s="144">
        <f t="shared" si="166"/>
        <v>26875000</v>
      </c>
      <c r="BV69" s="144">
        <f t="shared" si="166"/>
        <v>26875000</v>
      </c>
      <c r="BW69" s="144">
        <f t="shared" si="166"/>
        <v>26875000</v>
      </c>
      <c r="BX69" s="144">
        <f t="shared" si="166"/>
        <v>26875000</v>
      </c>
      <c r="BY69" s="144">
        <f t="shared" si="166"/>
        <v>26875000</v>
      </c>
      <c r="BZ69" s="144">
        <f t="shared" si="166"/>
        <v>88750000.000000015</v>
      </c>
      <c r="CA69" s="144">
        <f t="shared" si="166"/>
        <v>25000000</v>
      </c>
      <c r="CB69" s="144">
        <f t="shared" si="166"/>
        <v>25000000</v>
      </c>
      <c r="CC69" s="144">
        <f t="shared" si="166"/>
        <v>25000000</v>
      </c>
      <c r="CD69" s="144">
        <f t="shared" si="166"/>
        <v>25000000</v>
      </c>
      <c r="CE69" s="144">
        <f t="shared" si="166"/>
        <v>25000000</v>
      </c>
      <c r="CF69" s="144">
        <f t="shared" si="166"/>
        <v>12500000</v>
      </c>
      <c r="CG69" s="144">
        <f t="shared" si="166"/>
        <v>12500000</v>
      </c>
      <c r="CH69" s="144">
        <f t="shared" si="166"/>
        <v>12500000</v>
      </c>
      <c r="CI69" s="144">
        <f t="shared" si="166"/>
        <v>12500000</v>
      </c>
      <c r="CJ69" s="144">
        <f t="shared" si="166"/>
        <v>12500000</v>
      </c>
      <c r="CK69" s="144">
        <f t="shared" si="166"/>
        <v>12500000</v>
      </c>
      <c r="CL69" s="144">
        <f t="shared" si="166"/>
        <v>0</v>
      </c>
      <c r="CM69" s="144">
        <f t="shared" si="166"/>
        <v>0</v>
      </c>
      <c r="CN69" s="144">
        <f t="shared" si="166"/>
        <v>0</v>
      </c>
      <c r="CO69" s="144">
        <f t="shared" si="166"/>
        <v>0</v>
      </c>
      <c r="CP69" s="144">
        <f t="shared" si="166"/>
        <v>0</v>
      </c>
      <c r="CQ69" s="144">
        <f t="shared" si="166"/>
        <v>0</v>
      </c>
      <c r="CR69" s="144">
        <f t="shared" si="166"/>
        <v>0</v>
      </c>
      <c r="CS69" s="144">
        <f t="shared" si="166"/>
        <v>0</v>
      </c>
      <c r="CT69" s="144">
        <f t="shared" si="166"/>
        <v>0</v>
      </c>
      <c r="CU69" s="144">
        <f t="shared" ref="CU69:DR69" si="167">$C$67*CU26+$D$67*CU29+$E$67*CU32+$F$67*CU35+$G$67*CU38+$H$67*CU41+$I$67*CU44+$J$67*CU47+$K$67*CU50+$L$67*CU53</f>
        <v>0</v>
      </c>
      <c r="CV69" s="144">
        <f t="shared" si="167"/>
        <v>0</v>
      </c>
      <c r="CW69" s="144">
        <f t="shared" si="167"/>
        <v>0</v>
      </c>
      <c r="CX69" s="144">
        <f t="shared" si="167"/>
        <v>0</v>
      </c>
      <c r="CY69" s="144">
        <f t="shared" si="167"/>
        <v>0</v>
      </c>
      <c r="CZ69" s="144">
        <f t="shared" si="167"/>
        <v>0</v>
      </c>
      <c r="DA69" s="144">
        <f t="shared" si="167"/>
        <v>0</v>
      </c>
      <c r="DB69" s="144">
        <f t="shared" si="167"/>
        <v>0</v>
      </c>
      <c r="DC69" s="144">
        <f t="shared" si="167"/>
        <v>0</v>
      </c>
      <c r="DD69" s="144">
        <f t="shared" si="167"/>
        <v>0</v>
      </c>
      <c r="DE69" s="144">
        <f t="shared" si="167"/>
        <v>0</v>
      </c>
      <c r="DF69" s="144">
        <f t="shared" si="167"/>
        <v>0</v>
      </c>
      <c r="DG69" s="144">
        <f t="shared" si="167"/>
        <v>0</v>
      </c>
      <c r="DH69" s="144">
        <f t="shared" si="167"/>
        <v>0</v>
      </c>
      <c r="DI69" s="144">
        <f t="shared" si="167"/>
        <v>0</v>
      </c>
      <c r="DJ69" s="144">
        <f t="shared" si="167"/>
        <v>0</v>
      </c>
      <c r="DK69" s="144">
        <f t="shared" si="167"/>
        <v>0</v>
      </c>
      <c r="DL69" s="144">
        <f t="shared" si="167"/>
        <v>0</v>
      </c>
      <c r="DM69" s="144">
        <f t="shared" si="167"/>
        <v>0</v>
      </c>
      <c r="DN69" s="144">
        <f t="shared" si="167"/>
        <v>0</v>
      </c>
      <c r="DO69" s="144">
        <f t="shared" si="167"/>
        <v>0</v>
      </c>
      <c r="DP69" s="144">
        <f t="shared" si="167"/>
        <v>0</v>
      </c>
      <c r="DQ69" s="144">
        <f t="shared" si="167"/>
        <v>0</v>
      </c>
      <c r="DR69" s="144">
        <f t="shared" si="167"/>
        <v>0</v>
      </c>
    </row>
    <row r="70" spans="1:122">
      <c r="A70" s="142" t="s">
        <v>354</v>
      </c>
      <c r="C70" s="144">
        <f>IF(Results_10yr!B15="All projects",C60,IF(Results_10yr!B15="Projects 2+",C62,C69))</f>
        <v>0</v>
      </c>
      <c r="D70" s="144">
        <f>IF(Results_10yr!B15="All projects",D60,IF(Results_10yr!B15="Projects 2+",D62,D69))</f>
        <v>0</v>
      </c>
      <c r="E70" s="144">
        <f>IF(Results_10yr!B15="All projects",E60,IF(Results_10yr!B15="Projects 2+",E62,E69))</f>
        <v>0</v>
      </c>
      <c r="F70" s="144">
        <f>IF(Results_10yr!B15="All projects",F60,IF(Results_10yr!B15="Projects 2+",F62,F69))</f>
        <v>0</v>
      </c>
      <c r="G70" s="144">
        <f>IF(Results_10yr!B15="All projects",G60,IF(Results_10yr!B15="Projects 2+",G62,G69))</f>
        <v>0</v>
      </c>
      <c r="H70" s="144">
        <f>IF(Results_10yr!B15="All projects",H60,IF(Results_10yr!B15="Projects 2+",H62,H69))</f>
        <v>0</v>
      </c>
      <c r="I70" s="144">
        <f>IF(Results_10yr!B15="All projects",I60,IF(Results_10yr!B15="Projects 2+",I62,I69))</f>
        <v>0</v>
      </c>
      <c r="J70" s="144">
        <f>IF(Results_10yr!B15="All projects",J60,IF(Results_10yr!B15="Projects 2+",J62,J69))</f>
        <v>0</v>
      </c>
      <c r="K70" s="144">
        <f>IF(Results_10yr!B15="All projects",K60,IF(Results_10yr!B15="Projects 2+",K62,K69))</f>
        <v>0</v>
      </c>
      <c r="L70" s="144">
        <f>IF(Results_10yr!B15="All projects",L60,IF(Results_10yr!B15="Projects 2+",L62,L69))</f>
        <v>0</v>
      </c>
      <c r="M70" s="144">
        <f>IF(Results_10yr!B15="All projects",M60,IF(Results_10yr!B15="Projects 2+",M62,M69))</f>
        <v>0</v>
      </c>
      <c r="N70" s="144">
        <f>IF(Results_10yr!B15="All projects",N60,IF(Results_10yr!B15="Projects 2+",N62,N69))</f>
        <v>0</v>
      </c>
      <c r="O70" s="144">
        <f>IF(Results_10yr!B15="All projects",O60,IF(Results_10yr!B15="Projects 2+",O62,O69))</f>
        <v>0</v>
      </c>
      <c r="P70" s="144">
        <f>IF(Results_10yr!B15="All projects",P60,IF(Results_10yr!B15="Projects 2+",P62,P69))</f>
        <v>0</v>
      </c>
      <c r="Q70" s="144">
        <f>IF(Results_10yr!B15="All projects",Q60,IF(Results_10yr!B15="Projects 2+",Q62,Q69))</f>
        <v>0</v>
      </c>
      <c r="R70" s="144">
        <f>IF(Results_10yr!B15="All projects",R60,IF(Results_10yr!B15="Projects 2+",R62,R69))</f>
        <v>0</v>
      </c>
      <c r="S70" s="144">
        <f>IF(Results_10yr!B15="All projects",S60,IF(Results_10yr!B15="Projects 2+",S62,S69))</f>
        <v>0</v>
      </c>
      <c r="T70" s="144">
        <f>IF(Results_10yr!B15="All projects",T60,IF(Results_10yr!B15="Projects 2+",T62,T69))</f>
        <v>0</v>
      </c>
      <c r="U70" s="144">
        <f>IF(Results_10yr!B15="All projects",U60,IF(Results_10yr!B15="Projects 2+",U62,U69))</f>
        <v>0</v>
      </c>
      <c r="V70" s="144">
        <f>IF(Results_10yr!B15="All projects",V60,IF(Results_10yr!B15="Projects 2+",V62,V69))</f>
        <v>0</v>
      </c>
      <c r="W70" s="144">
        <f>IF(Results_10yr!B15="All projects",W60,IF(Results_10yr!B15="Projects 2+",W62,W69))</f>
        <v>0</v>
      </c>
      <c r="X70" s="144">
        <f>IF(Results_10yr!B15="All projects",X60,IF(Results_10yr!B15="Projects 2+",X62,X69))</f>
        <v>0</v>
      </c>
      <c r="Y70" s="144">
        <f>IF(Results_10yr!B15="All projects",Y60,IF(Results_10yr!B15="Projects 2+",Y62,Y69))</f>
        <v>0</v>
      </c>
      <c r="Z70" s="144">
        <f>IF(Results_10yr!B15="All projects",Z60,IF(Results_10yr!B15="Projects 2+",Z62,Z69))</f>
        <v>0</v>
      </c>
      <c r="AA70" s="144">
        <f>IF(Results_10yr!B15="All projects",AA60,IF(Results_10yr!B15="Projects 2+",AA62,AA69))</f>
        <v>0</v>
      </c>
      <c r="AB70" s="144">
        <f>IF(Results_10yr!B15="All projects",AB60,IF(Results_10yr!B15="Projects 2+",AB62,AB69))</f>
        <v>0</v>
      </c>
      <c r="AC70" s="144">
        <f>IF(Results_10yr!B15="All projects",AC60,IF(Results_10yr!B15="Projects 2+",AC62,AC69))</f>
        <v>0</v>
      </c>
      <c r="AD70" s="144">
        <f>IF(Results_10yr!B15="All projects",AD60,IF(Results_10yr!B15="Projects 2+",AD62,AD69))</f>
        <v>0</v>
      </c>
      <c r="AE70" s="144">
        <f>IF(Results_10yr!B15="All projects",AE60,IF(Results_10yr!B15="Projects 2+",AE62,AE69))</f>
        <v>0</v>
      </c>
      <c r="AF70" s="144">
        <f>IF(Results_10yr!B15="All projects",AF60,IF(Results_10yr!B15="Projects 2+",AF62,AF69))</f>
        <v>0</v>
      </c>
      <c r="AG70" s="144">
        <f>IF(Results_10yr!B15="All projects",AG60,IF(Results_10yr!B15="Projects 2+",AG62,AG69))</f>
        <v>0</v>
      </c>
      <c r="AH70" s="144">
        <f>IF(Results_10yr!B15="All projects",AH60,IF(Results_10yr!B15="Projects 2+",AH62,AH69))</f>
        <v>0</v>
      </c>
      <c r="AI70" s="144">
        <f>IF(Results_10yr!B15="All projects",AI60,IF(Results_10yr!B15="Projects 2+",AI62,AI69))</f>
        <v>0</v>
      </c>
      <c r="AJ70" s="144">
        <f>IF(Results_10yr!B15="All projects",AJ60,IF(Results_10yr!B15="Projects 2+",AJ62,AJ69))</f>
        <v>0</v>
      </c>
      <c r="AK70" s="144">
        <f>IF(Results_10yr!B15="All projects",AK60,IF(Results_10yr!B15="Projects 2+",AK62,AK69))</f>
        <v>0</v>
      </c>
      <c r="AL70" s="144">
        <f>IF(Results_10yr!B15="All projects",AL60,IF(Results_10yr!B15="Projects 2+",AL62,AL69))</f>
        <v>0</v>
      </c>
      <c r="AM70" s="144">
        <f>IF(Results_10yr!B15="All projects",AM60,IF(Results_10yr!B15="Projects 2+",AM62,AM69))</f>
        <v>0</v>
      </c>
      <c r="AN70" s="144">
        <f>IF(Results_10yr!B15="All projects",AN60,IF(Results_10yr!B15="Projects 2+",AN62,AN69))</f>
        <v>0</v>
      </c>
      <c r="AO70" s="144">
        <f>IF(Results_10yr!B15="All projects",AO60,IF(Results_10yr!B15="Projects 2+",AO62,AO69))</f>
        <v>0</v>
      </c>
      <c r="AP70" s="144">
        <f>IF(Results_10yr!B15="All projects",AP60,IF(Results_10yr!B15="Projects 2+",AP62,AP69))</f>
        <v>0</v>
      </c>
      <c r="AQ70" s="144">
        <f>IF(Results_10yr!B15="All projects",AQ60,IF(Results_10yr!B15="Projects 2+",AQ62,AQ69))</f>
        <v>0</v>
      </c>
      <c r="AR70" s="144">
        <f>IF(Results_10yr!B15="All projects",AR60,IF(Results_10yr!B15="Projects 2+",AR62,AR69))</f>
        <v>0</v>
      </c>
      <c r="AS70" s="144">
        <f>IF(Results_10yr!B15="All projects",AS60,IF(Results_10yr!B15="Projects 2+",AS62,AS69))</f>
        <v>0</v>
      </c>
      <c r="AT70" s="144">
        <f>IF(Results_10yr!B15="All projects",AT60,IF(Results_10yr!B15="Projects 2+",AT62,AT69))</f>
        <v>0</v>
      </c>
      <c r="AU70" s="144">
        <f>IF(Results_10yr!B15="All projects",AU60,IF(Results_10yr!B15="Projects 2+",AU62,AU69))</f>
        <v>0</v>
      </c>
      <c r="AV70" s="144">
        <f>IF(Results_10yr!B15="All projects",AV60,IF(Results_10yr!B15="Projects 2+",AV62,AV69))</f>
        <v>0</v>
      </c>
      <c r="AW70" s="144">
        <f>IF(Results_10yr!B15="All projects",AW60,IF(Results_10yr!B15="Projects 2+",AW62,AW69))</f>
        <v>0</v>
      </c>
      <c r="AX70" s="144">
        <f>IF(Results_10yr!B15="All projects",AX60,IF(Results_10yr!B15="Projects 2+",AX62,AX69))</f>
        <v>0</v>
      </c>
      <c r="AY70" s="144">
        <f>IF(Results_10yr!B15="All projects",AY60,IF(Results_10yr!B15="Projects 2+",AY62,AY69))</f>
        <v>0</v>
      </c>
      <c r="AZ70" s="144">
        <f>IF(Results_10yr!B15="All projects",AZ60,IF(Results_10yr!B15="Projects 2+",AZ62,AZ69))</f>
        <v>0</v>
      </c>
      <c r="BA70" s="144">
        <f>IF(Results_10yr!B15="All projects",BA60,IF(Results_10yr!B15="Projects 2+",BA62,BA69))</f>
        <v>0</v>
      </c>
      <c r="BB70" s="144">
        <f>IF(Results_10yr!B15="All projects",BB60,IF(Results_10yr!B15="Projects 2+",BB62,BB69))</f>
        <v>1875000.0000000002</v>
      </c>
      <c r="BC70" s="144">
        <f>IF(Results_10yr!B15="All projects",BC60,IF(Results_10yr!B15="Projects 2+",BC62,BC69))</f>
        <v>1875000.0000000002</v>
      </c>
      <c r="BD70" s="144">
        <f>IF(Results_10yr!B15="All projects",BD60,IF(Results_10yr!B15="Projects 2+",BD62,BD69))</f>
        <v>1875000.0000000002</v>
      </c>
      <c r="BE70" s="144">
        <f>IF(Results_10yr!B15="All projects",BE60,IF(Results_10yr!B15="Projects 2+",BE62,BE69))</f>
        <v>1875000.0000000002</v>
      </c>
      <c r="BF70" s="144">
        <f>IF(Results_10yr!B15="All projects",BF60,IF(Results_10yr!B15="Projects 2+",BF62,BF69))</f>
        <v>1875000.0000000002</v>
      </c>
      <c r="BG70" s="144">
        <f>IF(Results_10yr!B15="All projects",BG60,IF(Results_10yr!B15="Projects 2+",BG62,BG69))</f>
        <v>1875000.0000000002</v>
      </c>
      <c r="BH70" s="144">
        <f>IF(Results_10yr!B15="All projects",BH60,IF(Results_10yr!B15="Projects 2+",BH62,BH69))</f>
        <v>78125000.000000015</v>
      </c>
      <c r="BI70" s="144">
        <f>IF(Results_10yr!B15="All projects",BI60,IF(Results_10yr!B15="Projects 2+",BI62,BI69))</f>
        <v>14375000</v>
      </c>
      <c r="BJ70" s="144">
        <f>IF(Results_10yr!B15="All projects",BJ60,IF(Results_10yr!B15="Projects 2+",BJ62,BJ69))</f>
        <v>14375000</v>
      </c>
      <c r="BK70" s="144">
        <f>IF(Results_10yr!B15="All projects",BK60,IF(Results_10yr!B15="Projects 2+",BK62,BK69))</f>
        <v>14375000</v>
      </c>
      <c r="BL70" s="144">
        <f>IF(Results_10yr!B15="All projects",BL60,IF(Results_10yr!B15="Projects 2+",BL62,BL69))</f>
        <v>14375000</v>
      </c>
      <c r="BM70" s="144">
        <f>IF(Results_10yr!B15="All projects",BM60,IF(Results_10yr!B15="Projects 2+",BM62,BM69))</f>
        <v>14375000</v>
      </c>
      <c r="BN70" s="144">
        <f>IF(Results_10yr!B15="All projects",BN60,IF(Results_10yr!B15="Projects 2+",BN62,BN69))</f>
        <v>90625000.000000015</v>
      </c>
      <c r="BO70" s="144">
        <f>IF(Results_10yr!B15="All projects",BO60,IF(Results_10yr!B15="Projects 2+",BO62,BO69))</f>
        <v>26875000</v>
      </c>
      <c r="BP70" s="144">
        <f>IF(Results_10yr!B15="All projects",BP60,IF(Results_10yr!B15="Projects 2+",BP62,BP69))</f>
        <v>26875000</v>
      </c>
      <c r="BQ70" s="144">
        <f>IF(Results_10yr!B15="All projects",BQ60,IF(Results_10yr!B15="Projects 2+",BQ62,BQ69))</f>
        <v>26875000</v>
      </c>
      <c r="BR70" s="144">
        <f>IF(Results_10yr!B15="All projects",BR60,IF(Results_10yr!B15="Projects 2+",BR62,BR69))</f>
        <v>26875000</v>
      </c>
      <c r="BS70" s="144">
        <f>IF(Results_10yr!B15="All projects",BS60,IF(Results_10yr!B15="Projects 2+",BS62,BS69))</f>
        <v>26875000</v>
      </c>
      <c r="BT70" s="144">
        <f>IF(Results_10yr!B15="All projects",BT60,IF(Results_10yr!B15="Projects 2+",BT62,BT69))</f>
        <v>90625000.000000015</v>
      </c>
      <c r="BU70" s="144">
        <f>IF(Results_10yr!B15="All projects",BU60,IF(Results_10yr!B15="Projects 2+",BU62,BU69))</f>
        <v>26875000</v>
      </c>
      <c r="BV70" s="144">
        <f>IF(Results_10yr!B15="All projects",BV60,IF(Results_10yr!B15="Projects 2+",BV62,BV69))</f>
        <v>26875000</v>
      </c>
      <c r="BW70" s="144">
        <f>IF(Results_10yr!B15="All projects",BW60,IF(Results_10yr!B15="Projects 2+",BW62,BW69))</f>
        <v>26875000</v>
      </c>
      <c r="BX70" s="144">
        <f>IF(Results_10yr!B15="All projects",BX60,IF(Results_10yr!B15="Projects 2+",BX62,BX69))</f>
        <v>26875000</v>
      </c>
      <c r="BY70" s="144">
        <f>IF(Results_10yr!B15="All projects",BY60,IF(Results_10yr!B15="Projects 2+",BY62,BY69))</f>
        <v>26875000</v>
      </c>
      <c r="BZ70" s="144">
        <f>IF(Results_10yr!B15="All projects",BZ60,IF(Results_10yr!B15="Projects 2+",BZ62,BZ69))</f>
        <v>88750000.000000015</v>
      </c>
      <c r="CA70" s="144">
        <f>IF(Results_10yr!B15="All projects",CA60,IF(Results_10yr!B15="Projects 2+",CA62,CA69))</f>
        <v>25000000</v>
      </c>
      <c r="CB70" s="144">
        <f>IF(Results_10yr!B15="All projects",CB60,IF(Results_10yr!B15="Projects 2+",CB62,CB69))</f>
        <v>25000000</v>
      </c>
      <c r="CC70" s="144">
        <f>IF(Results_10yr!B15="All projects",CC60,IF(Results_10yr!B15="Projects 2+",CC62,CC69))</f>
        <v>25000000</v>
      </c>
      <c r="CD70" s="144">
        <f>IF(Results_10yr!B15="All projects",CD60,IF(Results_10yr!B15="Projects 2+",CD62,CD69))</f>
        <v>25000000</v>
      </c>
      <c r="CE70" s="144">
        <f>IF(Results_10yr!B15="All projects",CE60,IF(Results_10yr!B15="Projects 2+",CE62,CE69))</f>
        <v>25000000</v>
      </c>
      <c r="CF70" s="144">
        <f>IF(Results_10yr!B15="All projects",CF60,IF(Results_10yr!B15="Projects 2+",CF62,CF69))</f>
        <v>12500000</v>
      </c>
      <c r="CG70" s="144">
        <f>IF(Results_10yr!B15="All projects",CG60,IF(Results_10yr!B15="Projects 2+",CG62,CG69))</f>
        <v>12500000</v>
      </c>
      <c r="CH70" s="144">
        <f>IF(Results_10yr!B15="All projects",CH60,IF(Results_10yr!B15="Projects 2+",CH62,CH69))</f>
        <v>12500000</v>
      </c>
      <c r="CI70" s="144">
        <f>IF(Results_10yr!B15="All projects",CI60,IF(Results_10yr!B15="Projects 2+",CI62,CI69))</f>
        <v>12500000</v>
      </c>
      <c r="CJ70" s="144">
        <f>IF(Results_10yr!B15="All projects",CJ60,IF(Results_10yr!B15="Projects 2+",CJ62,CJ69))</f>
        <v>12500000</v>
      </c>
      <c r="CK70" s="144">
        <f>IF(Results_10yr!B15="All projects",CK60,IF(Results_10yr!B15="Projects 2+",CK62,CK69))</f>
        <v>12500000</v>
      </c>
      <c r="CL70" s="144">
        <f>IF(Results_10yr!B15="All projects",CL60,IF(Results_10yr!B15="Projects 2+",CL62,CL69))</f>
        <v>0</v>
      </c>
      <c r="CM70" s="144">
        <f>IF(Results_10yr!B15="All projects",CM60,IF(Results_10yr!B15="Projects 2+",CM62,CM69))</f>
        <v>0</v>
      </c>
      <c r="CN70" s="144">
        <f>IF(Results_10yr!B15="All projects",CN60,IF(Results_10yr!B15="Projects 2+",CN62,CN69))</f>
        <v>0</v>
      </c>
      <c r="CO70" s="144">
        <f>IF(Results_10yr!B15="All projects",CO60,IF(Results_10yr!B15="Projects 2+",CO62,CO69))</f>
        <v>0</v>
      </c>
      <c r="CP70" s="144">
        <f>IF(Results_10yr!B15="All projects",CP60,IF(Results_10yr!B15="Projects 2+",CP62,CP69))</f>
        <v>0</v>
      </c>
      <c r="CQ70" s="144">
        <f>IF(Results_10yr!B15="All projects",CQ60,IF(Results_10yr!B15="Projects 2+",CQ62,CQ69))</f>
        <v>0</v>
      </c>
      <c r="CR70" s="144">
        <f>IF(Results_10yr!B15="All projects",CR60,IF(Results_10yr!B15="Projects 2+",CR62,CR69))</f>
        <v>0</v>
      </c>
      <c r="CS70" s="144">
        <f>IF(Results_10yr!B15="All projects",CS60,IF(Results_10yr!B15="Projects 2+",CS62,CS69))</f>
        <v>0</v>
      </c>
      <c r="CT70" s="144">
        <f>IF(Results_10yr!B15="All projects",CT60,IF(Results_10yr!B15="Projects 2+",CT62,CT69))</f>
        <v>0</v>
      </c>
      <c r="CU70" s="144">
        <f>IF(Results_10yr!B15="All projects",CU60,IF(Results_10yr!B15="Projects 2+",CU62,CU69))</f>
        <v>0</v>
      </c>
      <c r="CV70" s="144">
        <f>IF(Results_10yr!B15="All projects",CV60,IF(Results_10yr!B15="Projects 2+",CV62,CV69))</f>
        <v>0</v>
      </c>
      <c r="CW70" s="144">
        <f>IF(Results_10yr!B15="All projects",CW60,IF(Results_10yr!B15="Projects 2+",CW62,CW69))</f>
        <v>0</v>
      </c>
      <c r="CX70" s="144">
        <f>IF(Results_10yr!B15="All projects",CX60,IF(Results_10yr!B15="Projects 2+",CX62,CX69))</f>
        <v>0</v>
      </c>
      <c r="CY70" s="144">
        <f>IF(Results_10yr!B15="All projects",CY60,IF(Results_10yr!B15="Projects 2+",CY62,CY69))</f>
        <v>0</v>
      </c>
      <c r="CZ70" s="144">
        <f>IF(Results_10yr!B15="All projects",CZ60,IF(Results_10yr!B15="Projects 2+",CZ62,CZ69))</f>
        <v>0</v>
      </c>
      <c r="DA70" s="144">
        <f>IF(Results_10yr!B15="All projects",DA60,IF(Results_10yr!B15="Projects 2+",DA62,DA69))</f>
        <v>0</v>
      </c>
      <c r="DB70" s="144">
        <f>IF(Results_10yr!B15="All projects",DB60,IF(Results_10yr!B15="Projects 2+",DB62,DB69))</f>
        <v>0</v>
      </c>
      <c r="DC70" s="144">
        <f>IF(Results_10yr!B15="All projects",DC60,IF(Results_10yr!B15="Projects 2+",DC62,DC69))</f>
        <v>0</v>
      </c>
      <c r="DD70" s="144">
        <f>IF(Results_10yr!B15="All projects",DD60,IF(Results_10yr!B15="Projects 2+",DD62,DD69))</f>
        <v>0</v>
      </c>
      <c r="DE70" s="144">
        <f>IF(Results_10yr!B15="All projects",DE60,IF(Results_10yr!B15="Projects 2+",DE62,DE69))</f>
        <v>0</v>
      </c>
      <c r="DF70" s="144">
        <f>IF(Results_10yr!B15="All projects",DF60,IF(Results_10yr!B15="Projects 2+",DF62,DF69))</f>
        <v>0</v>
      </c>
      <c r="DG70" s="144">
        <f>IF(Results_10yr!B15="All projects",DG60,IF(Results_10yr!B15="Projects 2+",DG62,DG69))</f>
        <v>0</v>
      </c>
      <c r="DH70" s="144">
        <f>IF(Results_10yr!B15="All projects",DH60,IF(Results_10yr!B15="Projects 2+",DH62,DH69))</f>
        <v>0</v>
      </c>
      <c r="DI70" s="144">
        <f>IF(Results_10yr!B15="All projects",DI60,IF(Results_10yr!B15="Projects 2+",DI62,DI69))</f>
        <v>0</v>
      </c>
      <c r="DJ70" s="144">
        <f>IF(Results_10yr!B15="All projects",DJ60,IF(Results_10yr!B15="Projects 2+",DJ62,DJ69))</f>
        <v>0</v>
      </c>
      <c r="DK70" s="144">
        <f>IF(Results_10yr!B15="All projects",DK60,IF(Results_10yr!B15="Projects 2+",DK62,DK69))</f>
        <v>0</v>
      </c>
      <c r="DL70" s="144">
        <f>IF(Results_10yr!B15="All projects",DL60,IF(Results_10yr!B15="Projects 2+",DL62,DL69))</f>
        <v>0</v>
      </c>
      <c r="DM70" s="144">
        <f>IF(Results_10yr!B15="All projects",DM60,IF(Results_10yr!B15="Projects 2+",DM62,DM69))</f>
        <v>0</v>
      </c>
      <c r="DN70" s="144">
        <f>IF(Results_10yr!B15="All projects",DN60,IF(Results_10yr!B15="Projects 2+",DN62,DN69))</f>
        <v>0</v>
      </c>
      <c r="DO70" s="144">
        <f>IF(Results_10yr!B15="All projects",DO60,IF(Results_10yr!B15="Projects 2+",DO62,DO69))</f>
        <v>0</v>
      </c>
      <c r="DP70" s="144">
        <f>IF(Results_10yr!B15="All projects",DP60,IF(Results_10yr!B15="Projects 2+",DP62,DP69))</f>
        <v>0</v>
      </c>
      <c r="DQ70" s="144">
        <f>IF(Results_10yr!B15="All projects",DQ60,IF(Results_10yr!B15="Projects 2+",DQ62,DQ69))</f>
        <v>0</v>
      </c>
      <c r="DR70" s="144">
        <f>IF(Results_10yr!B15="All projects",DR60,IF(Results_10yr!B15="Projects 2+",DR62,DR69))</f>
        <v>0</v>
      </c>
    </row>
    <row r="71" spans="1:122">
      <c r="A71" s="142" t="s">
        <v>355</v>
      </c>
      <c r="C71" s="144">
        <f t="shared" ref="C71:AH71" si="168">$C$67*C27+$D$67*C30+$E$67*C33+$F$67*C36+$G$67*C39+$H$67*C42+$I$67*C45+$J$67*C48+$K$67*C51+$L$67*C54</f>
        <v>0</v>
      </c>
      <c r="D71" s="144">
        <f t="shared" si="168"/>
        <v>0</v>
      </c>
      <c r="E71" s="144">
        <f t="shared" si="168"/>
        <v>0</v>
      </c>
      <c r="F71" s="144">
        <f t="shared" si="168"/>
        <v>0</v>
      </c>
      <c r="G71" s="144">
        <f t="shared" si="168"/>
        <v>0</v>
      </c>
      <c r="H71" s="144">
        <f t="shared" si="168"/>
        <v>0</v>
      </c>
      <c r="I71" s="144">
        <f t="shared" si="168"/>
        <v>0</v>
      </c>
      <c r="J71" s="144">
        <f t="shared" si="168"/>
        <v>0</v>
      </c>
      <c r="K71" s="144">
        <f t="shared" si="168"/>
        <v>0</v>
      </c>
      <c r="L71" s="144">
        <f t="shared" si="168"/>
        <v>0</v>
      </c>
      <c r="M71" s="144">
        <f t="shared" si="168"/>
        <v>0</v>
      </c>
      <c r="N71" s="144">
        <f t="shared" si="168"/>
        <v>0</v>
      </c>
      <c r="O71" s="144">
        <f t="shared" si="168"/>
        <v>0</v>
      </c>
      <c r="P71" s="144">
        <f t="shared" si="168"/>
        <v>0</v>
      </c>
      <c r="Q71" s="144">
        <f t="shared" si="168"/>
        <v>0</v>
      </c>
      <c r="R71" s="144">
        <f t="shared" si="168"/>
        <v>0</v>
      </c>
      <c r="S71" s="144">
        <f t="shared" si="168"/>
        <v>0</v>
      </c>
      <c r="T71" s="144">
        <f t="shared" si="168"/>
        <v>0</v>
      </c>
      <c r="U71" s="144">
        <f t="shared" si="168"/>
        <v>0</v>
      </c>
      <c r="V71" s="144">
        <f t="shared" si="168"/>
        <v>0</v>
      </c>
      <c r="W71" s="144">
        <f t="shared" si="168"/>
        <v>0</v>
      </c>
      <c r="X71" s="144">
        <f t="shared" si="168"/>
        <v>0</v>
      </c>
      <c r="Y71" s="144">
        <f t="shared" si="168"/>
        <v>0</v>
      </c>
      <c r="Z71" s="144">
        <f t="shared" si="168"/>
        <v>0</v>
      </c>
      <c r="AA71" s="144">
        <f t="shared" si="168"/>
        <v>0</v>
      </c>
      <c r="AB71" s="144">
        <f t="shared" si="168"/>
        <v>0</v>
      </c>
      <c r="AC71" s="144">
        <f t="shared" si="168"/>
        <v>0</v>
      </c>
      <c r="AD71" s="144">
        <f t="shared" si="168"/>
        <v>0</v>
      </c>
      <c r="AE71" s="144">
        <f t="shared" si="168"/>
        <v>0</v>
      </c>
      <c r="AF71" s="144">
        <f t="shared" si="168"/>
        <v>0</v>
      </c>
      <c r="AG71" s="144">
        <f t="shared" si="168"/>
        <v>0</v>
      </c>
      <c r="AH71" s="144">
        <f t="shared" si="168"/>
        <v>0</v>
      </c>
      <c r="AI71" s="144">
        <f t="shared" ref="AI71:BN71" si="169">$C$67*AI27+$D$67*AI30+$E$67*AI33+$F$67*AI36+$G$67*AI39+$H$67*AI42+$I$67*AI45+$J$67*AI48+$K$67*AI51+$L$67*AI54</f>
        <v>0</v>
      </c>
      <c r="AJ71" s="144">
        <f t="shared" si="169"/>
        <v>0</v>
      </c>
      <c r="AK71" s="144">
        <f t="shared" si="169"/>
        <v>0</v>
      </c>
      <c r="AL71" s="144">
        <f t="shared" si="169"/>
        <v>0</v>
      </c>
      <c r="AM71" s="144">
        <f t="shared" si="169"/>
        <v>0</v>
      </c>
      <c r="AN71" s="144">
        <f t="shared" si="169"/>
        <v>0</v>
      </c>
      <c r="AO71" s="144">
        <f t="shared" si="169"/>
        <v>0</v>
      </c>
      <c r="AP71" s="144">
        <f t="shared" si="169"/>
        <v>0</v>
      </c>
      <c r="AQ71" s="144">
        <f t="shared" si="169"/>
        <v>0</v>
      </c>
      <c r="AR71" s="144">
        <f t="shared" si="169"/>
        <v>0</v>
      </c>
      <c r="AS71" s="144">
        <f t="shared" si="169"/>
        <v>0</v>
      </c>
      <c r="AT71" s="144">
        <f t="shared" si="169"/>
        <v>0</v>
      </c>
      <c r="AU71" s="144">
        <f t="shared" si="169"/>
        <v>0</v>
      </c>
      <c r="AV71" s="144">
        <f t="shared" si="169"/>
        <v>0</v>
      </c>
      <c r="AW71" s="144">
        <f t="shared" si="169"/>
        <v>0</v>
      </c>
      <c r="AX71" s="144">
        <f t="shared" si="169"/>
        <v>0</v>
      </c>
      <c r="AY71" s="144">
        <f t="shared" si="169"/>
        <v>0</v>
      </c>
      <c r="AZ71" s="144">
        <f t="shared" si="169"/>
        <v>0</v>
      </c>
      <c r="BA71" s="144">
        <f t="shared" si="169"/>
        <v>0</v>
      </c>
      <c r="BB71" s="144">
        <f t="shared" si="169"/>
        <v>0</v>
      </c>
      <c r="BC71" s="144">
        <f t="shared" si="169"/>
        <v>0</v>
      </c>
      <c r="BD71" s="144">
        <f t="shared" si="169"/>
        <v>0</v>
      </c>
      <c r="BE71" s="144">
        <f t="shared" si="169"/>
        <v>0</v>
      </c>
      <c r="BF71" s="144">
        <f t="shared" si="169"/>
        <v>0</v>
      </c>
      <c r="BG71" s="144">
        <f t="shared" si="169"/>
        <v>0</v>
      </c>
      <c r="BH71" s="144">
        <f t="shared" si="169"/>
        <v>74375000.000000015</v>
      </c>
      <c r="BI71" s="144">
        <f t="shared" si="169"/>
        <v>10625000</v>
      </c>
      <c r="BJ71" s="144">
        <f t="shared" si="169"/>
        <v>10625000</v>
      </c>
      <c r="BK71" s="144">
        <f t="shared" si="169"/>
        <v>10625000</v>
      </c>
      <c r="BL71" s="144">
        <f t="shared" si="169"/>
        <v>10625000</v>
      </c>
      <c r="BM71" s="144">
        <f t="shared" si="169"/>
        <v>10625000</v>
      </c>
      <c r="BN71" s="144">
        <f t="shared" si="169"/>
        <v>85000000.000000015</v>
      </c>
      <c r="BO71" s="144">
        <f t="shared" ref="BO71:CT71" si="170">$C$67*BO27+$D$67*BO30+$E$67*BO33+$F$67*BO36+$G$67*BO39+$H$67*BO42+$I$67*BO45+$J$67*BO48+$K$67*BO51+$L$67*BO54</f>
        <v>21250000</v>
      </c>
      <c r="BP71" s="144">
        <f t="shared" si="170"/>
        <v>21250000</v>
      </c>
      <c r="BQ71" s="144">
        <f t="shared" si="170"/>
        <v>21250000</v>
      </c>
      <c r="BR71" s="144">
        <f t="shared" si="170"/>
        <v>21250000</v>
      </c>
      <c r="BS71" s="144">
        <f t="shared" si="170"/>
        <v>21250000</v>
      </c>
      <c r="BT71" s="144">
        <f t="shared" si="170"/>
        <v>85000000.000000015</v>
      </c>
      <c r="BU71" s="144">
        <f t="shared" si="170"/>
        <v>21250000</v>
      </c>
      <c r="BV71" s="144">
        <f t="shared" si="170"/>
        <v>21250000</v>
      </c>
      <c r="BW71" s="144">
        <f t="shared" si="170"/>
        <v>21250000</v>
      </c>
      <c r="BX71" s="144">
        <f t="shared" si="170"/>
        <v>21250000</v>
      </c>
      <c r="BY71" s="144">
        <f t="shared" si="170"/>
        <v>21250000</v>
      </c>
      <c r="BZ71" s="144">
        <f t="shared" si="170"/>
        <v>85000000.000000015</v>
      </c>
      <c r="CA71" s="144">
        <f t="shared" si="170"/>
        <v>21250000</v>
      </c>
      <c r="CB71" s="144">
        <f t="shared" si="170"/>
        <v>21250000</v>
      </c>
      <c r="CC71" s="144">
        <f t="shared" si="170"/>
        <v>21250000</v>
      </c>
      <c r="CD71" s="144">
        <f t="shared" si="170"/>
        <v>21250000</v>
      </c>
      <c r="CE71" s="144">
        <f t="shared" si="170"/>
        <v>21250000</v>
      </c>
      <c r="CF71" s="144">
        <f t="shared" si="170"/>
        <v>10625000</v>
      </c>
      <c r="CG71" s="144">
        <f t="shared" si="170"/>
        <v>10625000</v>
      </c>
      <c r="CH71" s="144">
        <f t="shared" si="170"/>
        <v>10625000</v>
      </c>
      <c r="CI71" s="144">
        <f t="shared" si="170"/>
        <v>10625000</v>
      </c>
      <c r="CJ71" s="144">
        <f t="shared" si="170"/>
        <v>10625000</v>
      </c>
      <c r="CK71" s="144">
        <f t="shared" si="170"/>
        <v>10625000</v>
      </c>
      <c r="CL71" s="144">
        <f t="shared" si="170"/>
        <v>0</v>
      </c>
      <c r="CM71" s="144">
        <f t="shared" si="170"/>
        <v>0</v>
      </c>
      <c r="CN71" s="144">
        <f t="shared" si="170"/>
        <v>0</v>
      </c>
      <c r="CO71" s="144">
        <f t="shared" si="170"/>
        <v>0</v>
      </c>
      <c r="CP71" s="144">
        <f t="shared" si="170"/>
        <v>0</v>
      </c>
      <c r="CQ71" s="144">
        <f t="shared" si="170"/>
        <v>0</v>
      </c>
      <c r="CR71" s="144">
        <f t="shared" si="170"/>
        <v>0</v>
      </c>
      <c r="CS71" s="144">
        <f t="shared" si="170"/>
        <v>0</v>
      </c>
      <c r="CT71" s="144">
        <f t="shared" si="170"/>
        <v>0</v>
      </c>
      <c r="CU71" s="144">
        <f t="shared" ref="CU71:DR71" si="171">$C$67*CU27+$D$67*CU30+$E$67*CU33+$F$67*CU36+$G$67*CU39+$H$67*CU42+$I$67*CU45+$J$67*CU48+$K$67*CU51+$L$67*CU54</f>
        <v>0</v>
      </c>
      <c r="CV71" s="144">
        <f t="shared" si="171"/>
        <v>0</v>
      </c>
      <c r="CW71" s="144">
        <f t="shared" si="171"/>
        <v>0</v>
      </c>
      <c r="CX71" s="144">
        <f t="shared" si="171"/>
        <v>0</v>
      </c>
      <c r="CY71" s="144">
        <f t="shared" si="171"/>
        <v>0</v>
      </c>
      <c r="CZ71" s="144">
        <f t="shared" si="171"/>
        <v>0</v>
      </c>
      <c r="DA71" s="144">
        <f t="shared" si="171"/>
        <v>0</v>
      </c>
      <c r="DB71" s="144">
        <f t="shared" si="171"/>
        <v>0</v>
      </c>
      <c r="DC71" s="144">
        <f t="shared" si="171"/>
        <v>0</v>
      </c>
      <c r="DD71" s="144">
        <f t="shared" si="171"/>
        <v>0</v>
      </c>
      <c r="DE71" s="144">
        <f t="shared" si="171"/>
        <v>0</v>
      </c>
      <c r="DF71" s="144">
        <f t="shared" si="171"/>
        <v>0</v>
      </c>
      <c r="DG71" s="144">
        <f t="shared" si="171"/>
        <v>0</v>
      </c>
      <c r="DH71" s="144">
        <f t="shared" si="171"/>
        <v>0</v>
      </c>
      <c r="DI71" s="144">
        <f t="shared" si="171"/>
        <v>0</v>
      </c>
      <c r="DJ71" s="144">
        <f t="shared" si="171"/>
        <v>0</v>
      </c>
      <c r="DK71" s="144">
        <f t="shared" si="171"/>
        <v>0</v>
      </c>
      <c r="DL71" s="144">
        <f t="shared" si="171"/>
        <v>0</v>
      </c>
      <c r="DM71" s="144">
        <f t="shared" si="171"/>
        <v>0</v>
      </c>
      <c r="DN71" s="144">
        <f t="shared" si="171"/>
        <v>0</v>
      </c>
      <c r="DO71" s="144">
        <f t="shared" si="171"/>
        <v>0</v>
      </c>
      <c r="DP71" s="144">
        <f t="shared" si="171"/>
        <v>0</v>
      </c>
      <c r="DQ71" s="144">
        <f t="shared" si="171"/>
        <v>0</v>
      </c>
      <c r="DR71" s="144">
        <f t="shared" si="171"/>
        <v>0</v>
      </c>
    </row>
    <row r="72" spans="1:122">
      <c r="A72" s="142" t="s">
        <v>356</v>
      </c>
      <c r="C72" s="144">
        <f>IF(Results_10yr!B12="All projects",C57,C58)</f>
        <v>0</v>
      </c>
      <c r="D72" s="144">
        <f>IF(Results_10yr!B12="All projects",D57,D58)</f>
        <v>0</v>
      </c>
      <c r="E72" s="144">
        <f>IF(Results_10yr!B12="All projects",E57,E58)</f>
        <v>0</v>
      </c>
      <c r="F72" s="144">
        <f>IF(Results_10yr!B12="All projects",F57,F58)</f>
        <v>0</v>
      </c>
      <c r="G72" s="144">
        <f>IF(Results_10yr!B12="All projects",G57,G58)</f>
        <v>0</v>
      </c>
      <c r="H72" s="144">
        <f>IF(Results_10yr!B12="All projects",H57,H58)</f>
        <v>0</v>
      </c>
      <c r="I72" s="144">
        <f>IF(Results_10yr!B12="All projects",I57,I58)</f>
        <v>0</v>
      </c>
      <c r="J72" s="144">
        <f>IF(Results_10yr!B12="All projects",J57,J58)</f>
        <v>0</v>
      </c>
      <c r="K72" s="144">
        <f>IF(Results_10yr!B12="All projects",K57,K58)</f>
        <v>0</v>
      </c>
      <c r="L72" s="144">
        <f>IF(Results_10yr!B12="All projects",L57,L58)</f>
        <v>0</v>
      </c>
      <c r="M72" s="144">
        <f>IF(Results_10yr!B12="All projects",M57,M58)</f>
        <v>0</v>
      </c>
      <c r="N72" s="144">
        <f>IF(Results_10yr!B12="All projects",N57,N58)</f>
        <v>0</v>
      </c>
      <c r="O72" s="144">
        <f>IF(Results_10yr!B12="All projects",O57,O58)</f>
        <v>0</v>
      </c>
      <c r="P72" s="144">
        <f>IF(Results_10yr!B12="All projects",P57,P58)</f>
        <v>0</v>
      </c>
      <c r="Q72" s="144">
        <f>IF(Results_10yr!B12="All projects",Q57,Q58)</f>
        <v>0</v>
      </c>
      <c r="R72" s="144">
        <f>IF(Results_10yr!B12="All projects",R57,R58)</f>
        <v>0</v>
      </c>
      <c r="S72" s="144">
        <f>IF(Results_10yr!B12="All projects",S57,S58)</f>
        <v>0</v>
      </c>
      <c r="T72" s="144">
        <f>IF(Results_10yr!B12="All projects",T57,T58)</f>
        <v>0</v>
      </c>
      <c r="U72" s="144">
        <f>IF(Results_10yr!B12="All projects",U57,U58)</f>
        <v>0</v>
      </c>
      <c r="V72" s="144">
        <f>IF(Results_10yr!B12="All projects",V57,V58)</f>
        <v>0</v>
      </c>
      <c r="W72" s="144">
        <f>IF(Results_10yr!B12="All projects",W57,W58)</f>
        <v>0</v>
      </c>
      <c r="X72" s="144">
        <f>IF(Results_10yr!B12="All projects",X57,X58)</f>
        <v>0</v>
      </c>
      <c r="Y72" s="144">
        <f>IF(Results_10yr!B12="All projects",Y57,Y58)</f>
        <v>0</v>
      </c>
      <c r="Z72" s="144">
        <f>IF(Results_10yr!B12="All projects",Z57,Z58)</f>
        <v>0</v>
      </c>
      <c r="AA72" s="144">
        <f>IF(Results_10yr!B12="All projects",AA57,AA58)</f>
        <v>-7959375</v>
      </c>
      <c r="AB72" s="144">
        <f>IF(Results_10yr!B12="All projects",AB57,AB58)</f>
        <v>0</v>
      </c>
      <c r="AC72" s="144">
        <f>IF(Results_10yr!B12="All projects",AC57,AC58)</f>
        <v>0</v>
      </c>
      <c r="AD72" s="144">
        <f>IF(Results_10yr!B12="All projects",AD57,AD58)</f>
        <v>-6583997.0703125</v>
      </c>
      <c r="AE72" s="144">
        <f>IF(Results_10yr!B12="All projects",AE57,AE58)</f>
        <v>-6583997.0703125</v>
      </c>
      <c r="AF72" s="144">
        <f>IF(Results_10yr!B12="All projects",AF57,AF58)</f>
        <v>-6583997.0703125</v>
      </c>
      <c r="AG72" s="144">
        <f>IF(Results_10yr!B12="All projects",AG57,AG58)</f>
        <v>-14543372.0703125</v>
      </c>
      <c r="AH72" s="144">
        <f>IF(Results_10yr!B12="All projects",AH57,AH58)</f>
        <v>-6583997.0703125</v>
      </c>
      <c r="AI72" s="144">
        <f>IF(Results_10yr!B12="All projects",AI57,AI58)</f>
        <v>-6583997.0703125</v>
      </c>
      <c r="AJ72" s="144">
        <f>IF(Results_10yr!B12="All projects",AJ57,AJ58)</f>
        <v>-13167994.140625</v>
      </c>
      <c r="AK72" s="144">
        <f>IF(Results_10yr!B12="All projects",AK57,AK58)</f>
        <v>-13167994.140625</v>
      </c>
      <c r="AL72" s="144">
        <f>IF(Results_10yr!B12="All projects",AL57,AL58)</f>
        <v>-13167994.140625</v>
      </c>
      <c r="AM72" s="144">
        <f>IF(Results_10yr!B12="All projects",AM57,AM58)</f>
        <v>-21127369.140625</v>
      </c>
      <c r="AN72" s="144">
        <f>IF(Results_10yr!B12="All projects",AN57,AN58)</f>
        <v>-13167994.140625</v>
      </c>
      <c r="AO72" s="144">
        <f>IF(Results_10yr!B12="All projects",AO57,AO58)</f>
        <v>-13167994.140625</v>
      </c>
      <c r="AP72" s="144">
        <f>IF(Results_10yr!B12="All projects",AP57,AP58)</f>
        <v>-19751991.2109375</v>
      </c>
      <c r="AQ72" s="144">
        <f>IF(Results_10yr!B12="All projects",AQ57,AQ58)</f>
        <v>-19751991.2109375</v>
      </c>
      <c r="AR72" s="144">
        <f>IF(Results_10yr!B12="All projects",AR57,AR58)</f>
        <v>-19751991.2109375</v>
      </c>
      <c r="AS72" s="144">
        <f>IF(Results_10yr!B12="All projects",AS57,AS58)</f>
        <v>-27711366.2109375</v>
      </c>
      <c r="AT72" s="144">
        <f>IF(Results_10yr!B12="All projects",AT57,AT58)</f>
        <v>-19751991.2109375</v>
      </c>
      <c r="AU72" s="144">
        <f>IF(Results_10yr!B12="All projects",AU57,AU58)</f>
        <v>-19751991.2109375</v>
      </c>
      <c r="AV72" s="144">
        <f>IF(Results_10yr!B12="All projects",AV57,AV58)</f>
        <v>-24483356.934282441</v>
      </c>
      <c r="AW72" s="144">
        <f>IF(Results_10yr!B12="All projects",AW57,AW58)</f>
        <v>-24483356.934282441</v>
      </c>
      <c r="AX72" s="144">
        <f>IF(Results_10yr!B12="All projects",AX57,AX58)</f>
        <v>-24483356.934282441</v>
      </c>
      <c r="AY72" s="144">
        <f>IF(Results_10yr!B12="All projects",AY57,AY58)</f>
        <v>-32442731.934282441</v>
      </c>
      <c r="AZ72" s="144">
        <f>IF(Results_10yr!B12="All projects",AZ57,AZ58)</f>
        <v>-24483356.934282441</v>
      </c>
      <c r="BA72" s="144">
        <f>IF(Results_10yr!B12="All projects",BA57,BA58)</f>
        <v>-24483356.934282441</v>
      </c>
      <c r="BB72" s="144">
        <f>IF(Results_10yr!B12="All projects",BB57,BB58)</f>
        <v>50856984.509065017</v>
      </c>
      <c r="BC72" s="144">
        <f>IF(Results_10yr!B12="All projects",BC57,BC58)</f>
        <v>-12132481.28783204</v>
      </c>
      <c r="BD72" s="144">
        <f>IF(Results_10yr!B12="All projects",BD57,BD58)</f>
        <v>-12132481.28783204</v>
      </c>
      <c r="BE72" s="144">
        <f>IF(Results_10yr!B12="All projects",BE57,BE58)</f>
        <v>-12132481.28783204</v>
      </c>
      <c r="BF72" s="144">
        <f>IF(Results_10yr!B12="All projects",BF57,BF58)</f>
        <v>-12132481.28783204</v>
      </c>
      <c r="BG72" s="144">
        <f>IF(Results_10yr!B12="All projects",BG57,BG58)</f>
        <v>-12132481.28783204</v>
      </c>
      <c r="BH72" s="144">
        <f>IF(Results_10yr!B12="All projects",BH57,BH58)</f>
        <v>69791857.225827917</v>
      </c>
      <c r="BI72" s="144">
        <f>IF(Results_10yr!B12="All projects",BI57,BI58)</f>
        <v>6802391.4289308563</v>
      </c>
      <c r="BJ72" s="144">
        <f>IF(Results_10yr!B12="All projects",BJ57,BJ58)</f>
        <v>6802391.4289308563</v>
      </c>
      <c r="BK72" s="144">
        <f>IF(Results_10yr!B12="All projects",BK57,BK58)</f>
        <v>6802391.4289308563</v>
      </c>
      <c r="BL72" s="144">
        <f>IF(Results_10yr!B12="All projects",BL57,BL58)</f>
        <v>6802391.4289308563</v>
      </c>
      <c r="BM72" s="144">
        <f>IF(Results_10yr!B12="All projects",BM57,BM58)</f>
        <v>6802391.4289308563</v>
      </c>
      <c r="BN72" s="144">
        <f>IF(Results_10yr!B12="All projects",BN57,BN58)</f>
        <v>76375854.296140417</v>
      </c>
      <c r="BO72" s="144">
        <f>IF(Results_10yr!B12="All projects",BO57,BO58)</f>
        <v>13386388.499243356</v>
      </c>
      <c r="BP72" s="144">
        <f>IF(Results_10yr!B12="All projects",BP57,BP58)</f>
        <v>13386388.499243356</v>
      </c>
      <c r="BQ72" s="144">
        <f>IF(Results_10yr!B12="All projects",BQ57,BQ58)</f>
        <v>13386388.499243356</v>
      </c>
      <c r="BR72" s="144">
        <f>IF(Results_10yr!B12="All projects",BR57,BR58)</f>
        <v>13386388.499243356</v>
      </c>
      <c r="BS72" s="144">
        <f>IF(Results_10yr!B12="All projects",BS57,BS58)</f>
        <v>13386388.499243356</v>
      </c>
      <c r="BT72" s="144">
        <f>IF(Results_10yr!B12="All projects",BT57,BT58)</f>
        <v>82959851.366452917</v>
      </c>
      <c r="BU72" s="144">
        <f>IF(Results_10yr!B12="All projects",BU57,BU58)</f>
        <v>19970385.569555856</v>
      </c>
      <c r="BV72" s="144">
        <f>IF(Results_10yr!B12="All projects",BV57,BV58)</f>
        <v>19970385.569555856</v>
      </c>
      <c r="BW72" s="144">
        <f>IF(Results_10yr!B12="All projects",BW57,BW58)</f>
        <v>19970385.569555856</v>
      </c>
      <c r="BX72" s="144">
        <f>IF(Results_10yr!B12="All projects",BX57,BX58)</f>
        <v>19970385.569555856</v>
      </c>
      <c r="BY72" s="144">
        <f>IF(Results_10yr!B12="All projects",BY57,BY58)</f>
        <v>19970385.569555856</v>
      </c>
      <c r="BZ72" s="144">
        <f>IF(Results_10yr!B12="All projects",BZ57,BZ58)</f>
        <v>87691217.089797854</v>
      </c>
      <c r="CA72" s="144">
        <f>IF(Results_10yr!B12="All projects",CA57,CA58)</f>
        <v>24701751.292900797</v>
      </c>
      <c r="CB72" s="144">
        <f>IF(Results_10yr!B12="All projects",CB57,CB58)</f>
        <v>24701751.292900797</v>
      </c>
      <c r="CC72" s="144">
        <f>IF(Results_10yr!B12="All projects",CC57,CC58)</f>
        <v>24701751.292900797</v>
      </c>
      <c r="CD72" s="144">
        <f>IF(Results_10yr!B12="All projects",CD57,CD58)</f>
        <v>24701751.292900797</v>
      </c>
      <c r="CE72" s="144">
        <f>IF(Results_10yr!B12="All projects",CE57,CE58)</f>
        <v>24701751.292900797</v>
      </c>
      <c r="CF72" s="144">
        <f>IF(Results_10yr!B12="All projects",CF57,CF58)</f>
        <v>12350875.646450398</v>
      </c>
      <c r="CG72" s="144">
        <f>IF(Results_10yr!B12="All projects",CG57,CG58)</f>
        <v>12350875.646450398</v>
      </c>
      <c r="CH72" s="144">
        <f>IF(Results_10yr!B12="All projects",CH57,CH58)</f>
        <v>12350875.646450398</v>
      </c>
      <c r="CI72" s="144">
        <f>IF(Results_10yr!B12="All projects",CI57,CI58)</f>
        <v>12350875.646450398</v>
      </c>
      <c r="CJ72" s="144">
        <f>IF(Results_10yr!B12="All projects",CJ57,CJ58)</f>
        <v>12350875.646450398</v>
      </c>
      <c r="CK72" s="144">
        <f>IF(Results_10yr!B12="All projects",CK57,CK58)</f>
        <v>12350875.646450398</v>
      </c>
      <c r="CL72" s="144">
        <f>IF(Results_10yr!B12="All projects",CL57,CL58)</f>
        <v>0</v>
      </c>
      <c r="CM72" s="144">
        <f>IF(Results_10yr!B12="All projects",CM57,CM58)</f>
        <v>0</v>
      </c>
      <c r="CN72" s="144">
        <f>IF(Results_10yr!B12="All projects",CN57,CN58)</f>
        <v>0</v>
      </c>
      <c r="CO72" s="144">
        <f>IF(Results_10yr!B12="All projects",CO57,CO58)</f>
        <v>0</v>
      </c>
      <c r="CP72" s="144">
        <f>IF(Results_10yr!B12="All projects",CP57,CP58)</f>
        <v>0</v>
      </c>
      <c r="CQ72" s="144">
        <f>IF(Results_10yr!B12="All projects",CQ57,CQ58)</f>
        <v>0</v>
      </c>
      <c r="CR72" s="144">
        <f>IF(Results_10yr!B12="All projects",CR57,CR58)</f>
        <v>0</v>
      </c>
      <c r="CS72" s="144">
        <f>IF(Results_10yr!B12="All projects",CS57,CS58)</f>
        <v>0</v>
      </c>
      <c r="CT72" s="144">
        <f>IF(Results_10yr!B12="All projects",CT57,CT58)</f>
        <v>0</v>
      </c>
      <c r="CU72" s="144">
        <f>IF(Results_10yr!B12="All projects",CU57,CU58)</f>
        <v>0</v>
      </c>
      <c r="CV72" s="144">
        <f>IF(Results_10yr!B12="All projects",CV57,CV58)</f>
        <v>0</v>
      </c>
      <c r="CW72" s="144">
        <f>IF(Results_10yr!B12="All projects",CW57,CW58)</f>
        <v>0</v>
      </c>
      <c r="CX72" s="144">
        <f>IF(Results_10yr!B12="All projects",CX57,CX58)</f>
        <v>0</v>
      </c>
      <c r="CY72" s="144">
        <f>IF(Results_10yr!B12="All projects",CY57,CY58)</f>
        <v>0</v>
      </c>
      <c r="CZ72" s="144">
        <f>IF(Results_10yr!B12="All projects",CZ57,CZ58)</f>
        <v>0</v>
      </c>
      <c r="DA72" s="144">
        <f>IF(Results_10yr!B12="All projects",DA57,DA58)</f>
        <v>0</v>
      </c>
      <c r="DB72" s="144">
        <f>IF(Results_10yr!B12="All projects",DB57,DB58)</f>
        <v>0</v>
      </c>
      <c r="DC72" s="144">
        <f>IF(Results_10yr!B12="All projects",DC57,DC58)</f>
        <v>0</v>
      </c>
      <c r="DD72" s="144">
        <f>IF(Results_10yr!B12="All projects",DD57,DD58)</f>
        <v>0</v>
      </c>
      <c r="DE72" s="144">
        <f>IF(Results_10yr!B12="All projects",DE57,DE58)</f>
        <v>0</v>
      </c>
      <c r="DF72" s="144">
        <f>IF(Results_10yr!B12="All projects",DF57,DF58)</f>
        <v>0</v>
      </c>
      <c r="DG72" s="144">
        <f>IF(Results_10yr!B12="All projects",DG57,DG58)</f>
        <v>0</v>
      </c>
      <c r="DH72" s="144">
        <f>IF(Results_10yr!B12="All projects",DH57,DH58)</f>
        <v>0</v>
      </c>
      <c r="DI72" s="144">
        <f>IF(Results_10yr!B12="All projects",DI57,DI58)</f>
        <v>0</v>
      </c>
      <c r="DJ72" s="144">
        <f>IF(Results_10yr!B12="All projects",DJ57,DJ58)</f>
        <v>0</v>
      </c>
      <c r="DK72" s="144">
        <f>IF(Results_10yr!B12="All projects",DK57,DK58)</f>
        <v>0</v>
      </c>
      <c r="DL72" s="144">
        <f>IF(Results_10yr!B12="All projects",DL57,DL58)</f>
        <v>0</v>
      </c>
      <c r="DM72" s="144">
        <f>IF(Results_10yr!B12="All projects",DM57,DM58)</f>
        <v>0</v>
      </c>
      <c r="DN72" s="144">
        <f>IF(Results_10yr!B12="All projects",DN57,DN58)</f>
        <v>0</v>
      </c>
      <c r="DO72" s="144">
        <f>IF(Results_10yr!B12="All projects",DO57,DO58)</f>
        <v>0</v>
      </c>
      <c r="DP72" s="144">
        <f>IF(Results_10yr!B12="All projects",DP57,DP58)</f>
        <v>0</v>
      </c>
      <c r="DQ72" s="144">
        <f>IF(Results_10yr!B12="All projects",DQ57,DQ58)</f>
        <v>0</v>
      </c>
      <c r="DR72" s="144">
        <f>IF(Results_10yr!B12="All projects",DR57,DR58)</f>
        <v>0</v>
      </c>
    </row>
    <row r="73" spans="1:122">
      <c r="A73" t="s">
        <v>357</v>
      </c>
      <c r="C73">
        <f>IF(Results_10yr!$B$35="All projects",C63,IF(Results_10yr!$B$35="Projects 2+",C65,C71))</f>
        <v>0</v>
      </c>
      <c r="D73">
        <f>IF(Results_10yr!$B$35="All projects",D63,IF(Results_10yr!$B$35="Projects 2+",D65,D71))</f>
        <v>0</v>
      </c>
      <c r="E73">
        <f>IF(Results_10yr!$B$35="All projects",E63,IF(Results_10yr!$B$35="Projects 2+",E65,E71))</f>
        <v>0</v>
      </c>
      <c r="F73">
        <f>IF(Results_10yr!$B$35="All projects",F63,IF(Results_10yr!$B$35="Projects 2+",F65,F71))</f>
        <v>0</v>
      </c>
      <c r="G73">
        <f>IF(Results_10yr!$B$35="All projects",G63,IF(Results_10yr!$B$35="Projects 2+",G65,G71))</f>
        <v>0</v>
      </c>
      <c r="H73">
        <f>IF(Results_10yr!$B$35="All projects",H63,IF(Results_10yr!$B$35="Projects 2+",H65,H71))</f>
        <v>0</v>
      </c>
      <c r="I73">
        <f>IF(Results_10yr!$B$35="All projects",I63,IF(Results_10yr!$B$35="Projects 2+",I65,I71))</f>
        <v>0</v>
      </c>
      <c r="J73">
        <f>IF(Results_10yr!$B$35="All projects",J63,IF(Results_10yr!$B$35="Projects 2+",J65,J71))</f>
        <v>0</v>
      </c>
      <c r="K73">
        <f>IF(Results_10yr!$B$35="All projects",K63,IF(Results_10yr!$B$35="Projects 2+",K65,K71))</f>
        <v>0</v>
      </c>
      <c r="L73">
        <f>IF(Results_10yr!$B$35="All projects",L63,IF(Results_10yr!$B$35="Projects 2+",L65,L71))</f>
        <v>0</v>
      </c>
      <c r="M73">
        <f>IF(Results_10yr!$B$35="All projects",M63,IF(Results_10yr!$B$35="Projects 2+",M65,M71))</f>
        <v>0</v>
      </c>
      <c r="N73">
        <f>IF(Results_10yr!$B$35="All projects",N63,IF(Results_10yr!$B$35="Projects 2+",N65,N71))</f>
        <v>0</v>
      </c>
      <c r="O73">
        <f>IF(Results_10yr!$B$35="All projects",O63,IF(Results_10yr!$B$35="Projects 2+",O65,O71))</f>
        <v>0</v>
      </c>
      <c r="P73">
        <f>IF(Results_10yr!$B$35="All projects",P63,IF(Results_10yr!$B$35="Projects 2+",P65,P71))</f>
        <v>0</v>
      </c>
      <c r="Q73">
        <f>IF(Results_10yr!$B$35="All projects",Q63,IF(Results_10yr!$B$35="Projects 2+",Q65,Q71))</f>
        <v>0</v>
      </c>
      <c r="R73">
        <f>IF(Results_10yr!$B$35="All projects",R63,IF(Results_10yr!$B$35="Projects 2+",R65,R71))</f>
        <v>0</v>
      </c>
      <c r="S73">
        <f>IF(Results_10yr!$B$35="All projects",S63,IF(Results_10yr!$B$35="Projects 2+",S65,S71))</f>
        <v>0</v>
      </c>
      <c r="T73">
        <f>IF(Results_10yr!$B$35="All projects",T63,IF(Results_10yr!$B$35="Projects 2+",T65,T71))</f>
        <v>0</v>
      </c>
      <c r="U73">
        <f>IF(Results_10yr!$B$35="All projects",U63,IF(Results_10yr!$B$35="Projects 2+",U65,U71))</f>
        <v>0</v>
      </c>
      <c r="V73">
        <f>IF(Results_10yr!$B$35="All projects",V63,IF(Results_10yr!$B$35="Projects 2+",V65,V71))</f>
        <v>0</v>
      </c>
      <c r="W73">
        <f>IF(Results_10yr!$B$35="All projects",W63,IF(Results_10yr!$B$35="Projects 2+",W65,W71))</f>
        <v>0</v>
      </c>
      <c r="X73">
        <f>IF(Results_10yr!$B$35="All projects",X63,IF(Results_10yr!$B$35="Projects 2+",X65,X71))</f>
        <v>0</v>
      </c>
      <c r="Y73">
        <f>IF(Results_10yr!$B$35="All projects",Y63,IF(Results_10yr!$B$35="Projects 2+",Y65,Y71))</f>
        <v>0</v>
      </c>
      <c r="Z73">
        <f>IF(Results_10yr!$B$35="All projects",Z63,IF(Results_10yr!$B$35="Projects 2+",Z65,Z71))</f>
        <v>0</v>
      </c>
      <c r="AA73">
        <f>IF(Results_10yr!$B$35="All projects",AA63,IF(Results_10yr!$B$35="Projects 2+",AA65,AA71))</f>
        <v>0</v>
      </c>
      <c r="AB73">
        <f>IF(Results_10yr!$B$35="All projects",AB63,IF(Results_10yr!$B$35="Projects 2+",AB65,AB71))</f>
        <v>0</v>
      </c>
      <c r="AC73">
        <f>IF(Results_10yr!$B$35="All projects",AC63,IF(Results_10yr!$B$35="Projects 2+",AC65,AC71))</f>
        <v>0</v>
      </c>
      <c r="AD73">
        <f>IF(Results_10yr!$B$35="All projects",AD63,IF(Results_10yr!$B$35="Projects 2+",AD65,AD71))</f>
        <v>0</v>
      </c>
      <c r="AE73">
        <f>IF(Results_10yr!$B$35="All projects",AE63,IF(Results_10yr!$B$35="Projects 2+",AE65,AE71))</f>
        <v>0</v>
      </c>
      <c r="AF73">
        <f>IF(Results_10yr!$B$35="All projects",AF63,IF(Results_10yr!$B$35="Projects 2+",AF65,AF71))</f>
        <v>0</v>
      </c>
      <c r="AG73">
        <f>IF(Results_10yr!$B$35="All projects",AG63,IF(Results_10yr!$B$35="Projects 2+",AG65,AG71))</f>
        <v>0</v>
      </c>
      <c r="AH73">
        <f>IF(Results_10yr!$B$35="All projects",AH63,IF(Results_10yr!$B$35="Projects 2+",AH65,AH71))</f>
        <v>0</v>
      </c>
      <c r="AI73">
        <f>IF(Results_10yr!$B$35="All projects",AI63,IF(Results_10yr!$B$35="Projects 2+",AI65,AI71))</f>
        <v>0</v>
      </c>
      <c r="AJ73">
        <f>IF(Results_10yr!$B$35="All projects",AJ63,IF(Results_10yr!$B$35="Projects 2+",AJ65,AJ71))</f>
        <v>0</v>
      </c>
      <c r="AK73">
        <f>IF(Results_10yr!$B$35="All projects",AK63,IF(Results_10yr!$B$35="Projects 2+",AK65,AK71))</f>
        <v>0</v>
      </c>
      <c r="AL73">
        <f>IF(Results_10yr!$B$35="All projects",AL63,IF(Results_10yr!$B$35="Projects 2+",AL65,AL71))</f>
        <v>0</v>
      </c>
      <c r="AM73">
        <f>IF(Results_10yr!$B$35="All projects",AM63,IF(Results_10yr!$B$35="Projects 2+",AM65,AM71))</f>
        <v>0</v>
      </c>
      <c r="AN73">
        <f>IF(Results_10yr!$B$35="All projects",AN63,IF(Results_10yr!$B$35="Projects 2+",AN65,AN71))</f>
        <v>0</v>
      </c>
      <c r="AO73">
        <f>IF(Results_10yr!$B$35="All projects",AO63,IF(Results_10yr!$B$35="Projects 2+",AO65,AO71))</f>
        <v>0</v>
      </c>
      <c r="AP73">
        <f>IF(Results_10yr!$B$35="All projects",AP63,IF(Results_10yr!$B$35="Projects 2+",AP65,AP71))</f>
        <v>0</v>
      </c>
      <c r="AQ73">
        <f>IF(Results_10yr!$B$35="All projects",AQ63,IF(Results_10yr!$B$35="Projects 2+",AQ65,AQ71))</f>
        <v>0</v>
      </c>
      <c r="AR73">
        <f>IF(Results_10yr!$B$35="All projects",AR63,IF(Results_10yr!$B$35="Projects 2+",AR65,AR71))</f>
        <v>0</v>
      </c>
      <c r="AS73">
        <f>IF(Results_10yr!$B$35="All projects",AS63,IF(Results_10yr!$B$35="Projects 2+",AS65,AS71))</f>
        <v>0</v>
      </c>
      <c r="AT73">
        <f>IF(Results_10yr!$B$35="All projects",AT63,IF(Results_10yr!$B$35="Projects 2+",AT65,AT71))</f>
        <v>0</v>
      </c>
      <c r="AU73">
        <f>IF(Results_10yr!$B$35="All projects",AU63,IF(Results_10yr!$B$35="Projects 2+",AU65,AU71))</f>
        <v>0</v>
      </c>
      <c r="AV73">
        <f>IF(Results_10yr!$B$35="All projects",AV63,IF(Results_10yr!$B$35="Projects 2+",AV65,AV71))</f>
        <v>0</v>
      </c>
      <c r="AW73">
        <f>IF(Results_10yr!$B$35="All projects",AW63,IF(Results_10yr!$B$35="Projects 2+",AW65,AW71))</f>
        <v>0</v>
      </c>
      <c r="AX73">
        <f>IF(Results_10yr!$B$35="All projects",AX63,IF(Results_10yr!$B$35="Projects 2+",AX65,AX71))</f>
        <v>0</v>
      </c>
      <c r="AY73">
        <f>IF(Results_10yr!$B$35="All projects",AY63,IF(Results_10yr!$B$35="Projects 2+",AY65,AY71))</f>
        <v>0</v>
      </c>
      <c r="AZ73">
        <f>IF(Results_10yr!$B$35="All projects",AZ63,IF(Results_10yr!$B$35="Projects 2+",AZ65,AZ71))</f>
        <v>0</v>
      </c>
      <c r="BA73">
        <f>IF(Results_10yr!$B$35="All projects",BA63,IF(Results_10yr!$B$35="Projects 2+",BA65,BA71))</f>
        <v>0</v>
      </c>
      <c r="BB73">
        <f>IF(Results_10yr!$B$35="All projects",BB63,IF(Results_10yr!$B$35="Projects 2+",BB65,BB71))</f>
        <v>74375000.000000015</v>
      </c>
      <c r="BC73">
        <f>IF(Results_10yr!$B$35="All projects",BC63,IF(Results_10yr!$B$35="Projects 2+",BC65,BC71))</f>
        <v>10625000</v>
      </c>
      <c r="BD73">
        <f>IF(Results_10yr!$B$35="All projects",BD63,IF(Results_10yr!$B$35="Projects 2+",BD65,BD71))</f>
        <v>10625000</v>
      </c>
      <c r="BE73">
        <f>IF(Results_10yr!$B$35="All projects",BE63,IF(Results_10yr!$B$35="Projects 2+",BE65,BE71))</f>
        <v>10625000</v>
      </c>
      <c r="BF73">
        <f>IF(Results_10yr!$B$35="All projects",BF63,IF(Results_10yr!$B$35="Projects 2+",BF65,BF71))</f>
        <v>10625000</v>
      </c>
      <c r="BG73">
        <f>IF(Results_10yr!$B$35="All projects",BG63,IF(Results_10yr!$B$35="Projects 2+",BG65,BG71))</f>
        <v>10625000</v>
      </c>
      <c r="BH73">
        <f>IF(Results_10yr!$B$35="All projects",BH63,IF(Results_10yr!$B$35="Projects 2+",BH65,BH71))</f>
        <v>85000000.000000015</v>
      </c>
      <c r="BI73">
        <f>IF(Results_10yr!$B$35="All projects",BI63,IF(Results_10yr!$B$35="Projects 2+",BI65,BI71))</f>
        <v>21250000</v>
      </c>
      <c r="BJ73">
        <f>IF(Results_10yr!$B$35="All projects",BJ63,IF(Results_10yr!$B$35="Projects 2+",BJ65,BJ71))</f>
        <v>21250000</v>
      </c>
      <c r="BK73">
        <f>IF(Results_10yr!$B$35="All projects",BK63,IF(Results_10yr!$B$35="Projects 2+",BK65,BK71))</f>
        <v>21250000</v>
      </c>
      <c r="BL73">
        <f>IF(Results_10yr!$B$35="All projects",BL63,IF(Results_10yr!$B$35="Projects 2+",BL65,BL71))</f>
        <v>21250000</v>
      </c>
      <c r="BM73">
        <f>IF(Results_10yr!$B$35="All projects",BM63,IF(Results_10yr!$B$35="Projects 2+",BM65,BM71))</f>
        <v>21250000</v>
      </c>
      <c r="BN73">
        <f>IF(Results_10yr!$B$35="All projects",BN63,IF(Results_10yr!$B$35="Projects 2+",BN65,BN71))</f>
        <v>85000000.000000015</v>
      </c>
      <c r="BO73">
        <f>IF(Results_10yr!$B$35="All projects",BO63,IF(Results_10yr!$B$35="Projects 2+",BO65,BO71))</f>
        <v>21250000</v>
      </c>
      <c r="BP73">
        <f>IF(Results_10yr!$B$35="All projects",BP63,IF(Results_10yr!$B$35="Projects 2+",BP65,BP71))</f>
        <v>21250000</v>
      </c>
      <c r="BQ73">
        <f>IF(Results_10yr!$B$35="All projects",BQ63,IF(Results_10yr!$B$35="Projects 2+",BQ65,BQ71))</f>
        <v>21250000</v>
      </c>
      <c r="BR73">
        <f>IF(Results_10yr!$B$35="All projects",BR63,IF(Results_10yr!$B$35="Projects 2+",BR65,BR71))</f>
        <v>21250000</v>
      </c>
      <c r="BS73">
        <f>IF(Results_10yr!$B$35="All projects",BS63,IF(Results_10yr!$B$35="Projects 2+",BS65,BS71))</f>
        <v>21250000</v>
      </c>
      <c r="BT73">
        <f>IF(Results_10yr!$B$35="All projects",BT63,IF(Results_10yr!$B$35="Projects 2+",BT65,BT71))</f>
        <v>85000000.000000015</v>
      </c>
      <c r="BU73">
        <f>IF(Results_10yr!$B$35="All projects",BU63,IF(Results_10yr!$B$35="Projects 2+",BU65,BU71))</f>
        <v>21250000</v>
      </c>
      <c r="BV73">
        <f>IF(Results_10yr!$B$35="All projects",BV63,IF(Results_10yr!$B$35="Projects 2+",BV65,BV71))</f>
        <v>21250000</v>
      </c>
      <c r="BW73">
        <f>IF(Results_10yr!$B$35="All projects",BW63,IF(Results_10yr!$B$35="Projects 2+",BW65,BW71))</f>
        <v>21250000</v>
      </c>
      <c r="BX73">
        <f>IF(Results_10yr!$B$35="All projects",BX63,IF(Results_10yr!$B$35="Projects 2+",BX65,BX71))</f>
        <v>21250000</v>
      </c>
      <c r="BY73">
        <f>IF(Results_10yr!$B$35="All projects",BY63,IF(Results_10yr!$B$35="Projects 2+",BY65,BY71))</f>
        <v>21250000</v>
      </c>
      <c r="BZ73">
        <f>IF(Results_10yr!$B$35="All projects",BZ63,IF(Results_10yr!$B$35="Projects 2+",BZ65,BZ71))</f>
        <v>85000000.000000015</v>
      </c>
      <c r="CA73">
        <f>IF(Results_10yr!$B$35="All projects",CA63,IF(Results_10yr!$B$35="Projects 2+",CA65,CA71))</f>
        <v>21250000</v>
      </c>
      <c r="CB73">
        <f>IF(Results_10yr!$B$35="All projects",CB63,IF(Results_10yr!$B$35="Projects 2+",CB65,CB71))</f>
        <v>21250000</v>
      </c>
      <c r="CC73">
        <f>IF(Results_10yr!$B$35="All projects",CC63,IF(Results_10yr!$B$35="Projects 2+",CC65,CC71))</f>
        <v>21250000</v>
      </c>
      <c r="CD73">
        <f>IF(Results_10yr!$B$35="All projects",CD63,IF(Results_10yr!$B$35="Projects 2+",CD65,CD71))</f>
        <v>21250000</v>
      </c>
      <c r="CE73">
        <f>IF(Results_10yr!$B$35="All projects",CE63,IF(Results_10yr!$B$35="Projects 2+",CE65,CE71))</f>
        <v>21250000</v>
      </c>
      <c r="CF73">
        <f>IF(Results_10yr!$B$35="All projects",CF63,IF(Results_10yr!$B$35="Projects 2+",CF65,CF71))</f>
        <v>10625000</v>
      </c>
      <c r="CG73">
        <f>IF(Results_10yr!$B$35="All projects",CG63,IF(Results_10yr!$B$35="Projects 2+",CG65,CG71))</f>
        <v>10625000</v>
      </c>
      <c r="CH73">
        <f>IF(Results_10yr!$B$35="All projects",CH63,IF(Results_10yr!$B$35="Projects 2+",CH65,CH71))</f>
        <v>10625000</v>
      </c>
      <c r="CI73">
        <f>IF(Results_10yr!$B$35="All projects",CI63,IF(Results_10yr!$B$35="Projects 2+",CI65,CI71))</f>
        <v>10625000</v>
      </c>
      <c r="CJ73">
        <f>IF(Results_10yr!$B$35="All projects",CJ63,IF(Results_10yr!$B$35="Projects 2+",CJ65,CJ71))</f>
        <v>10625000</v>
      </c>
      <c r="CK73">
        <f>IF(Results_10yr!$B$35="All projects",CK63,IF(Results_10yr!$B$35="Projects 2+",CK65,CK71))</f>
        <v>10625000</v>
      </c>
      <c r="CL73">
        <f>IF(Results_10yr!$B$35="All projects",CL63,IF(Results_10yr!$B$35="Projects 2+",CL65,CL71))</f>
        <v>0</v>
      </c>
      <c r="CM73">
        <f>IF(Results_10yr!$B$35="All projects",CM63,IF(Results_10yr!$B$35="Projects 2+",CM65,CM71))</f>
        <v>0</v>
      </c>
      <c r="CN73">
        <f>IF(Results_10yr!$B$35="All projects",CN63,IF(Results_10yr!$B$35="Projects 2+",CN65,CN71))</f>
        <v>0</v>
      </c>
      <c r="CO73">
        <f>IF(Results_10yr!$B$35="All projects",CO63,IF(Results_10yr!$B$35="Projects 2+",CO65,CO71))</f>
        <v>0</v>
      </c>
      <c r="CP73">
        <f>IF(Results_10yr!$B$35="All projects",CP63,IF(Results_10yr!$B$35="Projects 2+",CP65,CP71))</f>
        <v>0</v>
      </c>
      <c r="CQ73">
        <f>IF(Results_10yr!$B$35="All projects",CQ63,IF(Results_10yr!$B$35="Projects 2+",CQ65,CQ71))</f>
        <v>0</v>
      </c>
      <c r="CR73">
        <f>IF(Results_10yr!$B$35="All projects",CR63,IF(Results_10yr!$B$35="Projects 2+",CR65,CR71))</f>
        <v>0</v>
      </c>
      <c r="CS73">
        <f>IF(Results_10yr!$B$35="All projects",CS63,IF(Results_10yr!$B$35="Projects 2+",CS65,CS71))</f>
        <v>0</v>
      </c>
      <c r="CT73">
        <f>IF(Results_10yr!$B$35="All projects",CT63,IF(Results_10yr!$B$35="Projects 2+",CT65,CT71))</f>
        <v>0</v>
      </c>
      <c r="CU73">
        <f>IF(Results_10yr!$B$35="All projects",CU63,IF(Results_10yr!$B$35="Projects 2+",CU65,CU71))</f>
        <v>0</v>
      </c>
      <c r="CV73">
        <f>IF(Results_10yr!$B$35="All projects",CV63,IF(Results_10yr!$B$35="Projects 2+",CV65,CV71))</f>
        <v>0</v>
      </c>
      <c r="CW73">
        <f>IF(Results_10yr!$B$35="All projects",CW63,IF(Results_10yr!$B$35="Projects 2+",CW65,CW71))</f>
        <v>0</v>
      </c>
      <c r="CX73">
        <f>IF(Results_10yr!$B$35="All projects",CX63,IF(Results_10yr!$B$35="Projects 2+",CX65,CX71))</f>
        <v>0</v>
      </c>
      <c r="CY73">
        <f>IF(Results_10yr!$B$35="All projects",CY63,IF(Results_10yr!$B$35="Projects 2+",CY65,CY71))</f>
        <v>0</v>
      </c>
      <c r="CZ73">
        <f>IF(Results_10yr!$B$35="All projects",CZ63,IF(Results_10yr!$B$35="Projects 2+",CZ65,CZ71))</f>
        <v>0</v>
      </c>
      <c r="DA73">
        <f>IF(Results_10yr!$B$35="All projects",DA63,IF(Results_10yr!$B$35="Projects 2+",DA65,DA71))</f>
        <v>0</v>
      </c>
      <c r="DB73">
        <f>IF(Results_10yr!$B$35="All projects",DB63,IF(Results_10yr!$B$35="Projects 2+",DB65,DB71))</f>
        <v>0</v>
      </c>
      <c r="DC73">
        <f>IF(Results_10yr!$B$35="All projects",DC63,IF(Results_10yr!$B$35="Projects 2+",DC65,DC71))</f>
        <v>0</v>
      </c>
      <c r="DD73">
        <f>IF(Results_10yr!$B$35="All projects",DD63,IF(Results_10yr!$B$35="Projects 2+",DD65,DD71))</f>
        <v>0</v>
      </c>
      <c r="DE73">
        <f>IF(Results_10yr!$B$35="All projects",DE63,IF(Results_10yr!$B$35="Projects 2+",DE65,DE71))</f>
        <v>0</v>
      </c>
      <c r="DF73">
        <f>IF(Results_10yr!$B$35="All projects",DF63,IF(Results_10yr!$B$35="Projects 2+",DF65,DF71))</f>
        <v>0</v>
      </c>
      <c r="DG73">
        <f>IF(Results_10yr!$B$35="All projects",DG63,IF(Results_10yr!$B$35="Projects 2+",DG65,DG71))</f>
        <v>0</v>
      </c>
      <c r="DH73">
        <f>IF(Results_10yr!$B$35="All projects",DH63,IF(Results_10yr!$B$35="Projects 2+",DH65,DH71))</f>
        <v>0</v>
      </c>
      <c r="DI73">
        <f>IF(Results_10yr!$B$35="All projects",DI63,IF(Results_10yr!$B$35="Projects 2+",DI65,DI71))</f>
        <v>0</v>
      </c>
      <c r="DJ73">
        <f>IF(Results_10yr!$B$35="All projects",DJ63,IF(Results_10yr!$B$35="Projects 2+",DJ65,DJ71))</f>
        <v>0</v>
      </c>
      <c r="DK73">
        <f>IF(Results_10yr!$B$35="All projects",DK63,IF(Results_10yr!$B$35="Projects 2+",DK65,DK71))</f>
        <v>0</v>
      </c>
      <c r="DL73">
        <f>IF(Results_10yr!$B$35="All projects",DL63,IF(Results_10yr!$B$35="Projects 2+",DL65,DL71))</f>
        <v>0</v>
      </c>
      <c r="DM73">
        <f>IF(Results_10yr!$B$35="All projects",DM63,IF(Results_10yr!$B$35="Projects 2+",DM65,DM71))</f>
        <v>0</v>
      </c>
      <c r="DN73">
        <f>IF(Results_10yr!$B$35="All projects",DN63,IF(Results_10yr!$B$35="Projects 2+",DN65,DN71))</f>
        <v>0</v>
      </c>
      <c r="DO73">
        <f>IF(Results_10yr!$B$35="All projects",DO63,IF(Results_10yr!$B$35="Projects 2+",DO65,DO71))</f>
        <v>0</v>
      </c>
      <c r="DP73">
        <f>IF(Results_10yr!$B$35="All projects",DP63,IF(Results_10yr!$B$35="Projects 2+",DP65,DP71))</f>
        <v>0</v>
      </c>
      <c r="DQ73">
        <f>IF(Results_10yr!$B$35="All projects",DQ63,IF(Results_10yr!$B$35="Projects 2+",DQ65,DQ71))</f>
        <v>0</v>
      </c>
      <c r="DR73">
        <f>IF(Results_10yr!$B$35="All projects",DR63,IF(Results_10yr!$B$35="Projects 2+",DR65,DR71))</f>
        <v>0</v>
      </c>
    </row>
    <row r="74" spans="1:122">
      <c r="A74" t="s">
        <v>358</v>
      </c>
      <c r="C74">
        <f>IF(Results_10yr!$B$12="All projects",C60,C61)</f>
        <v>0</v>
      </c>
      <c r="D74">
        <f>IF(Results_10yr!$B$12="All projects",D60,D61)</f>
        <v>0</v>
      </c>
      <c r="E74">
        <f>IF(Results_10yr!$B$12="All projects",E60,E61)</f>
        <v>0</v>
      </c>
      <c r="F74">
        <f>IF(Results_10yr!$B$12="All projects",F60,F61)</f>
        <v>0</v>
      </c>
      <c r="G74">
        <f>IF(Results_10yr!$B$12="All projects",G60,G61)</f>
        <v>0</v>
      </c>
      <c r="H74">
        <f>IF(Results_10yr!$B$12="All projects",H60,H61)</f>
        <v>0</v>
      </c>
      <c r="I74">
        <f>IF(Results_10yr!$B$12="All projects",I60,I61)</f>
        <v>0</v>
      </c>
      <c r="J74">
        <f>IF(Results_10yr!$B$12="All projects",J60,J61)</f>
        <v>0</v>
      </c>
      <c r="K74">
        <f>IF(Results_10yr!$B$12="All projects",K60,K61)</f>
        <v>0</v>
      </c>
      <c r="L74">
        <f>IF(Results_10yr!$B$12="All projects",L60,L61)</f>
        <v>0</v>
      </c>
      <c r="M74">
        <f>IF(Results_10yr!$B$12="All projects",M60,M61)</f>
        <v>0</v>
      </c>
      <c r="N74">
        <f>IF(Results_10yr!$B$12="All projects",N60,N61)</f>
        <v>0</v>
      </c>
      <c r="O74">
        <f>IF(Results_10yr!$B$12="All projects",O60,O61)</f>
        <v>0</v>
      </c>
      <c r="P74">
        <f>IF(Results_10yr!$B$12="All projects",P60,P61)</f>
        <v>0</v>
      </c>
      <c r="Q74">
        <f>IF(Results_10yr!$B$12="All projects",Q60,Q61)</f>
        <v>0</v>
      </c>
      <c r="R74">
        <f>IF(Results_10yr!$B$12="All projects",R60,R61)</f>
        <v>0</v>
      </c>
      <c r="S74">
        <f>IF(Results_10yr!$B$12="All projects",S60,S61)</f>
        <v>0</v>
      </c>
      <c r="T74">
        <f>IF(Results_10yr!$B$12="All projects",T60,T61)</f>
        <v>0</v>
      </c>
      <c r="U74">
        <f>IF(Results_10yr!$B$12="All projects",U60,U61)</f>
        <v>0</v>
      </c>
      <c r="V74">
        <f>IF(Results_10yr!$B$12="All projects",V60,V61)</f>
        <v>0</v>
      </c>
      <c r="W74">
        <f>IF(Results_10yr!$B$12="All projects",W60,W61)</f>
        <v>0</v>
      </c>
      <c r="X74">
        <f>IF(Results_10yr!$B$12="All projects",X60,X61)</f>
        <v>0</v>
      </c>
      <c r="Y74">
        <f>IF(Results_10yr!$B$12="All projects",Y60,Y61)</f>
        <v>0</v>
      </c>
      <c r="Z74">
        <f>IF(Results_10yr!$B$12="All projects",Z60,Z61)</f>
        <v>0</v>
      </c>
      <c r="AA74">
        <f>IF(Results_10yr!$B$12="All projects",AA60,AA61)</f>
        <v>0</v>
      </c>
      <c r="AB74">
        <f>IF(Results_10yr!$B$12="All projects",AB60,AB61)</f>
        <v>0</v>
      </c>
      <c r="AC74">
        <f>IF(Results_10yr!$B$12="All projects",AC60,AC61)</f>
        <v>0</v>
      </c>
      <c r="AD74">
        <f>IF(Results_10yr!$B$12="All projects",AD60,AD61)</f>
        <v>0</v>
      </c>
      <c r="AE74">
        <f>IF(Results_10yr!$B$12="All projects",AE60,AE61)</f>
        <v>0</v>
      </c>
      <c r="AF74">
        <f>IF(Results_10yr!$B$12="All projects",AF60,AF61)</f>
        <v>0</v>
      </c>
      <c r="AG74">
        <f>IF(Results_10yr!$B$12="All projects",AG60,AG61)</f>
        <v>0</v>
      </c>
      <c r="AH74">
        <f>IF(Results_10yr!$B$12="All projects",AH60,AH61)</f>
        <v>0</v>
      </c>
      <c r="AI74">
        <f>IF(Results_10yr!$B$12="All projects",AI60,AI61)</f>
        <v>0</v>
      </c>
      <c r="AJ74">
        <f>IF(Results_10yr!$B$12="All projects",AJ60,AJ61)</f>
        <v>0</v>
      </c>
      <c r="AK74">
        <f>IF(Results_10yr!$B$12="All projects",AK60,AK61)</f>
        <v>0</v>
      </c>
      <c r="AL74">
        <f>IF(Results_10yr!$B$12="All projects",AL60,AL61)</f>
        <v>0</v>
      </c>
      <c r="AM74">
        <f>IF(Results_10yr!$B$12="All projects",AM60,AM61)</f>
        <v>0</v>
      </c>
      <c r="AN74">
        <f>IF(Results_10yr!$B$12="All projects",AN60,AN61)</f>
        <v>0</v>
      </c>
      <c r="AO74">
        <f>IF(Results_10yr!$B$12="All projects",AO60,AO61)</f>
        <v>0</v>
      </c>
      <c r="AP74">
        <f>IF(Results_10yr!$B$12="All projects",AP60,AP61)</f>
        <v>0</v>
      </c>
      <c r="AQ74">
        <f>IF(Results_10yr!$B$12="All projects",AQ60,AQ61)</f>
        <v>0</v>
      </c>
      <c r="AR74">
        <f>IF(Results_10yr!$B$12="All projects",AR60,AR61)</f>
        <v>0</v>
      </c>
      <c r="AS74">
        <f>IF(Results_10yr!$B$12="All projects",AS60,AS61)</f>
        <v>0</v>
      </c>
      <c r="AT74">
        <f>IF(Results_10yr!$B$12="All projects",AT60,AT61)</f>
        <v>0</v>
      </c>
      <c r="AU74">
        <f>IF(Results_10yr!$B$12="All projects",AU60,AU61)</f>
        <v>0</v>
      </c>
      <c r="AV74">
        <f>IF(Results_10yr!$B$12="All projects",AV60,AV61)</f>
        <v>1875000.0000000002</v>
      </c>
      <c r="AW74">
        <f>IF(Results_10yr!$B$12="All projects",AW60,AW61)</f>
        <v>1875000.0000000002</v>
      </c>
      <c r="AX74">
        <f>IF(Results_10yr!$B$12="All projects",AX60,AX61)</f>
        <v>1875000.0000000002</v>
      </c>
      <c r="AY74">
        <f>IF(Results_10yr!$B$12="All projects",AY60,AY61)</f>
        <v>1875000.0000000002</v>
      </c>
      <c r="AZ74">
        <f>IF(Results_10yr!$B$12="All projects",AZ60,AZ61)</f>
        <v>1875000.0000000002</v>
      </c>
      <c r="BA74">
        <f>IF(Results_10yr!$B$12="All projects",BA60,BA61)</f>
        <v>1875000.0000000002</v>
      </c>
      <c r="BB74">
        <f>IF(Results_10yr!$B$12="All projects",BB60,BB61)</f>
        <v>78125000.000000015</v>
      </c>
      <c r="BC74">
        <f>IF(Results_10yr!$B$12="All projects",BC60,BC61)</f>
        <v>14375000</v>
      </c>
      <c r="BD74">
        <f>IF(Results_10yr!$B$12="All projects",BD60,BD61)</f>
        <v>14375000</v>
      </c>
      <c r="BE74">
        <f>IF(Results_10yr!$B$12="All projects",BE60,BE61)</f>
        <v>14375000</v>
      </c>
      <c r="BF74">
        <f>IF(Results_10yr!$B$12="All projects",BF60,BF61)</f>
        <v>14375000</v>
      </c>
      <c r="BG74">
        <f>IF(Results_10yr!$B$12="All projects",BG60,BG61)</f>
        <v>14375000</v>
      </c>
      <c r="BH74">
        <f>IF(Results_10yr!$B$12="All projects",BH60,BH61)</f>
        <v>90625000.000000015</v>
      </c>
      <c r="BI74">
        <f>IF(Results_10yr!$B$12="All projects",BI60,BI61)</f>
        <v>26875000</v>
      </c>
      <c r="BJ74">
        <f>IF(Results_10yr!$B$12="All projects",BJ60,BJ61)</f>
        <v>26875000</v>
      </c>
      <c r="BK74">
        <f>IF(Results_10yr!$B$12="All projects",BK60,BK61)</f>
        <v>26875000</v>
      </c>
      <c r="BL74">
        <f>IF(Results_10yr!$B$12="All projects",BL60,BL61)</f>
        <v>26875000</v>
      </c>
      <c r="BM74">
        <f>IF(Results_10yr!$B$12="All projects",BM60,BM61)</f>
        <v>26875000</v>
      </c>
      <c r="BN74">
        <f>IF(Results_10yr!$B$12="All projects",BN60,BN61)</f>
        <v>90625000.000000015</v>
      </c>
      <c r="BO74">
        <f>IF(Results_10yr!$B$12="All projects",BO60,BO61)</f>
        <v>26875000</v>
      </c>
      <c r="BP74">
        <f>IF(Results_10yr!$B$12="All projects",BP60,BP61)</f>
        <v>26875000</v>
      </c>
      <c r="BQ74">
        <f>IF(Results_10yr!$B$12="All projects",BQ60,BQ61)</f>
        <v>26875000</v>
      </c>
      <c r="BR74">
        <f>IF(Results_10yr!$B$12="All projects",BR60,BR61)</f>
        <v>26875000</v>
      </c>
      <c r="BS74">
        <f>IF(Results_10yr!$B$12="All projects",BS60,BS61)</f>
        <v>26875000</v>
      </c>
      <c r="BT74">
        <f>IF(Results_10yr!$B$12="All projects",BT60,BT61)</f>
        <v>90625000.000000015</v>
      </c>
      <c r="BU74">
        <f>IF(Results_10yr!$B$12="All projects",BU60,BU61)</f>
        <v>26875000</v>
      </c>
      <c r="BV74">
        <f>IF(Results_10yr!$B$12="All projects",BV60,BV61)</f>
        <v>26875000</v>
      </c>
      <c r="BW74">
        <f>IF(Results_10yr!$B$12="All projects",BW60,BW61)</f>
        <v>26875000</v>
      </c>
      <c r="BX74">
        <f>IF(Results_10yr!$B$12="All projects",BX60,BX61)</f>
        <v>26875000</v>
      </c>
      <c r="BY74">
        <f>IF(Results_10yr!$B$12="All projects",BY60,BY61)</f>
        <v>26875000</v>
      </c>
      <c r="BZ74">
        <f>IF(Results_10yr!$B$12="All projects",BZ60,BZ61)</f>
        <v>88750000.000000015</v>
      </c>
      <c r="CA74">
        <f>IF(Results_10yr!$B$12="All projects",CA60,CA61)</f>
        <v>25000000</v>
      </c>
      <c r="CB74">
        <f>IF(Results_10yr!$B$12="All projects",CB60,CB61)</f>
        <v>25000000</v>
      </c>
      <c r="CC74">
        <f>IF(Results_10yr!$B$12="All projects",CC60,CC61)</f>
        <v>25000000</v>
      </c>
      <c r="CD74">
        <f>IF(Results_10yr!$B$12="All projects",CD60,CD61)</f>
        <v>25000000</v>
      </c>
      <c r="CE74">
        <f>IF(Results_10yr!$B$12="All projects",CE60,CE61)</f>
        <v>25000000</v>
      </c>
      <c r="CF74">
        <f>IF(Results_10yr!$B$12="All projects",CF60,CF61)</f>
        <v>12500000</v>
      </c>
      <c r="CG74">
        <f>IF(Results_10yr!$B$12="All projects",CG60,CG61)</f>
        <v>12500000</v>
      </c>
      <c r="CH74">
        <f>IF(Results_10yr!$B$12="All projects",CH60,CH61)</f>
        <v>12500000</v>
      </c>
      <c r="CI74">
        <f>IF(Results_10yr!$B$12="All projects",CI60,CI61)</f>
        <v>12500000</v>
      </c>
      <c r="CJ74">
        <f>IF(Results_10yr!$B$12="All projects",CJ60,CJ61)</f>
        <v>12500000</v>
      </c>
      <c r="CK74">
        <f>IF(Results_10yr!$B$12="All projects",CK60,CK61)</f>
        <v>12500000</v>
      </c>
      <c r="CL74">
        <f>IF(Results_10yr!$B$12="All projects",CL60,CL61)</f>
        <v>0</v>
      </c>
      <c r="CM74">
        <f>IF(Results_10yr!$B$12="All projects",CM60,CM61)</f>
        <v>0</v>
      </c>
      <c r="CN74">
        <f>IF(Results_10yr!$B$12="All projects",CN60,CN61)</f>
        <v>0</v>
      </c>
      <c r="CO74">
        <f>IF(Results_10yr!$B$12="All projects",CO60,CO61)</f>
        <v>0</v>
      </c>
      <c r="CP74">
        <f>IF(Results_10yr!$B$12="All projects",CP60,CP61)</f>
        <v>0</v>
      </c>
      <c r="CQ74">
        <f>IF(Results_10yr!$B$12="All projects",CQ60,CQ61)</f>
        <v>0</v>
      </c>
      <c r="CR74">
        <f>IF(Results_10yr!$B$12="All projects",CR60,CR61)</f>
        <v>0</v>
      </c>
      <c r="CS74">
        <f>IF(Results_10yr!$B$12="All projects",CS60,CS61)</f>
        <v>0</v>
      </c>
      <c r="CT74">
        <f>IF(Results_10yr!$B$12="All projects",CT60,CT61)</f>
        <v>0</v>
      </c>
      <c r="CU74">
        <f>IF(Results_10yr!$B$12="All projects",CU60,CU61)</f>
        <v>0</v>
      </c>
      <c r="CV74">
        <f>IF(Results_10yr!$B$12="All projects",CV60,CV61)</f>
        <v>0</v>
      </c>
      <c r="CW74">
        <f>IF(Results_10yr!$B$12="All projects",CW60,CW61)</f>
        <v>0</v>
      </c>
      <c r="CX74">
        <f>IF(Results_10yr!$B$12="All projects",CX60,CX61)</f>
        <v>0</v>
      </c>
      <c r="CY74">
        <f>IF(Results_10yr!$B$12="All projects",CY60,CY61)</f>
        <v>0</v>
      </c>
      <c r="CZ74">
        <f>IF(Results_10yr!$B$12="All projects",CZ60,CZ61)</f>
        <v>0</v>
      </c>
      <c r="DA74">
        <f>IF(Results_10yr!$B$12="All projects",DA60,DA61)</f>
        <v>0</v>
      </c>
      <c r="DB74">
        <f>IF(Results_10yr!$B$12="All projects",DB60,DB61)</f>
        <v>0</v>
      </c>
      <c r="DC74">
        <f>IF(Results_10yr!$B$12="All projects",DC60,DC61)</f>
        <v>0</v>
      </c>
      <c r="DD74">
        <f>IF(Results_10yr!$B$12="All projects",DD60,DD61)</f>
        <v>0</v>
      </c>
      <c r="DE74">
        <f>IF(Results_10yr!$B$12="All projects",DE60,DE61)</f>
        <v>0</v>
      </c>
      <c r="DF74">
        <f>IF(Results_10yr!$B$12="All projects",DF60,DF61)</f>
        <v>0</v>
      </c>
      <c r="DG74">
        <f>IF(Results_10yr!$B$12="All projects",DG60,DG61)</f>
        <v>0</v>
      </c>
      <c r="DH74">
        <f>IF(Results_10yr!$B$12="All projects",DH60,DH61)</f>
        <v>0</v>
      </c>
      <c r="DI74">
        <f>IF(Results_10yr!$B$12="All projects",DI60,DI61)</f>
        <v>0</v>
      </c>
      <c r="DJ74">
        <f>IF(Results_10yr!$B$12="All projects",DJ60,DJ61)</f>
        <v>0</v>
      </c>
      <c r="DK74">
        <f>IF(Results_10yr!$B$12="All projects",DK60,DK61)</f>
        <v>0</v>
      </c>
      <c r="DL74">
        <f>IF(Results_10yr!$B$12="All projects",DL60,DL61)</f>
        <v>0</v>
      </c>
      <c r="DM74">
        <f>IF(Results_10yr!$B$12="All projects",DM60,DM61)</f>
        <v>0</v>
      </c>
      <c r="DN74">
        <f>IF(Results_10yr!$B$12="All projects",DN60,DN61)</f>
        <v>0</v>
      </c>
      <c r="DO74">
        <f>IF(Results_10yr!$B$12="All projects",DO60,DO61)</f>
        <v>0</v>
      </c>
      <c r="DP74">
        <f>IF(Results_10yr!$B$12="All projects",DP60,DP61)</f>
        <v>0</v>
      </c>
      <c r="DQ74">
        <f>IF(Results_10yr!$B$12="All projects",DQ60,DQ61)</f>
        <v>0</v>
      </c>
      <c r="DR74">
        <f>IF(Results_10yr!$B$12="All projects",DR60,DR61)</f>
        <v>0</v>
      </c>
    </row>
    <row r="82" spans="1:14">
      <c r="A82" s="242" t="s">
        <v>359</v>
      </c>
      <c r="B82" s="198"/>
      <c r="C82" s="198"/>
      <c r="D82" s="198"/>
      <c r="E82" s="198"/>
      <c r="F82" s="198"/>
      <c r="G82" s="198"/>
      <c r="H82" s="198"/>
      <c r="I82" s="198"/>
      <c r="J82" s="198"/>
      <c r="K82" s="198"/>
      <c r="L82" s="198"/>
      <c r="M82" s="198"/>
      <c r="N82" s="198"/>
    </row>
    <row r="83" spans="1:14">
      <c r="A83" s="142" t="s">
        <v>83</v>
      </c>
      <c r="C83" s="145">
        <v>1</v>
      </c>
      <c r="D83" s="145">
        <v>2</v>
      </c>
      <c r="E83" s="145">
        <v>3</v>
      </c>
      <c r="F83" s="145">
        <v>4</v>
      </c>
      <c r="G83" s="145">
        <v>5</v>
      </c>
      <c r="H83" s="145">
        <v>6</v>
      </c>
      <c r="I83" s="145">
        <v>7</v>
      </c>
      <c r="J83" s="145">
        <v>8</v>
      </c>
      <c r="K83" s="145">
        <v>9</v>
      </c>
      <c r="L83" s="145">
        <v>10</v>
      </c>
    </row>
    <row r="84" spans="1:14">
      <c r="A84" s="142" t="s">
        <v>360</v>
      </c>
      <c r="C84" s="146">
        <f>IFERROR(SUM(INDEX(Closing_Selected_120,1,1):INDEX(Closing_Selected_120,1,12))/(Avg_Sale_Price-Deposit_Per_Unit),0)</f>
        <v>0</v>
      </c>
      <c r="D84" s="146">
        <f>IFERROR(SUM(INDEX(Closing_Selected_120,1,13):INDEX(Closing_Selected_120,1,24))/(Avg_Sale_Price-Deposit_Per_Unit),0)</f>
        <v>0</v>
      </c>
      <c r="E84" s="146">
        <f>IFERROR(SUM(INDEX(Closing_Selected_120,1,25):INDEX(Closing_Selected_120,1,36))/(Avg_Sale_Price-Deposit_Per_Unit),0)</f>
        <v>0</v>
      </c>
      <c r="F84" s="146">
        <f>IFERROR(SUM(INDEX(Closing_Selected_120,1,37):INDEX(Closing_Selected_120,1,48))/(Avg_Sale_Price-Deposit_Per_Unit),0)</f>
        <v>0</v>
      </c>
      <c r="G84" s="146">
        <f>IFERROR(SUM(INDEX(Closing_Selected_120,1,49):INDEX(Closing_Selected_120,1,60))/(Avg_Sale_Price-Deposit_Per_Unit),0)</f>
        <v>200.00000000000003</v>
      </c>
      <c r="H84" s="146">
        <f>IFERROR(SUM(INDEX(Closing_Selected_120,1,61):INDEX(Closing_Selected_120,1,72))/(Avg_Sale_Price-Deposit_Per_Unit),0)</f>
        <v>300</v>
      </c>
      <c r="I84" s="146">
        <f>IFERROR(SUM(INDEX(Closing_Selected_120,1,73):INDEX(Closing_Selected_120,1,84))/(Avg_Sale_Price-Deposit_Per_Unit),0)</f>
        <v>225</v>
      </c>
      <c r="J84" s="146">
        <f>IFERROR(SUM(INDEX(Closing_Selected_120,1,85):INDEX(Closing_Selected_120,1,96))/(Avg_Sale_Price-Deposit_Per_Unit),0)</f>
        <v>25</v>
      </c>
      <c r="K84" s="146">
        <f>IFERROR(SUM(INDEX(Closing_Selected_120,1,97):INDEX(Closing_Selected_120,1,108))/(Avg_Sale_Price-Deposit_Per_Unit),0)</f>
        <v>0</v>
      </c>
      <c r="L84" s="146">
        <f>IFERROR(SUM(INDEX(Closing_Selected_120,1,109):INDEX(Closing_Selected_120,1,120))/(Avg_Sale_Price-Deposit_Per_Unit),0)</f>
        <v>0</v>
      </c>
    </row>
    <row r="85" spans="1:14">
      <c r="A85" s="142" t="s">
        <v>361</v>
      </c>
      <c r="C85" s="147">
        <f>C84*Avg_Sale_Price*Results_10yr!B30*Results_10yr!B31</f>
        <v>0</v>
      </c>
      <c r="D85" s="147">
        <f>D84*Avg_Sale_Price*Results_10yr!B30*Results_10yr!B31</f>
        <v>0</v>
      </c>
      <c r="E85" s="147">
        <f>E84*Avg_Sale_Price*Results_10yr!B30*Results_10yr!B31</f>
        <v>0</v>
      </c>
      <c r="F85" s="147">
        <f>F84*Avg_Sale_Price*Results_10yr!B30*Results_10yr!B31</f>
        <v>0</v>
      </c>
      <c r="G85" s="147">
        <f>G84*Avg_Sale_Price*Results_10yr!B30*Results_10yr!B31</f>
        <v>120000000.00000003</v>
      </c>
      <c r="H85" s="147">
        <f>H84*Avg_Sale_Price*Results_10yr!B30*Results_10yr!B31</f>
        <v>180000000</v>
      </c>
      <c r="I85" s="147">
        <f>I84*Avg_Sale_Price*Results_10yr!B30*Results_10yr!B31</f>
        <v>135000000</v>
      </c>
      <c r="J85" s="147">
        <f>J84*Avg_Sale_Price*Results_10yr!B30*Results_10yr!B31</f>
        <v>15000000</v>
      </c>
      <c r="K85" s="147">
        <f>K84*Avg_Sale_Price*Results_10yr!B30*Results_10yr!B31</f>
        <v>0</v>
      </c>
      <c r="L85" s="147">
        <f>L84*Avg_Sale_Price*Results_10yr!B30*Results_10yr!B31</f>
        <v>0</v>
      </c>
    </row>
    <row r="86" spans="1:14">
      <c r="A86" s="142" t="s">
        <v>362</v>
      </c>
      <c r="C86" s="147">
        <f>C85*Results_10yr!B32</f>
        <v>0</v>
      </c>
      <c r="D86" s="147">
        <f>D85*Results_10yr!B32</f>
        <v>0</v>
      </c>
      <c r="E86" s="147">
        <f>E85*Results_10yr!B32</f>
        <v>0</v>
      </c>
      <c r="F86" s="147">
        <f>F85*Results_10yr!B32</f>
        <v>0</v>
      </c>
      <c r="G86" s="147">
        <f>G85*Results_10yr!B32</f>
        <v>1200000.0000000002</v>
      </c>
      <c r="H86" s="147">
        <f>H85*Results_10yr!B32</f>
        <v>1800000</v>
      </c>
      <c r="I86" s="147">
        <f>I85*Results_10yr!B32</f>
        <v>1350000</v>
      </c>
      <c r="J86" s="147">
        <f>J85*Results_10yr!B32</f>
        <v>150000</v>
      </c>
      <c r="K86" s="147">
        <f>K85*Results_10yr!B32</f>
        <v>0</v>
      </c>
      <c r="L86" s="147">
        <f>L85*Results_10yr!B32</f>
        <v>0</v>
      </c>
    </row>
    <row r="88" spans="1:14">
      <c r="A88" s="243" t="s">
        <v>363</v>
      </c>
      <c r="B88" s="198"/>
      <c r="C88" s="198"/>
      <c r="D88" s="198"/>
      <c r="E88" s="198"/>
      <c r="F88" s="198"/>
      <c r="G88" s="198"/>
      <c r="H88" s="198"/>
      <c r="I88" s="198"/>
      <c r="J88" s="198"/>
      <c r="K88" s="198"/>
      <c r="L88" s="198"/>
      <c r="M88" s="198"/>
      <c r="N88" s="198"/>
    </row>
    <row r="89" spans="1:14">
      <c r="A89" s="148" t="s">
        <v>364</v>
      </c>
      <c r="B89" s="149">
        <f>IF(C85=0,0,-PMT(Results_10yr!B29,Results_10yr!B28,C85))</f>
        <v>0</v>
      </c>
      <c r="C89" s="147">
        <f>IF(AND(1&gt;=1,1&lt;=1+Results_10yr!B28-1),IF(C85=0,0,C85),0)</f>
        <v>0</v>
      </c>
      <c r="D89" s="147">
        <f>IF(AND(2&gt;=1,2&lt;=1+Results_10yr!B28-1),IF(C85=0,0,C92),0)</f>
        <v>0</v>
      </c>
      <c r="E89" s="147">
        <f>IF(AND(3&gt;=1,3&lt;=1+Results_10yr!B28-1),IF(C85=0,0,D92),0)</f>
        <v>0</v>
      </c>
      <c r="F89" s="147">
        <f>IF(AND(4&gt;=1,4&lt;=1+Results_10yr!B28-1),IF(C85=0,0,E92),0)</f>
        <v>0</v>
      </c>
      <c r="G89" s="147">
        <f>IF(AND(5&gt;=1,5&lt;=1+Results_10yr!B28-1),IF(C85=0,0,F92),0)</f>
        <v>0</v>
      </c>
      <c r="H89" s="147">
        <f>IF(AND(6&gt;=1,6&lt;=1+Results_10yr!B28-1),IF(C85=0,0,G92),0)</f>
        <v>0</v>
      </c>
      <c r="I89" s="147">
        <f>IF(AND(7&gt;=1,7&lt;=1+Results_10yr!B28-1),IF(C85=0,0,H92),0)</f>
        <v>0</v>
      </c>
      <c r="J89" s="147">
        <f>IF(AND(8&gt;=1,8&lt;=1+Results_10yr!B28-1),IF(C85=0,0,I92),0)</f>
        <v>0</v>
      </c>
      <c r="K89" s="147">
        <f>IF(AND(9&gt;=1,9&lt;=1+Results_10yr!B28-1),IF(C85=0,0,J92),0)</f>
        <v>0</v>
      </c>
      <c r="L89" s="147">
        <f>IF(AND(10&gt;=1,10&lt;=1+Results_10yr!B28-1),IF(C85=0,0,K92),0)</f>
        <v>0</v>
      </c>
    </row>
    <row r="90" spans="1:14">
      <c r="A90" s="148" t="s">
        <v>365</v>
      </c>
      <c r="B90">
        <f>IF(C83="",0,0)</f>
        <v>0</v>
      </c>
      <c r="C90" s="147">
        <f>IF(AND(1&gt;=1,1&lt;=1+Results_10yr!B28-1),Results_10yr!B29*C89*(1-Results_10yr!B33),0)</f>
        <v>0</v>
      </c>
      <c r="D90" s="147">
        <f>IF(AND(2&gt;=1,2&lt;=1+Results_10yr!B28-1),Results_10yr!B29*D89*(1-Results_10yr!B33),0)</f>
        <v>0</v>
      </c>
      <c r="E90" s="147">
        <f>IF(AND(3&gt;=1,3&lt;=1+Results_10yr!B28-1),Results_10yr!B29*E89*(1-Results_10yr!B33),0)</f>
        <v>0</v>
      </c>
      <c r="F90" s="147">
        <f>IF(AND(4&gt;=1,4&lt;=1+Results_10yr!B28-1),Results_10yr!B29*F89*(1-Results_10yr!B33),0)</f>
        <v>0</v>
      </c>
      <c r="G90" s="147">
        <f>IF(AND(5&gt;=1,5&lt;=1+Results_10yr!B28-1),Results_10yr!B29*G89*(1-Results_10yr!B33),0)</f>
        <v>0</v>
      </c>
      <c r="H90" s="147">
        <f>IF(AND(6&gt;=1,6&lt;=1+Results_10yr!B28-1),Results_10yr!B29*H89*(1-Results_10yr!B33),0)</f>
        <v>0</v>
      </c>
      <c r="I90" s="147">
        <f>IF(AND(7&gt;=1,7&lt;=1+Results_10yr!B28-1),Results_10yr!B29*I89*(1-Results_10yr!B33),0)</f>
        <v>0</v>
      </c>
      <c r="J90" s="147">
        <f>IF(AND(8&gt;=1,8&lt;=1+Results_10yr!B28-1),Results_10yr!B29*J89*(1-Results_10yr!B33),0)</f>
        <v>0</v>
      </c>
      <c r="K90" s="147">
        <f>IF(AND(9&gt;=1,9&lt;=1+Results_10yr!B28-1),Results_10yr!B29*K89*(1-Results_10yr!B33),0)</f>
        <v>0</v>
      </c>
      <c r="L90" s="147">
        <f>IF(AND(10&gt;=1,10&lt;=1+Results_10yr!B28-1),Results_10yr!B29*L89*(1-Results_10yr!B33),0)</f>
        <v>0</v>
      </c>
    </row>
    <row r="91" spans="1:14">
      <c r="A91" s="148" t="s">
        <v>366</v>
      </c>
      <c r="C91" s="147">
        <f>IF(AND(1&gt;=1,1&lt;=1+Results_10yr!B28-1),(B89-Results_10yr!B29*C89)*(1-Results_10yr!B33),0)</f>
        <v>0</v>
      </c>
      <c r="D91" s="147">
        <f>IF(AND(2&gt;=1,2&lt;=1+Results_10yr!B28-1),(B89-Results_10yr!B29*D89)*(1-Results_10yr!B33),0)</f>
        <v>0</v>
      </c>
      <c r="E91" s="147">
        <f>IF(AND(3&gt;=1,3&lt;=1+Results_10yr!B28-1),(B89-Results_10yr!B29*E89)*(1-Results_10yr!B33),0)</f>
        <v>0</v>
      </c>
      <c r="F91" s="147">
        <f>IF(AND(4&gt;=1,4&lt;=1+Results_10yr!B28-1),(B89-Results_10yr!B29*F89)*(1-Results_10yr!B33),0)</f>
        <v>0</v>
      </c>
      <c r="G91" s="147">
        <f>IF(AND(5&gt;=1,5&lt;=1+Results_10yr!B28-1),(B89-Results_10yr!B29*G89)*(1-Results_10yr!B33),0)</f>
        <v>0</v>
      </c>
      <c r="H91" s="147">
        <f>IF(AND(6&gt;=1,6&lt;=1+Results_10yr!B28-1),(B89-Results_10yr!B29*H89)*(1-Results_10yr!B33),0)</f>
        <v>0</v>
      </c>
      <c r="I91" s="147">
        <f>IF(AND(7&gt;=1,7&lt;=1+Results_10yr!B28-1),(B89-Results_10yr!B29*I89)*(1-Results_10yr!B33),0)</f>
        <v>0</v>
      </c>
      <c r="J91" s="147">
        <f>IF(AND(8&gt;=1,8&lt;=1+Results_10yr!B28-1),(B89-Results_10yr!B29*J89)*(1-Results_10yr!B33),0)</f>
        <v>0</v>
      </c>
      <c r="K91" s="147">
        <f>IF(AND(9&gt;=1,9&lt;=1+Results_10yr!B28-1),(B89-Results_10yr!B29*K89)*(1-Results_10yr!B33),0)</f>
        <v>0</v>
      </c>
      <c r="L91" s="147">
        <f>IF(AND(10&gt;=1,10&lt;=1+Results_10yr!B28-1),(B89-Results_10yr!B29*L89)*(1-Results_10yr!B33),0)</f>
        <v>0</v>
      </c>
    </row>
    <row r="92" spans="1:14">
      <c r="A92" s="148" t="s">
        <v>367</v>
      </c>
      <c r="C92" s="147">
        <f>IF(AND(1&gt;=1,1&lt;=1+Results_10yr!B28-1),C89-(B89-Results_10yr!B29*C89),0)</f>
        <v>0</v>
      </c>
      <c r="D92" s="147">
        <f>IF(AND(2&gt;=1,2&lt;=1+Results_10yr!B28-1),D89-(B89-Results_10yr!B29*D89),0)</f>
        <v>0</v>
      </c>
      <c r="E92" s="147">
        <f>IF(AND(3&gt;=1,3&lt;=1+Results_10yr!B28-1),E89-(B89-Results_10yr!B29*E89),0)</f>
        <v>0</v>
      </c>
      <c r="F92" s="147">
        <f>IF(AND(4&gt;=1,4&lt;=1+Results_10yr!B28-1),F89-(B89-Results_10yr!B29*F89),0)</f>
        <v>0</v>
      </c>
      <c r="G92" s="147">
        <f>IF(AND(5&gt;=1,5&lt;=1+Results_10yr!B28-1),G89-(B89-Results_10yr!B29*G89),0)</f>
        <v>0</v>
      </c>
      <c r="H92" s="147">
        <f>IF(AND(6&gt;=1,6&lt;=1+Results_10yr!B28-1),H89-(B89-Results_10yr!B29*H89),0)</f>
        <v>0</v>
      </c>
      <c r="I92" s="147">
        <f>IF(AND(7&gt;=1,7&lt;=1+Results_10yr!B28-1),I89-(B89-Results_10yr!B29*I89),0)</f>
        <v>0</v>
      </c>
      <c r="J92" s="147">
        <f>IF(AND(8&gt;=1,8&lt;=1+Results_10yr!B28-1),J89-(B89-Results_10yr!B29*J89),0)</f>
        <v>0</v>
      </c>
      <c r="K92" s="147">
        <f>IF(AND(9&gt;=1,9&lt;=1+Results_10yr!B28-1),K89-(B89-Results_10yr!B29*K89),0)</f>
        <v>0</v>
      </c>
      <c r="L92" s="147">
        <f>IF(AND(10&gt;=1,10&lt;=1+Results_10yr!B28-1),L89-(B89-Results_10yr!B29*L89),0)</f>
        <v>0</v>
      </c>
    </row>
    <row r="93" spans="1:14">
      <c r="A93" s="148" t="s">
        <v>368</v>
      </c>
      <c r="B93" s="149">
        <f>IF(D85=0,0,-PMT(Results_10yr!B29,Results_10yr!B28,D85))</f>
        <v>0</v>
      </c>
      <c r="C93" s="147">
        <f>IF(AND(1&gt;=2,1&lt;=2+Results_10yr!B28-1),IF(D85=0,0,B96),0)</f>
        <v>0</v>
      </c>
      <c r="D93" s="147">
        <f>IF(AND(2&gt;=2,2&lt;=2+Results_10yr!B28-1),IF(D85=0,0,D85),0)</f>
        <v>0</v>
      </c>
      <c r="E93" s="147">
        <f>IF(AND(3&gt;=2,3&lt;=2+Results_10yr!B28-1),IF(D85=0,0,D96),0)</f>
        <v>0</v>
      </c>
      <c r="F93" s="147">
        <f>IF(AND(4&gt;=2,4&lt;=2+Results_10yr!B28-1),IF(D85=0,0,E96),0)</f>
        <v>0</v>
      </c>
      <c r="G93" s="147">
        <f>IF(AND(5&gt;=2,5&lt;=2+Results_10yr!B28-1),IF(D85=0,0,F96),0)</f>
        <v>0</v>
      </c>
      <c r="H93" s="147">
        <f>IF(AND(6&gt;=2,6&lt;=2+Results_10yr!B28-1),IF(D85=0,0,G96),0)</f>
        <v>0</v>
      </c>
      <c r="I93" s="147">
        <f>IF(AND(7&gt;=2,7&lt;=2+Results_10yr!B28-1),IF(D85=0,0,H96),0)</f>
        <v>0</v>
      </c>
      <c r="J93" s="147">
        <f>IF(AND(8&gt;=2,8&lt;=2+Results_10yr!B28-1),IF(D85=0,0,I96),0)</f>
        <v>0</v>
      </c>
      <c r="K93" s="147">
        <f>IF(AND(9&gt;=2,9&lt;=2+Results_10yr!B28-1),IF(D85=0,0,J96),0)</f>
        <v>0</v>
      </c>
      <c r="L93" s="147">
        <f>IF(AND(10&gt;=2,10&lt;=2+Results_10yr!B28-1),IF(D85=0,0,K96),0)</f>
        <v>0</v>
      </c>
    </row>
    <row r="94" spans="1:14">
      <c r="A94" s="148" t="s">
        <v>369</v>
      </c>
      <c r="B94">
        <f>IF(C83="",0,0)</f>
        <v>0</v>
      </c>
      <c r="C94" s="147">
        <f>IF(AND(1&gt;=2,1&lt;=2+Results_10yr!B28-1),Results_10yr!B29*C93*(1-Results_10yr!B33),0)</f>
        <v>0</v>
      </c>
      <c r="D94" s="147">
        <f>IF(AND(2&gt;=2,2&lt;=2+Results_10yr!B28-1),Results_10yr!B29*D93*(1-Results_10yr!B33),0)</f>
        <v>0</v>
      </c>
      <c r="E94" s="147">
        <f>IF(AND(3&gt;=2,3&lt;=2+Results_10yr!B28-1),Results_10yr!B29*E93*(1-Results_10yr!B33),0)</f>
        <v>0</v>
      </c>
      <c r="F94" s="147">
        <f>IF(AND(4&gt;=2,4&lt;=2+Results_10yr!B28-1),Results_10yr!B29*F93*(1-Results_10yr!B33),0)</f>
        <v>0</v>
      </c>
      <c r="G94" s="147">
        <f>IF(AND(5&gt;=2,5&lt;=2+Results_10yr!B28-1),Results_10yr!B29*G93*(1-Results_10yr!B33),0)</f>
        <v>0</v>
      </c>
      <c r="H94" s="147">
        <f>IF(AND(6&gt;=2,6&lt;=2+Results_10yr!B28-1),Results_10yr!B29*H93*(1-Results_10yr!B33),0)</f>
        <v>0</v>
      </c>
      <c r="I94" s="147">
        <f>IF(AND(7&gt;=2,7&lt;=2+Results_10yr!B28-1),Results_10yr!B29*I93*(1-Results_10yr!B33),0)</f>
        <v>0</v>
      </c>
      <c r="J94" s="147">
        <f>IF(AND(8&gt;=2,8&lt;=2+Results_10yr!B28-1),Results_10yr!B29*J93*(1-Results_10yr!B33),0)</f>
        <v>0</v>
      </c>
      <c r="K94" s="147">
        <f>IF(AND(9&gt;=2,9&lt;=2+Results_10yr!B28-1),Results_10yr!B29*K93*(1-Results_10yr!B33),0)</f>
        <v>0</v>
      </c>
      <c r="L94" s="147">
        <f>IF(AND(10&gt;=2,10&lt;=2+Results_10yr!B28-1),Results_10yr!B29*L93*(1-Results_10yr!B33),0)</f>
        <v>0</v>
      </c>
    </row>
    <row r="95" spans="1:14">
      <c r="A95" s="148" t="s">
        <v>370</v>
      </c>
      <c r="C95" s="147">
        <f>IF(AND(1&gt;=2,1&lt;=2+Results_10yr!B28-1),(B93-Results_10yr!B29*C93)*(1-Results_10yr!B33),0)</f>
        <v>0</v>
      </c>
      <c r="D95" s="147">
        <f>IF(AND(2&gt;=2,2&lt;=2+Results_10yr!B28-1),(B93-Results_10yr!B29*D93)*(1-Results_10yr!B33),0)</f>
        <v>0</v>
      </c>
      <c r="E95" s="147">
        <f>IF(AND(3&gt;=2,3&lt;=2+Results_10yr!B28-1),(B93-Results_10yr!B29*E93)*(1-Results_10yr!B33),0)</f>
        <v>0</v>
      </c>
      <c r="F95" s="147">
        <f>IF(AND(4&gt;=2,4&lt;=2+Results_10yr!B28-1),(B93-Results_10yr!B29*F93)*(1-Results_10yr!B33),0)</f>
        <v>0</v>
      </c>
      <c r="G95" s="147">
        <f>IF(AND(5&gt;=2,5&lt;=2+Results_10yr!B28-1),(B93-Results_10yr!B29*G93)*(1-Results_10yr!B33),0)</f>
        <v>0</v>
      </c>
      <c r="H95" s="147">
        <f>IF(AND(6&gt;=2,6&lt;=2+Results_10yr!B28-1),(B93-Results_10yr!B29*H93)*(1-Results_10yr!B33),0)</f>
        <v>0</v>
      </c>
      <c r="I95" s="147">
        <f>IF(AND(7&gt;=2,7&lt;=2+Results_10yr!B28-1),(B93-Results_10yr!B29*I93)*(1-Results_10yr!B33),0)</f>
        <v>0</v>
      </c>
      <c r="J95" s="147">
        <f>IF(AND(8&gt;=2,8&lt;=2+Results_10yr!B28-1),(B93-Results_10yr!B29*J93)*(1-Results_10yr!B33),0)</f>
        <v>0</v>
      </c>
      <c r="K95" s="147">
        <f>IF(AND(9&gt;=2,9&lt;=2+Results_10yr!B28-1),(B93-Results_10yr!B29*K93)*(1-Results_10yr!B33),0)</f>
        <v>0</v>
      </c>
      <c r="L95" s="147">
        <f>IF(AND(10&gt;=2,10&lt;=2+Results_10yr!B28-1),(B93-Results_10yr!B29*L93)*(1-Results_10yr!B33),0)</f>
        <v>0</v>
      </c>
    </row>
    <row r="96" spans="1:14">
      <c r="A96" s="148" t="s">
        <v>371</v>
      </c>
      <c r="C96" s="147">
        <f>IF(AND(1&gt;=2,1&lt;=2+Results_10yr!B28-1),C93-(B93-Results_10yr!B29*C93),0)</f>
        <v>0</v>
      </c>
      <c r="D96" s="147">
        <f>IF(AND(2&gt;=2,2&lt;=2+Results_10yr!B28-1),D93-(B93-Results_10yr!B29*D93),0)</f>
        <v>0</v>
      </c>
      <c r="E96" s="147">
        <f>IF(AND(3&gt;=2,3&lt;=2+Results_10yr!B28-1),E93-(B93-Results_10yr!B29*E93),0)</f>
        <v>0</v>
      </c>
      <c r="F96" s="147">
        <f>IF(AND(4&gt;=2,4&lt;=2+Results_10yr!B28-1),F93-(B93-Results_10yr!B29*F93),0)</f>
        <v>0</v>
      </c>
      <c r="G96" s="147">
        <f>IF(AND(5&gt;=2,5&lt;=2+Results_10yr!B28-1),G93-(B93-Results_10yr!B29*G93),0)</f>
        <v>0</v>
      </c>
      <c r="H96" s="147">
        <f>IF(AND(6&gt;=2,6&lt;=2+Results_10yr!B28-1),H93-(B93-Results_10yr!B29*H93),0)</f>
        <v>0</v>
      </c>
      <c r="I96" s="147">
        <f>IF(AND(7&gt;=2,7&lt;=2+Results_10yr!B28-1),I93-(B93-Results_10yr!B29*I93),0)</f>
        <v>0</v>
      </c>
      <c r="J96" s="147">
        <f>IF(AND(8&gt;=2,8&lt;=2+Results_10yr!B28-1),J93-(B93-Results_10yr!B29*J93),0)</f>
        <v>0</v>
      </c>
      <c r="K96" s="147">
        <f>IF(AND(9&gt;=2,9&lt;=2+Results_10yr!B28-1),K93-(B93-Results_10yr!B29*K93),0)</f>
        <v>0</v>
      </c>
      <c r="L96" s="147">
        <f>IF(AND(10&gt;=2,10&lt;=2+Results_10yr!B28-1),L93-(B93-Results_10yr!B29*L93),0)</f>
        <v>0</v>
      </c>
    </row>
    <row r="97" spans="1:12">
      <c r="A97" s="148" t="s">
        <v>372</v>
      </c>
      <c r="B97" s="149">
        <f>IF(E85=0,0,-PMT(Results_10yr!B29,Results_10yr!B28,E85))</f>
        <v>0</v>
      </c>
      <c r="C97" s="147">
        <f>IF(AND(1&gt;=3,1&lt;=3+Results_10yr!B28-1),IF(E85=0,0,B100),0)</f>
        <v>0</v>
      </c>
      <c r="D97" s="147">
        <f>IF(AND(2&gt;=3,2&lt;=3+Results_10yr!B28-1),IF(E85=0,0,C100),0)</f>
        <v>0</v>
      </c>
      <c r="E97" s="147">
        <f>IF(AND(3&gt;=3,3&lt;=3+Results_10yr!B28-1),IF(E85=0,0,E85),0)</f>
        <v>0</v>
      </c>
      <c r="F97" s="147">
        <f>IF(AND(4&gt;=3,4&lt;=3+Results_10yr!B28-1),IF(E85=0,0,E100),0)</f>
        <v>0</v>
      </c>
      <c r="G97" s="147">
        <f>IF(AND(5&gt;=3,5&lt;=3+Results_10yr!B28-1),IF(E85=0,0,F100),0)</f>
        <v>0</v>
      </c>
      <c r="H97" s="147">
        <f>IF(AND(6&gt;=3,6&lt;=3+Results_10yr!B28-1),IF(E85=0,0,G100),0)</f>
        <v>0</v>
      </c>
      <c r="I97" s="147">
        <f>IF(AND(7&gt;=3,7&lt;=3+Results_10yr!B28-1),IF(E85=0,0,H100),0)</f>
        <v>0</v>
      </c>
      <c r="J97" s="147">
        <f>IF(AND(8&gt;=3,8&lt;=3+Results_10yr!B28-1),IF(E85=0,0,I100),0)</f>
        <v>0</v>
      </c>
      <c r="K97" s="147">
        <f>IF(AND(9&gt;=3,9&lt;=3+Results_10yr!B28-1),IF(E85=0,0,J100),0)</f>
        <v>0</v>
      </c>
      <c r="L97" s="147">
        <f>IF(AND(10&gt;=3,10&lt;=3+Results_10yr!B28-1),IF(E85=0,0,K100),0)</f>
        <v>0</v>
      </c>
    </row>
    <row r="98" spans="1:12">
      <c r="A98" s="148" t="s">
        <v>373</v>
      </c>
      <c r="B98">
        <f>IF(C83="",0,0)</f>
        <v>0</v>
      </c>
      <c r="C98" s="147">
        <f>IF(AND(1&gt;=3,1&lt;=3+Results_10yr!B28-1),Results_10yr!B29*C97*(1-Results_10yr!B33),0)</f>
        <v>0</v>
      </c>
      <c r="D98" s="147">
        <f>IF(AND(2&gt;=3,2&lt;=3+Results_10yr!B28-1),Results_10yr!B29*D97*(1-Results_10yr!B33),0)</f>
        <v>0</v>
      </c>
      <c r="E98" s="147">
        <f>IF(AND(3&gt;=3,3&lt;=3+Results_10yr!B28-1),Results_10yr!B29*E97*(1-Results_10yr!B33),0)</f>
        <v>0</v>
      </c>
      <c r="F98" s="147">
        <f>IF(AND(4&gt;=3,4&lt;=3+Results_10yr!B28-1),Results_10yr!B29*F97*(1-Results_10yr!B33),0)</f>
        <v>0</v>
      </c>
      <c r="G98" s="147">
        <f>IF(AND(5&gt;=3,5&lt;=3+Results_10yr!B28-1),Results_10yr!B29*G97*(1-Results_10yr!B33),0)</f>
        <v>0</v>
      </c>
      <c r="H98" s="147">
        <f>IF(AND(6&gt;=3,6&lt;=3+Results_10yr!B28-1),Results_10yr!B29*H97*(1-Results_10yr!B33),0)</f>
        <v>0</v>
      </c>
      <c r="I98" s="147">
        <f>IF(AND(7&gt;=3,7&lt;=3+Results_10yr!B28-1),Results_10yr!B29*I97*(1-Results_10yr!B33),0)</f>
        <v>0</v>
      </c>
      <c r="J98" s="147">
        <f>IF(AND(8&gt;=3,8&lt;=3+Results_10yr!B28-1),Results_10yr!B29*J97*(1-Results_10yr!B33),0)</f>
        <v>0</v>
      </c>
      <c r="K98" s="147">
        <f>IF(AND(9&gt;=3,9&lt;=3+Results_10yr!B28-1),Results_10yr!B29*K97*(1-Results_10yr!B33),0)</f>
        <v>0</v>
      </c>
      <c r="L98" s="147">
        <f>IF(AND(10&gt;=3,10&lt;=3+Results_10yr!B28-1),Results_10yr!B29*L97*(1-Results_10yr!B33),0)</f>
        <v>0</v>
      </c>
    </row>
    <row r="99" spans="1:12">
      <c r="A99" s="148" t="s">
        <v>374</v>
      </c>
      <c r="C99" s="147">
        <f>IF(AND(1&gt;=3,1&lt;=3+Results_10yr!B28-1),(B97-Results_10yr!B29*C97)*(1-Results_10yr!B33),0)</f>
        <v>0</v>
      </c>
      <c r="D99" s="147">
        <f>IF(AND(2&gt;=3,2&lt;=3+Results_10yr!B28-1),(B97-Results_10yr!B29*D97)*(1-Results_10yr!B33),0)</f>
        <v>0</v>
      </c>
      <c r="E99" s="147">
        <f>IF(AND(3&gt;=3,3&lt;=3+Results_10yr!B28-1),(B97-Results_10yr!B29*E97)*(1-Results_10yr!B33),0)</f>
        <v>0</v>
      </c>
      <c r="F99" s="147">
        <f>IF(AND(4&gt;=3,4&lt;=3+Results_10yr!B28-1),(B97-Results_10yr!B29*F97)*(1-Results_10yr!B33),0)</f>
        <v>0</v>
      </c>
      <c r="G99" s="147">
        <f>IF(AND(5&gt;=3,5&lt;=3+Results_10yr!B28-1),(B97-Results_10yr!B29*G97)*(1-Results_10yr!B33),0)</f>
        <v>0</v>
      </c>
      <c r="H99" s="147">
        <f>IF(AND(6&gt;=3,6&lt;=3+Results_10yr!B28-1),(B97-Results_10yr!B29*H97)*(1-Results_10yr!B33),0)</f>
        <v>0</v>
      </c>
      <c r="I99" s="147">
        <f>IF(AND(7&gt;=3,7&lt;=3+Results_10yr!B28-1),(B97-Results_10yr!B29*I97)*(1-Results_10yr!B33),0)</f>
        <v>0</v>
      </c>
      <c r="J99" s="147">
        <f>IF(AND(8&gt;=3,8&lt;=3+Results_10yr!B28-1),(B97-Results_10yr!B29*J97)*(1-Results_10yr!B33),0)</f>
        <v>0</v>
      </c>
      <c r="K99" s="147">
        <f>IF(AND(9&gt;=3,9&lt;=3+Results_10yr!B28-1),(B97-Results_10yr!B29*K97)*(1-Results_10yr!B33),0)</f>
        <v>0</v>
      </c>
      <c r="L99" s="147">
        <f>IF(AND(10&gt;=3,10&lt;=3+Results_10yr!B28-1),(B97-Results_10yr!B29*L97)*(1-Results_10yr!B33),0)</f>
        <v>0</v>
      </c>
    </row>
    <row r="100" spans="1:12">
      <c r="A100" s="148" t="s">
        <v>375</v>
      </c>
      <c r="C100" s="147">
        <f>IF(AND(1&gt;=3,1&lt;=3+Results_10yr!B28-1),C97-(B97-Results_10yr!B29*C97),0)</f>
        <v>0</v>
      </c>
      <c r="D100" s="147">
        <f>IF(AND(2&gt;=3,2&lt;=3+Results_10yr!B28-1),D97-(B97-Results_10yr!B29*D97),0)</f>
        <v>0</v>
      </c>
      <c r="E100" s="147">
        <f>IF(AND(3&gt;=3,3&lt;=3+Results_10yr!B28-1),E97-(B97-Results_10yr!B29*E97),0)</f>
        <v>0</v>
      </c>
      <c r="F100" s="147">
        <f>IF(AND(4&gt;=3,4&lt;=3+Results_10yr!B28-1),F97-(B97-Results_10yr!B29*F97),0)</f>
        <v>0</v>
      </c>
      <c r="G100" s="147">
        <f>IF(AND(5&gt;=3,5&lt;=3+Results_10yr!B28-1),G97-(B97-Results_10yr!B29*G97),0)</f>
        <v>0</v>
      </c>
      <c r="H100" s="147">
        <f>IF(AND(6&gt;=3,6&lt;=3+Results_10yr!B28-1),H97-(B97-Results_10yr!B29*H97),0)</f>
        <v>0</v>
      </c>
      <c r="I100" s="147">
        <f>IF(AND(7&gt;=3,7&lt;=3+Results_10yr!B28-1),I97-(B97-Results_10yr!B29*I97),0)</f>
        <v>0</v>
      </c>
      <c r="J100" s="147">
        <f>IF(AND(8&gt;=3,8&lt;=3+Results_10yr!B28-1),J97-(B97-Results_10yr!B29*J97),0)</f>
        <v>0</v>
      </c>
      <c r="K100" s="147">
        <f>IF(AND(9&gt;=3,9&lt;=3+Results_10yr!B28-1),K97-(B97-Results_10yr!B29*K97),0)</f>
        <v>0</v>
      </c>
      <c r="L100" s="147">
        <f>IF(AND(10&gt;=3,10&lt;=3+Results_10yr!B28-1),L97-(B97-Results_10yr!B29*L97),0)</f>
        <v>0</v>
      </c>
    </row>
    <row r="101" spans="1:12">
      <c r="A101" s="148" t="s">
        <v>376</v>
      </c>
      <c r="B101" s="149">
        <f>IF(F85=0,0,-PMT(Results_10yr!B29,Results_10yr!B28,F85))</f>
        <v>0</v>
      </c>
      <c r="C101" s="147">
        <f>IF(AND(1&gt;=4,1&lt;=4+Results_10yr!B28-1),IF(F85=0,0,B104),0)</f>
        <v>0</v>
      </c>
      <c r="D101" s="147">
        <f>IF(AND(2&gt;=4,2&lt;=4+Results_10yr!B28-1),IF(F85=0,0,C104),0)</f>
        <v>0</v>
      </c>
      <c r="E101" s="147">
        <f>IF(AND(3&gt;=4,3&lt;=4+Results_10yr!B28-1),IF(F85=0,0,D104),0)</f>
        <v>0</v>
      </c>
      <c r="F101" s="147">
        <f>IF(AND(4&gt;=4,4&lt;=4+Results_10yr!B28-1),IF(F85=0,0,F85),0)</f>
        <v>0</v>
      </c>
      <c r="G101" s="147">
        <f>IF(AND(5&gt;=4,5&lt;=4+Results_10yr!B28-1),IF(F85=0,0,F104),0)</f>
        <v>0</v>
      </c>
      <c r="H101" s="147">
        <f>IF(AND(6&gt;=4,6&lt;=4+Results_10yr!B28-1),IF(F85=0,0,G104),0)</f>
        <v>0</v>
      </c>
      <c r="I101" s="147">
        <f>IF(AND(7&gt;=4,7&lt;=4+Results_10yr!B28-1),IF(F85=0,0,H104),0)</f>
        <v>0</v>
      </c>
      <c r="J101" s="147">
        <f>IF(AND(8&gt;=4,8&lt;=4+Results_10yr!B28-1),IF(F85=0,0,I104),0)</f>
        <v>0</v>
      </c>
      <c r="K101" s="147">
        <f>IF(AND(9&gt;=4,9&lt;=4+Results_10yr!B28-1),IF(F85=0,0,J104),0)</f>
        <v>0</v>
      </c>
      <c r="L101" s="147">
        <f>IF(AND(10&gt;=4,10&lt;=4+Results_10yr!B28-1),IF(F85=0,0,K104),0)</f>
        <v>0</v>
      </c>
    </row>
    <row r="102" spans="1:12">
      <c r="A102" s="148" t="s">
        <v>377</v>
      </c>
      <c r="B102">
        <f>IF(C83="",0,0)</f>
        <v>0</v>
      </c>
      <c r="C102" s="147">
        <f>IF(AND(1&gt;=4,1&lt;=4+Results_10yr!B28-1),Results_10yr!B29*C101*(1-Results_10yr!B33),0)</f>
        <v>0</v>
      </c>
      <c r="D102" s="147">
        <f>IF(AND(2&gt;=4,2&lt;=4+Results_10yr!B28-1),Results_10yr!B29*D101*(1-Results_10yr!B33),0)</f>
        <v>0</v>
      </c>
      <c r="E102" s="147">
        <f>IF(AND(3&gt;=4,3&lt;=4+Results_10yr!B28-1),Results_10yr!B29*E101*(1-Results_10yr!B33),0)</f>
        <v>0</v>
      </c>
      <c r="F102" s="147">
        <f>IF(AND(4&gt;=4,4&lt;=4+Results_10yr!B28-1),Results_10yr!B29*F101*(1-Results_10yr!B33),0)</f>
        <v>0</v>
      </c>
      <c r="G102" s="147">
        <f>IF(AND(5&gt;=4,5&lt;=4+Results_10yr!B28-1),Results_10yr!B29*G101*(1-Results_10yr!B33),0)</f>
        <v>0</v>
      </c>
      <c r="H102" s="147">
        <f>IF(AND(6&gt;=4,6&lt;=4+Results_10yr!B28-1),Results_10yr!B29*H101*(1-Results_10yr!B33),0)</f>
        <v>0</v>
      </c>
      <c r="I102" s="147">
        <f>IF(AND(7&gt;=4,7&lt;=4+Results_10yr!B28-1),Results_10yr!B29*I101*(1-Results_10yr!B33),0)</f>
        <v>0</v>
      </c>
      <c r="J102" s="147">
        <f>IF(AND(8&gt;=4,8&lt;=4+Results_10yr!B28-1),Results_10yr!B29*J101*(1-Results_10yr!B33),0)</f>
        <v>0</v>
      </c>
      <c r="K102" s="147">
        <f>IF(AND(9&gt;=4,9&lt;=4+Results_10yr!B28-1),Results_10yr!B29*K101*(1-Results_10yr!B33),0)</f>
        <v>0</v>
      </c>
      <c r="L102" s="147">
        <f>IF(AND(10&gt;=4,10&lt;=4+Results_10yr!B28-1),Results_10yr!B29*L101*(1-Results_10yr!B33),0)</f>
        <v>0</v>
      </c>
    </row>
    <row r="103" spans="1:12">
      <c r="A103" s="148" t="s">
        <v>378</v>
      </c>
      <c r="C103" s="147">
        <f>IF(AND(1&gt;=4,1&lt;=4+Results_10yr!B28-1),(B101-Results_10yr!B29*C101)*(1-Results_10yr!B33),0)</f>
        <v>0</v>
      </c>
      <c r="D103" s="147">
        <f>IF(AND(2&gt;=4,2&lt;=4+Results_10yr!B28-1),(B101-Results_10yr!B29*D101)*(1-Results_10yr!B33),0)</f>
        <v>0</v>
      </c>
      <c r="E103" s="147">
        <f>IF(AND(3&gt;=4,3&lt;=4+Results_10yr!B28-1),(B101-Results_10yr!B29*E101)*(1-Results_10yr!B33),0)</f>
        <v>0</v>
      </c>
      <c r="F103" s="147">
        <f>IF(AND(4&gt;=4,4&lt;=4+Results_10yr!B28-1),(B101-Results_10yr!B29*F101)*(1-Results_10yr!B33),0)</f>
        <v>0</v>
      </c>
      <c r="G103" s="147">
        <f>IF(AND(5&gt;=4,5&lt;=4+Results_10yr!B28-1),(B101-Results_10yr!B29*G101)*(1-Results_10yr!B33),0)</f>
        <v>0</v>
      </c>
      <c r="H103" s="147">
        <f>IF(AND(6&gt;=4,6&lt;=4+Results_10yr!B28-1),(B101-Results_10yr!B29*H101)*(1-Results_10yr!B33),0)</f>
        <v>0</v>
      </c>
      <c r="I103" s="147">
        <f>IF(AND(7&gt;=4,7&lt;=4+Results_10yr!B28-1),(B101-Results_10yr!B29*I101)*(1-Results_10yr!B33),0)</f>
        <v>0</v>
      </c>
      <c r="J103" s="147">
        <f>IF(AND(8&gt;=4,8&lt;=4+Results_10yr!B28-1),(B101-Results_10yr!B29*J101)*(1-Results_10yr!B33),0)</f>
        <v>0</v>
      </c>
      <c r="K103" s="147">
        <f>IF(AND(9&gt;=4,9&lt;=4+Results_10yr!B28-1),(B101-Results_10yr!B29*K101)*(1-Results_10yr!B33),0)</f>
        <v>0</v>
      </c>
      <c r="L103" s="147">
        <f>IF(AND(10&gt;=4,10&lt;=4+Results_10yr!B28-1),(B101-Results_10yr!B29*L101)*(1-Results_10yr!B33),0)</f>
        <v>0</v>
      </c>
    </row>
    <row r="104" spans="1:12">
      <c r="A104" s="148" t="s">
        <v>379</v>
      </c>
      <c r="C104" s="147">
        <f>IF(AND(1&gt;=4,1&lt;=4+Results_10yr!B28-1),C101-(B101-Results_10yr!B29*C101),0)</f>
        <v>0</v>
      </c>
      <c r="D104" s="147">
        <f>IF(AND(2&gt;=4,2&lt;=4+Results_10yr!B28-1),D101-(B101-Results_10yr!B29*D101),0)</f>
        <v>0</v>
      </c>
      <c r="E104" s="147">
        <f>IF(AND(3&gt;=4,3&lt;=4+Results_10yr!B28-1),E101-(B101-Results_10yr!B29*E101),0)</f>
        <v>0</v>
      </c>
      <c r="F104" s="147">
        <f>IF(AND(4&gt;=4,4&lt;=4+Results_10yr!B28-1),F101-(B101-Results_10yr!B29*F101),0)</f>
        <v>0</v>
      </c>
      <c r="G104" s="147">
        <f>IF(AND(5&gt;=4,5&lt;=4+Results_10yr!B28-1),G101-(B101-Results_10yr!B29*G101),0)</f>
        <v>0</v>
      </c>
      <c r="H104" s="147">
        <f>IF(AND(6&gt;=4,6&lt;=4+Results_10yr!B28-1),H101-(B101-Results_10yr!B29*H101),0)</f>
        <v>0</v>
      </c>
      <c r="I104" s="147">
        <f>IF(AND(7&gt;=4,7&lt;=4+Results_10yr!B28-1),I101-(B101-Results_10yr!B29*I101),0)</f>
        <v>0</v>
      </c>
      <c r="J104" s="147">
        <f>IF(AND(8&gt;=4,8&lt;=4+Results_10yr!B28-1),J101-(B101-Results_10yr!B29*J101),0)</f>
        <v>0</v>
      </c>
      <c r="K104" s="147">
        <f>IF(AND(9&gt;=4,9&lt;=4+Results_10yr!B28-1),K101-(B101-Results_10yr!B29*K101),0)</f>
        <v>0</v>
      </c>
      <c r="L104" s="147">
        <f>IF(AND(10&gt;=4,10&lt;=4+Results_10yr!B28-1),L101-(B101-Results_10yr!B29*L101),0)</f>
        <v>0</v>
      </c>
    </row>
    <row r="105" spans="1:12">
      <c r="A105" s="148" t="s">
        <v>380</v>
      </c>
      <c r="B105" s="149">
        <f>IF(G85=0,0,-PMT(Results_10yr!B29,Results_10yr!B28,G85))</f>
        <v>18698410.789084058</v>
      </c>
      <c r="C105" s="147">
        <f>IF(AND(1&gt;=5,1&lt;=5+Results_10yr!B28-1),IF(G85=0,0,B108),0)</f>
        <v>0</v>
      </c>
      <c r="D105" s="147">
        <f>IF(AND(2&gt;=5,2&lt;=5+Results_10yr!B28-1),IF(G85=0,0,C108),0)</f>
        <v>0</v>
      </c>
      <c r="E105" s="147">
        <f>IF(AND(3&gt;=5,3&lt;=5+Results_10yr!B28-1),IF(G85=0,0,D108),0)</f>
        <v>0</v>
      </c>
      <c r="F105" s="147">
        <f>IF(AND(4&gt;=5,4&lt;=5+Results_10yr!B28-1),IF(G85=0,0,E108),0)</f>
        <v>0</v>
      </c>
      <c r="G105" s="147">
        <f>IF(AND(5&gt;=5,5&lt;=5+Results_10yr!B28-1),IF(G85=0,0,G85),0)</f>
        <v>120000000.00000003</v>
      </c>
      <c r="H105" s="147">
        <f>IF(AND(6&gt;=5,6&lt;=5+Results_10yr!B28-1),IF(G85=0,0,G108),0)</f>
        <v>112101589.21091597</v>
      </c>
      <c r="I105" s="147">
        <f>IF(AND(7&gt;=5,7&lt;=5+Results_10yr!B28-1),IF(G85=0,0,H108),0)</f>
        <v>103492321.45081435</v>
      </c>
      <c r="J105" s="147">
        <f>IF(AND(8&gt;=5,8&lt;=5+Results_10yr!B28-1),IF(G85=0,0,I108),0)</f>
        <v>94108219.592303589</v>
      </c>
      <c r="K105" s="147">
        <f>IF(AND(9&gt;=5,9&lt;=5+Results_10yr!B28-1),IF(G85=0,0,J108),0)</f>
        <v>83879548.56652686</v>
      </c>
      <c r="L105" s="147">
        <f>IF(AND(10&gt;=5,10&lt;=5+Results_10yr!B28-1),IF(G85=0,0,K108),0)</f>
        <v>72730297.148430213</v>
      </c>
    </row>
    <row r="106" spans="1:12">
      <c r="A106" s="148" t="s">
        <v>381</v>
      </c>
      <c r="B106">
        <f>IF(C83="",0,0)</f>
        <v>0</v>
      </c>
      <c r="C106" s="147">
        <f>IF(AND(1&gt;=5,1&lt;=5+Results_10yr!B28-1),Results_10yr!B29*C105*(1-Results_10yr!B33),0)</f>
        <v>0</v>
      </c>
      <c r="D106" s="147">
        <f>IF(AND(2&gt;=5,2&lt;=5+Results_10yr!B28-1),Results_10yr!B29*D105*(1-Results_10yr!B33),0)</f>
        <v>0</v>
      </c>
      <c r="E106" s="147">
        <f>IF(AND(3&gt;=5,3&lt;=5+Results_10yr!B28-1),Results_10yr!B29*E105*(1-Results_10yr!B33),0)</f>
        <v>0</v>
      </c>
      <c r="F106" s="147">
        <f>IF(AND(4&gt;=5,4&lt;=5+Results_10yr!B28-1),Results_10yr!B29*F105*(1-Results_10yr!B33),0)</f>
        <v>0</v>
      </c>
      <c r="G106" s="147">
        <f>IF(AND(5&gt;=5,5&lt;=5+Results_10yr!B28-1),Results_10yr!B29*G105*(1-Results_10yr!B33),0)</f>
        <v>10800000.000000002</v>
      </c>
      <c r="H106" s="147">
        <f>IF(AND(6&gt;=5,6&lt;=5+Results_10yr!B28-1),Results_10yr!B29*H105*(1-Results_10yr!B33),0)</f>
        <v>10089143.028982436</v>
      </c>
      <c r="I106" s="147">
        <f>IF(AND(7&gt;=5,7&lt;=5+Results_10yr!B28-1),Results_10yr!B29*I105*(1-Results_10yr!B33),0)</f>
        <v>9314308.9305732921</v>
      </c>
      <c r="J106" s="147">
        <f>IF(AND(8&gt;=5,8&lt;=5+Results_10yr!B28-1),Results_10yr!B29*J105*(1-Results_10yr!B33),0)</f>
        <v>8469739.7633073218</v>
      </c>
      <c r="K106" s="147">
        <f>IF(AND(9&gt;=5,9&lt;=5+Results_10yr!B28-1),Results_10yr!B29*K105*(1-Results_10yr!B33),0)</f>
        <v>7549159.3709874172</v>
      </c>
      <c r="L106" s="147">
        <f>IF(AND(10&gt;=5,10&lt;=5+Results_10yr!B28-1),Results_10yr!B29*L105*(1-Results_10yr!B33),0)</f>
        <v>6545726.7433587192</v>
      </c>
    </row>
    <row r="107" spans="1:12">
      <c r="A107" s="148" t="s">
        <v>382</v>
      </c>
      <c r="C107" s="147">
        <f>IF(AND(1&gt;=5,1&lt;=5+Results_10yr!B28-1),(B105-Results_10yr!B29*C105)*(1-Results_10yr!B33),0)</f>
        <v>0</v>
      </c>
      <c r="D107" s="147">
        <f>IF(AND(2&gt;=5,2&lt;=5+Results_10yr!B28-1),(B105-Results_10yr!B29*D105)*(1-Results_10yr!B33),0)</f>
        <v>0</v>
      </c>
      <c r="E107" s="147">
        <f>IF(AND(3&gt;=5,3&lt;=5+Results_10yr!B28-1),(B105-Results_10yr!B29*E105)*(1-Results_10yr!B33),0)</f>
        <v>0</v>
      </c>
      <c r="F107" s="147">
        <f>IF(AND(4&gt;=5,4&lt;=5+Results_10yr!B28-1),(B105-Results_10yr!B29*F105)*(1-Results_10yr!B33),0)</f>
        <v>0</v>
      </c>
      <c r="G107" s="147">
        <f>IF(AND(5&gt;=5,5&lt;=5+Results_10yr!B28-1),(B105-Results_10yr!B29*G105)*(1-Results_10yr!B33),0)</f>
        <v>7898410.7890840564</v>
      </c>
      <c r="H107" s="147">
        <f>IF(AND(6&gt;=5,6&lt;=5+Results_10yr!B28-1),(B105-Results_10yr!B29*H105)*(1-Results_10yr!B33),0)</f>
        <v>8609267.760101622</v>
      </c>
      <c r="I107" s="147">
        <f>IF(AND(7&gt;=5,7&lt;=5+Results_10yr!B28-1),(B105-Results_10yr!B29*I105)*(1-Results_10yr!B33),0)</f>
        <v>9384101.8585107662</v>
      </c>
      <c r="J107" s="147">
        <f>IF(AND(8&gt;=5,8&lt;=5+Results_10yr!B28-1),(B105-Results_10yr!B29*J105)*(1-Results_10yr!B33),0)</f>
        <v>10228671.025776736</v>
      </c>
      <c r="K107" s="147">
        <f>IF(AND(9&gt;=5,9&lt;=5+Results_10yr!B28-1),(B105-Results_10yr!B29*K105)*(1-Results_10yr!B33),0)</f>
        <v>11149251.418096641</v>
      </c>
      <c r="L107" s="147">
        <f>IF(AND(10&gt;=5,10&lt;=5+Results_10yr!B28-1),(B105-Results_10yr!B29*L105)*(1-Results_10yr!B33),0)</f>
        <v>12152684.045725338</v>
      </c>
    </row>
    <row r="108" spans="1:12">
      <c r="A108" s="148" t="s">
        <v>383</v>
      </c>
      <c r="C108" s="147">
        <f>IF(AND(1&gt;=5,1&lt;=5+Results_10yr!B28-1),C105-(B105-Results_10yr!B29*C105),0)</f>
        <v>0</v>
      </c>
      <c r="D108" s="147">
        <f>IF(AND(2&gt;=5,2&lt;=5+Results_10yr!B28-1),D105-(B105-Results_10yr!B29*D105),0)</f>
        <v>0</v>
      </c>
      <c r="E108" s="147">
        <f>IF(AND(3&gt;=5,3&lt;=5+Results_10yr!B28-1),E105-(B105-Results_10yr!B29*E105),0)</f>
        <v>0</v>
      </c>
      <c r="F108" s="147">
        <f>IF(AND(4&gt;=5,4&lt;=5+Results_10yr!B28-1),F105-(B105-Results_10yr!B29*F105),0)</f>
        <v>0</v>
      </c>
      <c r="G108" s="147">
        <f>IF(AND(5&gt;=5,5&lt;=5+Results_10yr!B28-1),G105-(B105-Results_10yr!B29*G105),0)</f>
        <v>112101589.21091597</v>
      </c>
      <c r="H108" s="147">
        <f>IF(AND(6&gt;=5,6&lt;=5+Results_10yr!B28-1),H105-(B105-Results_10yr!B29*H105),0)</f>
        <v>103492321.45081435</v>
      </c>
      <c r="I108" s="147">
        <f>IF(AND(7&gt;=5,7&lt;=5+Results_10yr!B28-1),I105-(B105-Results_10yr!B29*I105),0)</f>
        <v>94108219.592303589</v>
      </c>
      <c r="J108" s="147">
        <f>IF(AND(8&gt;=5,8&lt;=5+Results_10yr!B28-1),J105-(B105-Results_10yr!B29*J105),0)</f>
        <v>83879548.56652686</v>
      </c>
      <c r="K108" s="147">
        <f>IF(AND(9&gt;=5,9&lt;=5+Results_10yr!B28-1),K105-(B105-Results_10yr!B29*K105),0)</f>
        <v>72730297.148430213</v>
      </c>
      <c r="L108" s="147">
        <f>IF(AND(10&gt;=5,10&lt;=5+Results_10yr!B28-1),L105-(B105-Results_10yr!B29*L105),0)</f>
        <v>60577613.102704875</v>
      </c>
    </row>
    <row r="109" spans="1:12">
      <c r="A109" s="148" t="s">
        <v>384</v>
      </c>
      <c r="B109" s="149">
        <f>IF(H85=0,0,-PMT(Results_10yr!B29,Results_10yr!B28,H85))</f>
        <v>28047616.183626078</v>
      </c>
      <c r="C109" s="147">
        <f>IF(AND(1&gt;=6,1&lt;=6+Results_10yr!B28-1),IF(H85=0,0,B112),0)</f>
        <v>0</v>
      </c>
      <c r="D109" s="147">
        <f>IF(AND(2&gt;=6,2&lt;=6+Results_10yr!B28-1),IF(H85=0,0,C112),0)</f>
        <v>0</v>
      </c>
      <c r="E109" s="147">
        <f>IF(AND(3&gt;=6,3&lt;=6+Results_10yr!B28-1),IF(H85=0,0,D112),0)</f>
        <v>0</v>
      </c>
      <c r="F109" s="147">
        <f>IF(AND(4&gt;=6,4&lt;=6+Results_10yr!B28-1),IF(H85=0,0,E112),0)</f>
        <v>0</v>
      </c>
      <c r="G109" s="147">
        <f>IF(AND(5&gt;=6,5&lt;=6+Results_10yr!B28-1),IF(H85=0,0,F112),0)</f>
        <v>0</v>
      </c>
      <c r="H109" s="147">
        <f>IF(AND(6&gt;=6,6&lt;=6+Results_10yr!B28-1),IF(H85=0,0,H85),0)</f>
        <v>180000000</v>
      </c>
      <c r="I109" s="147">
        <f>IF(AND(7&gt;=6,7&lt;=6+Results_10yr!B28-1),IF(H85=0,0,H112),0)</f>
        <v>168152383.81637391</v>
      </c>
      <c r="J109" s="147">
        <f>IF(AND(8&gt;=6,8&lt;=6+Results_10yr!B28-1),IF(H85=0,0,I112),0)</f>
        <v>155238482.17622149</v>
      </c>
      <c r="K109" s="147">
        <f>IF(AND(9&gt;=6,9&lt;=6+Results_10yr!B28-1),IF(H85=0,0,J112),0)</f>
        <v>141162329.38845533</v>
      </c>
      <c r="L109" s="147">
        <f>IF(AND(10&gt;=6,10&lt;=6+Results_10yr!B28-1),IF(H85=0,0,K112),0)</f>
        <v>125819322.84979023</v>
      </c>
    </row>
    <row r="110" spans="1:12">
      <c r="A110" s="148" t="s">
        <v>385</v>
      </c>
      <c r="B110">
        <f>IF(C83="",0,0)</f>
        <v>0</v>
      </c>
      <c r="C110" s="147">
        <f>IF(AND(1&gt;=6,1&lt;=6+Results_10yr!B28-1),Results_10yr!B29*C109*(1-Results_10yr!B33),0)</f>
        <v>0</v>
      </c>
      <c r="D110" s="147">
        <f>IF(AND(2&gt;=6,2&lt;=6+Results_10yr!B28-1),Results_10yr!B29*D109*(1-Results_10yr!B33),0)</f>
        <v>0</v>
      </c>
      <c r="E110" s="147">
        <f>IF(AND(3&gt;=6,3&lt;=6+Results_10yr!B28-1),Results_10yr!B29*E109*(1-Results_10yr!B33),0)</f>
        <v>0</v>
      </c>
      <c r="F110" s="147">
        <f>IF(AND(4&gt;=6,4&lt;=6+Results_10yr!B28-1),Results_10yr!B29*F109*(1-Results_10yr!B33),0)</f>
        <v>0</v>
      </c>
      <c r="G110" s="147">
        <f>IF(AND(5&gt;=6,5&lt;=6+Results_10yr!B28-1),Results_10yr!B29*G109*(1-Results_10yr!B33),0)</f>
        <v>0</v>
      </c>
      <c r="H110" s="147">
        <f>IF(AND(6&gt;=6,6&lt;=6+Results_10yr!B28-1),Results_10yr!B29*H109*(1-Results_10yr!B33),0)</f>
        <v>16200000</v>
      </c>
      <c r="I110" s="147">
        <f>IF(AND(7&gt;=6,7&lt;=6+Results_10yr!B28-1),Results_10yr!B29*I109*(1-Results_10yr!B33),0)</f>
        <v>15133714.543473652</v>
      </c>
      <c r="J110" s="147">
        <f>IF(AND(8&gt;=6,8&lt;=6+Results_10yr!B28-1),Results_10yr!B29*J109*(1-Results_10yr!B33),0)</f>
        <v>13971463.395859934</v>
      </c>
      <c r="K110" s="147">
        <f>IF(AND(9&gt;=6,9&lt;=6+Results_10yr!B28-1),Results_10yr!B29*K109*(1-Results_10yr!B33),0)</f>
        <v>12704609.644960979</v>
      </c>
      <c r="L110" s="147">
        <f>IF(AND(10&gt;=6,10&lt;=6+Results_10yr!B28-1),Results_10yr!B29*L109*(1-Results_10yr!B33),0)</f>
        <v>11323739.056481121</v>
      </c>
    </row>
    <row r="111" spans="1:12">
      <c r="A111" s="148" t="s">
        <v>386</v>
      </c>
      <c r="C111" s="147">
        <f>IF(AND(1&gt;=6,1&lt;=6+Results_10yr!B28-1),(B109-Results_10yr!B29*C109)*(1-Results_10yr!B33),0)</f>
        <v>0</v>
      </c>
      <c r="D111" s="147">
        <f>IF(AND(2&gt;=6,2&lt;=6+Results_10yr!B28-1),(B109-Results_10yr!B29*D109)*(1-Results_10yr!B33),0)</f>
        <v>0</v>
      </c>
      <c r="E111" s="147">
        <f>IF(AND(3&gt;=6,3&lt;=6+Results_10yr!B28-1),(B109-Results_10yr!B29*E109)*(1-Results_10yr!B33),0)</f>
        <v>0</v>
      </c>
      <c r="F111" s="147">
        <f>IF(AND(4&gt;=6,4&lt;=6+Results_10yr!B28-1),(B109-Results_10yr!B29*F109)*(1-Results_10yr!B33),0)</f>
        <v>0</v>
      </c>
      <c r="G111" s="147">
        <f>IF(AND(5&gt;=6,5&lt;=6+Results_10yr!B28-1),(B109-Results_10yr!B29*G109)*(1-Results_10yr!B33),0)</f>
        <v>0</v>
      </c>
      <c r="H111" s="147">
        <f>IF(AND(6&gt;=6,6&lt;=6+Results_10yr!B28-1),(B109-Results_10yr!B29*H109)*(1-Results_10yr!B33),0)</f>
        <v>11847616.183626078</v>
      </c>
      <c r="I111" s="147">
        <f>IF(AND(7&gt;=6,7&lt;=6+Results_10yr!B28-1),(B109-Results_10yr!B29*I109)*(1-Results_10yr!B33),0)</f>
        <v>12913901.640152426</v>
      </c>
      <c r="J111" s="147">
        <f>IF(AND(8&gt;=6,8&lt;=6+Results_10yr!B28-1),(B109-Results_10yr!B29*J109)*(1-Results_10yr!B33),0)</f>
        <v>14076152.787766144</v>
      </c>
      <c r="K111" s="147">
        <f>IF(AND(9&gt;=6,9&lt;=6+Results_10yr!B28-1),(B109-Results_10yr!B29*K109)*(1-Results_10yr!B33),0)</f>
        <v>15343006.538665099</v>
      </c>
      <c r="L111" s="147">
        <f>IF(AND(10&gt;=6,10&lt;=6+Results_10yr!B28-1),(B109-Results_10yr!B29*L109)*(1-Results_10yr!B33),0)</f>
        <v>16723877.127144957</v>
      </c>
    </row>
    <row r="112" spans="1:12">
      <c r="A112" s="148" t="s">
        <v>387</v>
      </c>
      <c r="C112" s="147">
        <f>IF(AND(1&gt;=6,1&lt;=6+Results_10yr!B28-1),C109-(B109-Results_10yr!B29*C109),0)</f>
        <v>0</v>
      </c>
      <c r="D112" s="147">
        <f>IF(AND(2&gt;=6,2&lt;=6+Results_10yr!B28-1),D109-(B109-Results_10yr!B29*D109),0)</f>
        <v>0</v>
      </c>
      <c r="E112" s="147">
        <f>IF(AND(3&gt;=6,3&lt;=6+Results_10yr!B28-1),E109-(B109-Results_10yr!B29*E109),0)</f>
        <v>0</v>
      </c>
      <c r="F112" s="147">
        <f>IF(AND(4&gt;=6,4&lt;=6+Results_10yr!B28-1),F109-(B109-Results_10yr!B29*F109),0)</f>
        <v>0</v>
      </c>
      <c r="G112" s="147">
        <f>IF(AND(5&gt;=6,5&lt;=6+Results_10yr!B28-1),G109-(B109-Results_10yr!B29*G109),0)</f>
        <v>0</v>
      </c>
      <c r="H112" s="147">
        <f>IF(AND(6&gt;=6,6&lt;=6+Results_10yr!B28-1),H109-(B109-Results_10yr!B29*H109),0)</f>
        <v>168152383.81637391</v>
      </c>
      <c r="I112" s="147">
        <f>IF(AND(7&gt;=6,7&lt;=6+Results_10yr!B28-1),I109-(B109-Results_10yr!B29*I109),0)</f>
        <v>155238482.17622149</v>
      </c>
      <c r="J112" s="147">
        <f>IF(AND(8&gt;=6,8&lt;=6+Results_10yr!B28-1),J109-(B109-Results_10yr!B29*J109),0)</f>
        <v>141162329.38845533</v>
      </c>
      <c r="K112" s="147">
        <f>IF(AND(9&gt;=6,9&lt;=6+Results_10yr!B28-1),K109-(B109-Results_10yr!B29*K109),0)</f>
        <v>125819322.84979023</v>
      </c>
      <c r="L112" s="147">
        <f>IF(AND(10&gt;=6,10&lt;=6+Results_10yr!B28-1),L109-(B109-Results_10yr!B29*L109),0)</f>
        <v>109095445.72264527</v>
      </c>
    </row>
    <row r="113" spans="1:12">
      <c r="A113" s="148" t="s">
        <v>388</v>
      </c>
      <c r="B113" s="149">
        <f>IF(I85=0,0,-PMT(Results_10yr!B29,Results_10yr!B28,I85))</f>
        <v>21035712.13771956</v>
      </c>
      <c r="C113" s="147">
        <f>IF(AND(1&gt;=7,1&lt;=7+Results_10yr!B28-1),IF(I85=0,0,B116),0)</f>
        <v>0</v>
      </c>
      <c r="D113" s="147">
        <f>IF(AND(2&gt;=7,2&lt;=7+Results_10yr!B28-1),IF(I85=0,0,C116),0)</f>
        <v>0</v>
      </c>
      <c r="E113" s="147">
        <f>IF(AND(3&gt;=7,3&lt;=7+Results_10yr!B28-1),IF(I85=0,0,D116),0)</f>
        <v>0</v>
      </c>
      <c r="F113" s="147">
        <f>IF(AND(4&gt;=7,4&lt;=7+Results_10yr!B28-1),IF(I85=0,0,E116),0)</f>
        <v>0</v>
      </c>
      <c r="G113" s="147">
        <f>IF(AND(5&gt;=7,5&lt;=7+Results_10yr!B28-1),IF(I85=0,0,F116),0)</f>
        <v>0</v>
      </c>
      <c r="H113" s="147">
        <f>IF(AND(6&gt;=7,6&lt;=7+Results_10yr!B28-1),IF(I85=0,0,G116),0)</f>
        <v>0</v>
      </c>
      <c r="I113" s="147">
        <f>IF(AND(7&gt;=7,7&lt;=7+Results_10yr!B28-1),IF(I85=0,0,I85),0)</f>
        <v>135000000</v>
      </c>
      <c r="J113" s="147">
        <f>IF(AND(8&gt;=7,8&lt;=7+Results_10yr!B28-1),IF(I85=0,0,I116),0)</f>
        <v>126114287.86228044</v>
      </c>
      <c r="K113" s="147">
        <f>IF(AND(9&gt;=7,9&lt;=7+Results_10yr!B28-1),IF(I85=0,0,J116),0)</f>
        <v>116428861.63216612</v>
      </c>
      <c r="L113" s="147">
        <f>IF(AND(10&gt;=7,10&lt;=7+Results_10yr!B28-1),IF(I85=0,0,K116),0)</f>
        <v>105871747.04134151</v>
      </c>
    </row>
    <row r="114" spans="1:12">
      <c r="A114" s="148" t="s">
        <v>389</v>
      </c>
      <c r="B114">
        <f>IF(C83="",0,0)</f>
        <v>0</v>
      </c>
      <c r="C114" s="147">
        <f>IF(AND(1&gt;=7,1&lt;=7+Results_10yr!B28-1),Results_10yr!B29*C113*(1-Results_10yr!B33),0)</f>
        <v>0</v>
      </c>
      <c r="D114" s="147">
        <f>IF(AND(2&gt;=7,2&lt;=7+Results_10yr!B28-1),Results_10yr!B29*D113*(1-Results_10yr!B33),0)</f>
        <v>0</v>
      </c>
      <c r="E114" s="147">
        <f>IF(AND(3&gt;=7,3&lt;=7+Results_10yr!B28-1),Results_10yr!B29*E113*(1-Results_10yr!B33),0)</f>
        <v>0</v>
      </c>
      <c r="F114" s="147">
        <f>IF(AND(4&gt;=7,4&lt;=7+Results_10yr!B28-1),Results_10yr!B29*F113*(1-Results_10yr!B33),0)</f>
        <v>0</v>
      </c>
      <c r="G114" s="147">
        <f>IF(AND(5&gt;=7,5&lt;=7+Results_10yr!B28-1),Results_10yr!B29*G113*(1-Results_10yr!B33),0)</f>
        <v>0</v>
      </c>
      <c r="H114" s="147">
        <f>IF(AND(6&gt;=7,6&lt;=7+Results_10yr!B28-1),Results_10yr!B29*H113*(1-Results_10yr!B33),0)</f>
        <v>0</v>
      </c>
      <c r="I114" s="147">
        <f>IF(AND(7&gt;=7,7&lt;=7+Results_10yr!B28-1),Results_10yr!B29*I113*(1-Results_10yr!B33),0)</f>
        <v>12150000</v>
      </c>
      <c r="J114" s="147">
        <f>IF(AND(8&gt;=7,8&lt;=7+Results_10yr!B28-1),Results_10yr!B29*J113*(1-Results_10yr!B33),0)</f>
        <v>11350285.90760524</v>
      </c>
      <c r="K114" s="147">
        <f>IF(AND(9&gt;=7,9&lt;=7+Results_10yr!B28-1),Results_10yr!B29*K113*(1-Results_10yr!B33),0)</f>
        <v>10478597.546894951</v>
      </c>
      <c r="L114" s="147">
        <f>IF(AND(10&gt;=7,10&lt;=7+Results_10yr!B28-1),Results_10yr!B29*L113*(1-Results_10yr!B33),0)</f>
        <v>9528457.2337207366</v>
      </c>
    </row>
    <row r="115" spans="1:12">
      <c r="A115" s="148" t="s">
        <v>390</v>
      </c>
      <c r="C115" s="147">
        <f>IF(AND(1&gt;=7,1&lt;=7+Results_10yr!B28-1),(B113-Results_10yr!B29*C113)*(1-Results_10yr!B33),0)</f>
        <v>0</v>
      </c>
      <c r="D115" s="147">
        <f>IF(AND(2&gt;=7,2&lt;=7+Results_10yr!B28-1),(B113-Results_10yr!B29*D113)*(1-Results_10yr!B33),0)</f>
        <v>0</v>
      </c>
      <c r="E115" s="147">
        <f>IF(AND(3&gt;=7,3&lt;=7+Results_10yr!B28-1),(B113-Results_10yr!B29*E113)*(1-Results_10yr!B33),0)</f>
        <v>0</v>
      </c>
      <c r="F115" s="147">
        <f>IF(AND(4&gt;=7,4&lt;=7+Results_10yr!B28-1),(B113-Results_10yr!B29*F113)*(1-Results_10yr!B33),0)</f>
        <v>0</v>
      </c>
      <c r="G115" s="147">
        <f>IF(AND(5&gt;=7,5&lt;=7+Results_10yr!B28-1),(B113-Results_10yr!B29*G113)*(1-Results_10yr!B33),0)</f>
        <v>0</v>
      </c>
      <c r="H115" s="147">
        <f>IF(AND(6&gt;=7,6&lt;=7+Results_10yr!B28-1),(B113-Results_10yr!B29*H113)*(1-Results_10yr!B33),0)</f>
        <v>0</v>
      </c>
      <c r="I115" s="147">
        <f>IF(AND(7&gt;=7,7&lt;=7+Results_10yr!B28-1),(B113-Results_10yr!B29*I113)*(1-Results_10yr!B33),0)</f>
        <v>8885712.1377195604</v>
      </c>
      <c r="J115" s="147">
        <f>IF(AND(8&gt;=7,8&lt;=7+Results_10yr!B28-1),(B113-Results_10yr!B29*J113)*(1-Results_10yr!B33),0)</f>
        <v>9685426.2301143203</v>
      </c>
      <c r="K115" s="147">
        <f>IF(AND(9&gt;=7,9&lt;=7+Results_10yr!B28-1),(B113-Results_10yr!B29*K113)*(1-Results_10yr!B33),0)</f>
        <v>10557114.59082461</v>
      </c>
      <c r="L115" s="147">
        <f>IF(AND(10&gt;=7,10&lt;=7+Results_10yr!B28-1),(B113-Results_10yr!B29*L113)*(1-Results_10yr!B33),0)</f>
        <v>11507254.903998824</v>
      </c>
    </row>
    <row r="116" spans="1:12">
      <c r="A116" s="148" t="s">
        <v>391</v>
      </c>
      <c r="C116" s="147">
        <f>IF(AND(1&gt;=7,1&lt;=7+Results_10yr!B28-1),C113-(B113-Results_10yr!B29*C113),0)</f>
        <v>0</v>
      </c>
      <c r="D116" s="147">
        <f>IF(AND(2&gt;=7,2&lt;=7+Results_10yr!B28-1),D113-(B113-Results_10yr!B29*D113),0)</f>
        <v>0</v>
      </c>
      <c r="E116" s="147">
        <f>IF(AND(3&gt;=7,3&lt;=7+Results_10yr!B28-1),E113-(B113-Results_10yr!B29*E113),0)</f>
        <v>0</v>
      </c>
      <c r="F116" s="147">
        <f>IF(AND(4&gt;=7,4&lt;=7+Results_10yr!B28-1),F113-(B113-Results_10yr!B29*F113),0)</f>
        <v>0</v>
      </c>
      <c r="G116" s="147">
        <f>IF(AND(5&gt;=7,5&lt;=7+Results_10yr!B28-1),G113-(B113-Results_10yr!B29*G113),0)</f>
        <v>0</v>
      </c>
      <c r="H116" s="147">
        <f>IF(AND(6&gt;=7,6&lt;=7+Results_10yr!B28-1),H113-(B113-Results_10yr!B29*H113),0)</f>
        <v>0</v>
      </c>
      <c r="I116" s="147">
        <f>IF(AND(7&gt;=7,7&lt;=7+Results_10yr!B28-1),I113-(B113-Results_10yr!B29*I113),0)</f>
        <v>126114287.86228044</v>
      </c>
      <c r="J116" s="147">
        <f>IF(AND(8&gt;=7,8&lt;=7+Results_10yr!B28-1),J113-(B113-Results_10yr!B29*J113),0)</f>
        <v>116428861.63216612</v>
      </c>
      <c r="K116" s="147">
        <f>IF(AND(9&gt;=7,9&lt;=7+Results_10yr!B28-1),K113-(B113-Results_10yr!B29*K113),0)</f>
        <v>105871747.04134151</v>
      </c>
      <c r="L116" s="147">
        <f>IF(AND(10&gt;=7,10&lt;=7+Results_10yr!B28-1),L113-(B113-Results_10yr!B29*L113),0)</f>
        <v>94364492.137342691</v>
      </c>
    </row>
    <row r="117" spans="1:12">
      <c r="A117" s="148" t="s">
        <v>392</v>
      </c>
      <c r="B117" s="149">
        <f>IF(J85=0,0,-PMT(Results_10yr!B29,Results_10yr!B28,J85))</f>
        <v>2337301.3486355064</v>
      </c>
      <c r="C117" s="147">
        <f>IF(AND(1&gt;=8,1&lt;=8+Results_10yr!B28-1),IF(J85=0,0,B120),0)</f>
        <v>0</v>
      </c>
      <c r="D117" s="147">
        <f>IF(AND(2&gt;=8,2&lt;=8+Results_10yr!B28-1),IF(J85=0,0,C120),0)</f>
        <v>0</v>
      </c>
      <c r="E117" s="147">
        <f>IF(AND(3&gt;=8,3&lt;=8+Results_10yr!B28-1),IF(J85=0,0,D120),0)</f>
        <v>0</v>
      </c>
      <c r="F117" s="147">
        <f>IF(AND(4&gt;=8,4&lt;=8+Results_10yr!B28-1),IF(J85=0,0,E120),0)</f>
        <v>0</v>
      </c>
      <c r="G117" s="147">
        <f>IF(AND(5&gt;=8,5&lt;=8+Results_10yr!B28-1),IF(J85=0,0,F120),0)</f>
        <v>0</v>
      </c>
      <c r="H117" s="147">
        <f>IF(AND(6&gt;=8,6&lt;=8+Results_10yr!B28-1),IF(J85=0,0,G120),0)</f>
        <v>0</v>
      </c>
      <c r="I117" s="147">
        <f>IF(AND(7&gt;=8,7&lt;=8+Results_10yr!B28-1),IF(J85=0,0,H120),0)</f>
        <v>0</v>
      </c>
      <c r="J117" s="147">
        <f>IF(AND(8&gt;=8,8&lt;=8+Results_10yr!B28-1),IF(J85=0,0,J85),0)</f>
        <v>15000000</v>
      </c>
      <c r="K117" s="147">
        <f>IF(AND(9&gt;=8,9&lt;=8+Results_10yr!B28-1),IF(J85=0,0,J120),0)</f>
        <v>14012698.651364494</v>
      </c>
      <c r="L117" s="147">
        <f>IF(AND(10&gt;=8,10&lt;=8+Results_10yr!B28-1),IF(J85=0,0,K120),0)</f>
        <v>12936540.181351792</v>
      </c>
    </row>
    <row r="118" spans="1:12">
      <c r="A118" s="148" t="s">
        <v>393</v>
      </c>
      <c r="B118">
        <f>IF(C83="",0,0)</f>
        <v>0</v>
      </c>
      <c r="C118" s="147">
        <f>IF(AND(1&gt;=8,1&lt;=8+Results_10yr!B28-1),Results_10yr!B29*C117*(1-Results_10yr!B33),0)</f>
        <v>0</v>
      </c>
      <c r="D118" s="147">
        <f>IF(AND(2&gt;=8,2&lt;=8+Results_10yr!B28-1),Results_10yr!B29*D117*(1-Results_10yr!B33),0)</f>
        <v>0</v>
      </c>
      <c r="E118" s="147">
        <f>IF(AND(3&gt;=8,3&lt;=8+Results_10yr!B28-1),Results_10yr!B29*E117*(1-Results_10yr!B33),0)</f>
        <v>0</v>
      </c>
      <c r="F118" s="147">
        <f>IF(AND(4&gt;=8,4&lt;=8+Results_10yr!B28-1),Results_10yr!B29*F117*(1-Results_10yr!B33),0)</f>
        <v>0</v>
      </c>
      <c r="G118" s="147">
        <f>IF(AND(5&gt;=8,5&lt;=8+Results_10yr!B28-1),Results_10yr!B29*G117*(1-Results_10yr!B33),0)</f>
        <v>0</v>
      </c>
      <c r="H118" s="147">
        <f>IF(AND(6&gt;=8,6&lt;=8+Results_10yr!B28-1),Results_10yr!B29*H117*(1-Results_10yr!B33),0)</f>
        <v>0</v>
      </c>
      <c r="I118" s="147">
        <f>IF(AND(7&gt;=8,7&lt;=8+Results_10yr!B28-1),Results_10yr!B29*I117*(1-Results_10yr!B33),0)</f>
        <v>0</v>
      </c>
      <c r="J118" s="147">
        <f>IF(AND(8&gt;=8,8&lt;=8+Results_10yr!B28-1),Results_10yr!B29*J117*(1-Results_10yr!B33),0)</f>
        <v>1350000</v>
      </c>
      <c r="K118" s="147">
        <f>IF(AND(9&gt;=8,9&lt;=8+Results_10yr!B28-1),Results_10yr!B29*K117*(1-Results_10yr!B33),0)</f>
        <v>1261142.8786228045</v>
      </c>
      <c r="L118" s="147">
        <f>IF(AND(10&gt;=8,10&lt;=8+Results_10yr!B28-1),Results_10yr!B29*L117*(1-Results_10yr!B33),0)</f>
        <v>1164288.6163216613</v>
      </c>
    </row>
    <row r="119" spans="1:12">
      <c r="A119" s="148" t="s">
        <v>394</v>
      </c>
      <c r="C119" s="147">
        <f>IF(AND(1&gt;=8,1&lt;=8+Results_10yr!B28-1),(B117-Results_10yr!B29*C117)*(1-Results_10yr!B33),0)</f>
        <v>0</v>
      </c>
      <c r="D119" s="147">
        <f>IF(AND(2&gt;=8,2&lt;=8+Results_10yr!B28-1),(B117-Results_10yr!B29*D117)*(1-Results_10yr!B33),0)</f>
        <v>0</v>
      </c>
      <c r="E119" s="147">
        <f>IF(AND(3&gt;=8,3&lt;=8+Results_10yr!B28-1),(B117-Results_10yr!B29*E117)*(1-Results_10yr!B33),0)</f>
        <v>0</v>
      </c>
      <c r="F119" s="147">
        <f>IF(AND(4&gt;=8,4&lt;=8+Results_10yr!B28-1),(B117-Results_10yr!B29*F117)*(1-Results_10yr!B33),0)</f>
        <v>0</v>
      </c>
      <c r="G119" s="147">
        <f>IF(AND(5&gt;=8,5&lt;=8+Results_10yr!B28-1),(B117-Results_10yr!B29*G117)*(1-Results_10yr!B33),0)</f>
        <v>0</v>
      </c>
      <c r="H119" s="147">
        <f>IF(AND(6&gt;=8,6&lt;=8+Results_10yr!B28-1),(B117-Results_10yr!B29*H117)*(1-Results_10yr!B33),0)</f>
        <v>0</v>
      </c>
      <c r="I119" s="147">
        <f>IF(AND(7&gt;=8,7&lt;=8+Results_10yr!B28-1),(B117-Results_10yr!B29*I117)*(1-Results_10yr!B33),0)</f>
        <v>0</v>
      </c>
      <c r="J119" s="147">
        <f>IF(AND(8&gt;=8,8&lt;=8+Results_10yr!B28-1),(B117-Results_10yr!B29*J117)*(1-Results_10yr!B33),0)</f>
        <v>987301.34863550635</v>
      </c>
      <c r="K119" s="147">
        <f>IF(AND(9&gt;=8,9&lt;=8+Results_10yr!B28-1),(B117-Results_10yr!B29*K117)*(1-Results_10yr!B33),0)</f>
        <v>1076158.4700127018</v>
      </c>
      <c r="L119" s="147">
        <f>IF(AND(10&gt;=8,10&lt;=8+Results_10yr!B28-1),(B117-Results_10yr!B29*L117)*(1-Results_10yr!B33),0)</f>
        <v>1173012.7323138451</v>
      </c>
    </row>
    <row r="120" spans="1:12">
      <c r="A120" s="148" t="s">
        <v>395</v>
      </c>
      <c r="C120" s="147">
        <f>IF(AND(1&gt;=8,1&lt;=8+Results_10yr!B28-1),C117-(B117-Results_10yr!B29*C117),0)</f>
        <v>0</v>
      </c>
      <c r="D120" s="147">
        <f>IF(AND(2&gt;=8,2&lt;=8+Results_10yr!B28-1),D117-(B117-Results_10yr!B29*D117),0)</f>
        <v>0</v>
      </c>
      <c r="E120" s="147">
        <f>IF(AND(3&gt;=8,3&lt;=8+Results_10yr!B28-1),E117-(B117-Results_10yr!B29*E117),0)</f>
        <v>0</v>
      </c>
      <c r="F120" s="147">
        <f>IF(AND(4&gt;=8,4&lt;=8+Results_10yr!B28-1),F117-(B117-Results_10yr!B29*F117),0)</f>
        <v>0</v>
      </c>
      <c r="G120" s="147">
        <f>IF(AND(5&gt;=8,5&lt;=8+Results_10yr!B28-1),G117-(B117-Results_10yr!B29*G117),0)</f>
        <v>0</v>
      </c>
      <c r="H120" s="147">
        <f>IF(AND(6&gt;=8,6&lt;=8+Results_10yr!B28-1),H117-(B117-Results_10yr!B29*H117),0)</f>
        <v>0</v>
      </c>
      <c r="I120" s="147">
        <f>IF(AND(7&gt;=8,7&lt;=8+Results_10yr!B28-1),I117-(B117-Results_10yr!B29*I117),0)</f>
        <v>0</v>
      </c>
      <c r="J120" s="147">
        <f>IF(AND(8&gt;=8,8&lt;=8+Results_10yr!B28-1),J117-(B117-Results_10yr!B29*J117),0)</f>
        <v>14012698.651364494</v>
      </c>
      <c r="K120" s="147">
        <f>IF(AND(9&gt;=8,9&lt;=8+Results_10yr!B28-1),K117-(B117-Results_10yr!B29*K117),0)</f>
        <v>12936540.181351792</v>
      </c>
      <c r="L120" s="147">
        <f>IF(AND(10&gt;=8,10&lt;=8+Results_10yr!B28-1),L117-(B117-Results_10yr!B29*L117),0)</f>
        <v>11763527.449037947</v>
      </c>
    </row>
    <row r="121" spans="1:12">
      <c r="A121" s="148" t="s">
        <v>396</v>
      </c>
      <c r="B121" s="149">
        <f>IF(K85=0,0,-PMT(Results_10yr!B29,Results_10yr!B28,K85))</f>
        <v>0</v>
      </c>
      <c r="C121" s="147">
        <f>IF(AND(1&gt;=9,1&lt;=9+Results_10yr!B28-1),IF(K85=0,0,B124),0)</f>
        <v>0</v>
      </c>
      <c r="D121" s="147">
        <f>IF(AND(2&gt;=9,2&lt;=9+Results_10yr!B28-1),IF(K85=0,0,C124),0)</f>
        <v>0</v>
      </c>
      <c r="E121" s="147">
        <f>IF(AND(3&gt;=9,3&lt;=9+Results_10yr!B28-1),IF(K85=0,0,D124),0)</f>
        <v>0</v>
      </c>
      <c r="F121" s="147">
        <f>IF(AND(4&gt;=9,4&lt;=9+Results_10yr!B28-1),IF(K85=0,0,E124),0)</f>
        <v>0</v>
      </c>
      <c r="G121" s="147">
        <f>IF(AND(5&gt;=9,5&lt;=9+Results_10yr!B28-1),IF(K85=0,0,F124),0)</f>
        <v>0</v>
      </c>
      <c r="H121" s="147">
        <f>IF(AND(6&gt;=9,6&lt;=9+Results_10yr!B28-1),IF(K85=0,0,G124),0)</f>
        <v>0</v>
      </c>
      <c r="I121" s="147">
        <f>IF(AND(7&gt;=9,7&lt;=9+Results_10yr!B28-1),IF(K85=0,0,H124),0)</f>
        <v>0</v>
      </c>
      <c r="J121" s="147">
        <f>IF(AND(8&gt;=9,8&lt;=9+Results_10yr!B28-1),IF(K85=0,0,I124),0)</f>
        <v>0</v>
      </c>
      <c r="K121" s="147">
        <f>IF(AND(9&gt;=9,9&lt;=9+Results_10yr!B28-1),IF(K85=0,0,K85),0)</f>
        <v>0</v>
      </c>
      <c r="L121" s="147">
        <f>IF(AND(10&gt;=9,10&lt;=9+Results_10yr!B28-1),IF(K85=0,0,K124),0)</f>
        <v>0</v>
      </c>
    </row>
    <row r="122" spans="1:12">
      <c r="A122" s="148" t="s">
        <v>397</v>
      </c>
      <c r="B122">
        <f>IF(C83="",0,0)</f>
        <v>0</v>
      </c>
      <c r="C122" s="147">
        <f>IF(AND(1&gt;=9,1&lt;=9+Results_10yr!B28-1),Results_10yr!B29*C121*(1-Results_10yr!B33),0)</f>
        <v>0</v>
      </c>
      <c r="D122" s="147">
        <f>IF(AND(2&gt;=9,2&lt;=9+Results_10yr!B28-1),Results_10yr!B29*D121*(1-Results_10yr!B33),0)</f>
        <v>0</v>
      </c>
      <c r="E122" s="147">
        <f>IF(AND(3&gt;=9,3&lt;=9+Results_10yr!B28-1),Results_10yr!B29*E121*(1-Results_10yr!B33),0)</f>
        <v>0</v>
      </c>
      <c r="F122" s="147">
        <f>IF(AND(4&gt;=9,4&lt;=9+Results_10yr!B28-1),Results_10yr!B29*F121*(1-Results_10yr!B33),0)</f>
        <v>0</v>
      </c>
      <c r="G122" s="147">
        <f>IF(AND(5&gt;=9,5&lt;=9+Results_10yr!B28-1),Results_10yr!B29*G121*(1-Results_10yr!B33),0)</f>
        <v>0</v>
      </c>
      <c r="H122" s="147">
        <f>IF(AND(6&gt;=9,6&lt;=9+Results_10yr!B28-1),Results_10yr!B29*H121*(1-Results_10yr!B33),0)</f>
        <v>0</v>
      </c>
      <c r="I122" s="147">
        <f>IF(AND(7&gt;=9,7&lt;=9+Results_10yr!B28-1),Results_10yr!B29*I121*(1-Results_10yr!B33),0)</f>
        <v>0</v>
      </c>
      <c r="J122" s="147">
        <f>IF(AND(8&gt;=9,8&lt;=9+Results_10yr!B28-1),Results_10yr!B29*J121*(1-Results_10yr!B33),0)</f>
        <v>0</v>
      </c>
      <c r="K122" s="147">
        <f>IF(AND(9&gt;=9,9&lt;=9+Results_10yr!B28-1),Results_10yr!B29*K121*(1-Results_10yr!B33),0)</f>
        <v>0</v>
      </c>
      <c r="L122" s="147">
        <f>IF(AND(10&gt;=9,10&lt;=9+Results_10yr!B28-1),Results_10yr!B29*L121*(1-Results_10yr!B33),0)</f>
        <v>0</v>
      </c>
    </row>
    <row r="123" spans="1:12">
      <c r="A123" s="148" t="s">
        <v>398</v>
      </c>
      <c r="C123" s="147">
        <f>IF(AND(1&gt;=9,1&lt;=9+Results_10yr!B28-1),(B121-Results_10yr!B29*C121)*(1-Results_10yr!B33),0)</f>
        <v>0</v>
      </c>
      <c r="D123" s="147">
        <f>IF(AND(2&gt;=9,2&lt;=9+Results_10yr!B28-1),(B121-Results_10yr!B29*D121)*(1-Results_10yr!B33),0)</f>
        <v>0</v>
      </c>
      <c r="E123" s="147">
        <f>IF(AND(3&gt;=9,3&lt;=9+Results_10yr!B28-1),(B121-Results_10yr!B29*E121)*(1-Results_10yr!B33),0)</f>
        <v>0</v>
      </c>
      <c r="F123" s="147">
        <f>IF(AND(4&gt;=9,4&lt;=9+Results_10yr!B28-1),(B121-Results_10yr!B29*F121)*(1-Results_10yr!B33),0)</f>
        <v>0</v>
      </c>
      <c r="G123" s="147">
        <f>IF(AND(5&gt;=9,5&lt;=9+Results_10yr!B28-1),(B121-Results_10yr!B29*G121)*(1-Results_10yr!B33),0)</f>
        <v>0</v>
      </c>
      <c r="H123" s="147">
        <f>IF(AND(6&gt;=9,6&lt;=9+Results_10yr!B28-1),(B121-Results_10yr!B29*H121)*(1-Results_10yr!B33),0)</f>
        <v>0</v>
      </c>
      <c r="I123" s="147">
        <f>IF(AND(7&gt;=9,7&lt;=9+Results_10yr!B28-1),(B121-Results_10yr!B29*I121)*(1-Results_10yr!B33),0)</f>
        <v>0</v>
      </c>
      <c r="J123" s="147">
        <f>IF(AND(8&gt;=9,8&lt;=9+Results_10yr!B28-1),(B121-Results_10yr!B29*J121)*(1-Results_10yr!B33),0)</f>
        <v>0</v>
      </c>
      <c r="K123" s="147">
        <f>IF(AND(9&gt;=9,9&lt;=9+Results_10yr!B28-1),(B121-Results_10yr!B29*K121)*(1-Results_10yr!B33),0)</f>
        <v>0</v>
      </c>
      <c r="L123" s="147">
        <f>IF(AND(10&gt;=9,10&lt;=9+Results_10yr!B28-1),(B121-Results_10yr!B29*L121)*(1-Results_10yr!B33),0)</f>
        <v>0</v>
      </c>
    </row>
    <row r="124" spans="1:12">
      <c r="A124" s="148" t="s">
        <v>399</v>
      </c>
      <c r="C124" s="147">
        <f>IF(AND(1&gt;=9,1&lt;=9+Results_10yr!B28-1),C121-(B121-Results_10yr!B29*C121),0)</f>
        <v>0</v>
      </c>
      <c r="D124" s="147">
        <f>IF(AND(2&gt;=9,2&lt;=9+Results_10yr!B28-1),D121-(B121-Results_10yr!B29*D121),0)</f>
        <v>0</v>
      </c>
      <c r="E124" s="147">
        <f>IF(AND(3&gt;=9,3&lt;=9+Results_10yr!B28-1),E121-(B121-Results_10yr!B29*E121),0)</f>
        <v>0</v>
      </c>
      <c r="F124" s="147">
        <f>IF(AND(4&gt;=9,4&lt;=9+Results_10yr!B28-1),F121-(B121-Results_10yr!B29*F121),0)</f>
        <v>0</v>
      </c>
      <c r="G124" s="147">
        <f>IF(AND(5&gt;=9,5&lt;=9+Results_10yr!B28-1),G121-(B121-Results_10yr!B29*G121),0)</f>
        <v>0</v>
      </c>
      <c r="H124" s="147">
        <f>IF(AND(6&gt;=9,6&lt;=9+Results_10yr!B28-1),H121-(B121-Results_10yr!B29*H121),0)</f>
        <v>0</v>
      </c>
      <c r="I124" s="147">
        <f>IF(AND(7&gt;=9,7&lt;=9+Results_10yr!B28-1),I121-(B121-Results_10yr!B29*I121),0)</f>
        <v>0</v>
      </c>
      <c r="J124" s="147">
        <f>IF(AND(8&gt;=9,8&lt;=9+Results_10yr!B28-1),J121-(B121-Results_10yr!B29*J121),0)</f>
        <v>0</v>
      </c>
      <c r="K124" s="147">
        <f>IF(AND(9&gt;=9,9&lt;=9+Results_10yr!B28-1),K121-(B121-Results_10yr!B29*K121),0)</f>
        <v>0</v>
      </c>
      <c r="L124" s="147">
        <f>IF(AND(10&gt;=9,10&lt;=9+Results_10yr!B28-1),L121-(B121-Results_10yr!B29*L121),0)</f>
        <v>0</v>
      </c>
    </row>
    <row r="125" spans="1:12">
      <c r="A125" s="148" t="s">
        <v>400</v>
      </c>
      <c r="B125" s="149">
        <f>IF(L85=0,0,-PMT(Results_10yr!B29,Results_10yr!B28,L85))</f>
        <v>0</v>
      </c>
      <c r="C125" s="147">
        <f>IF(AND(1&gt;=10,1&lt;=10+Results_10yr!B28-1),IF(L85=0,0,B128),0)</f>
        <v>0</v>
      </c>
      <c r="D125" s="147">
        <f>IF(AND(2&gt;=10,2&lt;=10+Results_10yr!B28-1),IF(L85=0,0,C128),0)</f>
        <v>0</v>
      </c>
      <c r="E125" s="147">
        <f>IF(AND(3&gt;=10,3&lt;=10+Results_10yr!B28-1),IF(L85=0,0,D128),0)</f>
        <v>0</v>
      </c>
      <c r="F125" s="147">
        <f>IF(AND(4&gt;=10,4&lt;=10+Results_10yr!B28-1),IF(L85=0,0,E128),0)</f>
        <v>0</v>
      </c>
      <c r="G125" s="147">
        <f>IF(AND(5&gt;=10,5&lt;=10+Results_10yr!B28-1),IF(L85=0,0,F128),0)</f>
        <v>0</v>
      </c>
      <c r="H125" s="147">
        <f>IF(AND(6&gt;=10,6&lt;=10+Results_10yr!B28-1),IF(L85=0,0,G128),0)</f>
        <v>0</v>
      </c>
      <c r="I125" s="147">
        <f>IF(AND(7&gt;=10,7&lt;=10+Results_10yr!B28-1),IF(L85=0,0,H128),0)</f>
        <v>0</v>
      </c>
      <c r="J125" s="147">
        <f>IF(AND(8&gt;=10,8&lt;=10+Results_10yr!B28-1),IF(L85=0,0,I128),0)</f>
        <v>0</v>
      </c>
      <c r="K125" s="147">
        <f>IF(AND(9&gt;=10,9&lt;=10+Results_10yr!B28-1),IF(L85=0,0,J128),0)</f>
        <v>0</v>
      </c>
      <c r="L125" s="147">
        <f>IF(AND(10&gt;=10,10&lt;=10+Results_10yr!B28-1),IF(L85=0,0,L85),0)</f>
        <v>0</v>
      </c>
    </row>
    <row r="126" spans="1:12">
      <c r="A126" s="148" t="s">
        <v>401</v>
      </c>
      <c r="B126">
        <f>IF(C83="",0,0)</f>
        <v>0</v>
      </c>
      <c r="C126" s="147">
        <f>IF(AND(1&gt;=10,1&lt;=10+Results_10yr!B28-1),Results_10yr!B29*C125*(1-Results_10yr!B33),0)</f>
        <v>0</v>
      </c>
      <c r="D126" s="147">
        <f>IF(AND(2&gt;=10,2&lt;=10+Results_10yr!B28-1),Results_10yr!B29*D125*(1-Results_10yr!B33),0)</f>
        <v>0</v>
      </c>
      <c r="E126" s="147">
        <f>IF(AND(3&gt;=10,3&lt;=10+Results_10yr!B28-1),Results_10yr!B29*E125*(1-Results_10yr!B33),0)</f>
        <v>0</v>
      </c>
      <c r="F126" s="147">
        <f>IF(AND(4&gt;=10,4&lt;=10+Results_10yr!B28-1),Results_10yr!B29*F125*(1-Results_10yr!B33),0)</f>
        <v>0</v>
      </c>
      <c r="G126" s="147">
        <f>IF(AND(5&gt;=10,5&lt;=10+Results_10yr!B28-1),Results_10yr!B29*G125*(1-Results_10yr!B33),0)</f>
        <v>0</v>
      </c>
      <c r="H126" s="147">
        <f>IF(AND(6&gt;=10,6&lt;=10+Results_10yr!B28-1),Results_10yr!B29*H125*(1-Results_10yr!B33),0)</f>
        <v>0</v>
      </c>
      <c r="I126" s="147">
        <f>IF(AND(7&gt;=10,7&lt;=10+Results_10yr!B28-1),Results_10yr!B29*I125*(1-Results_10yr!B33),0)</f>
        <v>0</v>
      </c>
      <c r="J126" s="147">
        <f>IF(AND(8&gt;=10,8&lt;=10+Results_10yr!B28-1),Results_10yr!B29*J125*(1-Results_10yr!B33),0)</f>
        <v>0</v>
      </c>
      <c r="K126" s="147">
        <f>IF(AND(9&gt;=10,9&lt;=10+Results_10yr!B28-1),Results_10yr!B29*K125*(1-Results_10yr!B33),0)</f>
        <v>0</v>
      </c>
      <c r="L126" s="147">
        <f>IF(AND(10&gt;=10,10&lt;=10+Results_10yr!B28-1),Results_10yr!B29*L125*(1-Results_10yr!B33),0)</f>
        <v>0</v>
      </c>
    </row>
    <row r="127" spans="1:12">
      <c r="A127" s="148" t="s">
        <v>402</v>
      </c>
      <c r="C127" s="147">
        <f>IF(AND(1&gt;=10,1&lt;=10+Results_10yr!B28-1),(B125-Results_10yr!B29*C125)*(1-Results_10yr!B33),0)</f>
        <v>0</v>
      </c>
      <c r="D127" s="147">
        <f>IF(AND(2&gt;=10,2&lt;=10+Results_10yr!B28-1),(B125-Results_10yr!B29*D125)*(1-Results_10yr!B33),0)</f>
        <v>0</v>
      </c>
      <c r="E127" s="147">
        <f>IF(AND(3&gt;=10,3&lt;=10+Results_10yr!B28-1),(B125-Results_10yr!B29*E125)*(1-Results_10yr!B33),0)</f>
        <v>0</v>
      </c>
      <c r="F127" s="147">
        <f>IF(AND(4&gt;=10,4&lt;=10+Results_10yr!B28-1),(B125-Results_10yr!B29*F125)*(1-Results_10yr!B33),0)</f>
        <v>0</v>
      </c>
      <c r="G127" s="147">
        <f>IF(AND(5&gt;=10,5&lt;=10+Results_10yr!B28-1),(B125-Results_10yr!B29*G125)*(1-Results_10yr!B33),0)</f>
        <v>0</v>
      </c>
      <c r="H127" s="147">
        <f>IF(AND(6&gt;=10,6&lt;=10+Results_10yr!B28-1),(B125-Results_10yr!B29*H125)*(1-Results_10yr!B33),0)</f>
        <v>0</v>
      </c>
      <c r="I127" s="147">
        <f>IF(AND(7&gt;=10,7&lt;=10+Results_10yr!B28-1),(B125-Results_10yr!B29*I125)*(1-Results_10yr!B33),0)</f>
        <v>0</v>
      </c>
      <c r="J127" s="147">
        <f>IF(AND(8&gt;=10,8&lt;=10+Results_10yr!B28-1),(B125-Results_10yr!B29*J125)*(1-Results_10yr!B33),0)</f>
        <v>0</v>
      </c>
      <c r="K127" s="147">
        <f>IF(AND(9&gt;=10,9&lt;=10+Results_10yr!B28-1),(B125-Results_10yr!B29*K125)*(1-Results_10yr!B33),0)</f>
        <v>0</v>
      </c>
      <c r="L127" s="147">
        <f>IF(AND(10&gt;=10,10&lt;=10+Results_10yr!B28-1),(B125-Results_10yr!B29*L125)*(1-Results_10yr!B33),0)</f>
        <v>0</v>
      </c>
    </row>
    <row r="128" spans="1:12">
      <c r="A128" s="148" t="s">
        <v>403</v>
      </c>
      <c r="C128" s="147">
        <f>IF(AND(1&gt;=10,1&lt;=10+Results_10yr!B28-1),C125-(B125-Results_10yr!B29*C125),0)</f>
        <v>0</v>
      </c>
      <c r="D128" s="147">
        <f>IF(AND(2&gt;=10,2&lt;=10+Results_10yr!B28-1),D125-(B125-Results_10yr!B29*D125),0)</f>
        <v>0</v>
      </c>
      <c r="E128" s="147">
        <f>IF(AND(3&gt;=10,3&lt;=10+Results_10yr!B28-1),E125-(B125-Results_10yr!B29*E125),0)</f>
        <v>0</v>
      </c>
      <c r="F128" s="147">
        <f>IF(AND(4&gt;=10,4&lt;=10+Results_10yr!B28-1),F125-(B125-Results_10yr!B29*F125),0)</f>
        <v>0</v>
      </c>
      <c r="G128" s="147">
        <f>IF(AND(5&gt;=10,5&lt;=10+Results_10yr!B28-1),G125-(B125-Results_10yr!B29*G125),0)</f>
        <v>0</v>
      </c>
      <c r="H128" s="147">
        <f>IF(AND(6&gt;=10,6&lt;=10+Results_10yr!B28-1),H125-(B125-Results_10yr!B29*H125),0)</f>
        <v>0</v>
      </c>
      <c r="I128" s="147">
        <f>IF(AND(7&gt;=10,7&lt;=10+Results_10yr!B28-1),I125-(B125-Results_10yr!B29*I125),0)</f>
        <v>0</v>
      </c>
      <c r="J128" s="147">
        <f>IF(AND(8&gt;=10,8&lt;=10+Results_10yr!B28-1),J125-(B125-Results_10yr!B29*J125),0)</f>
        <v>0</v>
      </c>
      <c r="K128" s="147">
        <f>IF(AND(9&gt;=10,9&lt;=10+Results_10yr!B28-1),K125-(B125-Results_10yr!B29*K125),0)</f>
        <v>0</v>
      </c>
      <c r="L128" s="147">
        <f>IF(AND(10&gt;=10,10&lt;=10+Results_10yr!B28-1),L125-(B125-Results_10yr!B29*L125),0)</f>
        <v>0</v>
      </c>
    </row>
    <row r="130" spans="1:122">
      <c r="A130" s="243" t="s">
        <v>404</v>
      </c>
      <c r="B130" s="198"/>
      <c r="C130" s="198"/>
      <c r="D130" s="198"/>
      <c r="E130" s="198"/>
      <c r="F130" s="198"/>
      <c r="G130" s="198"/>
      <c r="H130" s="198"/>
      <c r="I130" s="198"/>
      <c r="J130" s="198"/>
      <c r="K130" s="198"/>
      <c r="L130" s="198"/>
      <c r="M130" s="198"/>
      <c r="N130" s="198"/>
    </row>
    <row r="131" spans="1:122">
      <c r="A131" s="142" t="s">
        <v>405</v>
      </c>
      <c r="C131" s="147">
        <f t="shared" ref="C131:L131" si="172">C89+C93+C97+C101+C105+C109+C113+C117+C121+C125</f>
        <v>0</v>
      </c>
      <c r="D131" s="147">
        <f t="shared" si="172"/>
        <v>0</v>
      </c>
      <c r="E131" s="147">
        <f t="shared" si="172"/>
        <v>0</v>
      </c>
      <c r="F131" s="147">
        <f t="shared" si="172"/>
        <v>0</v>
      </c>
      <c r="G131" s="147">
        <f t="shared" si="172"/>
        <v>120000000.00000003</v>
      </c>
      <c r="H131" s="147">
        <f t="shared" si="172"/>
        <v>292101589.21091598</v>
      </c>
      <c r="I131" s="147">
        <f t="shared" si="172"/>
        <v>406644705.26718825</v>
      </c>
      <c r="J131" s="147">
        <f t="shared" si="172"/>
        <v>390460989.63080549</v>
      </c>
      <c r="K131" s="147">
        <f t="shared" si="172"/>
        <v>355483438.23851281</v>
      </c>
      <c r="L131" s="147">
        <f t="shared" si="172"/>
        <v>317357907.22091377</v>
      </c>
    </row>
    <row r="132" spans="1:122">
      <c r="A132" s="142" t="s">
        <v>406</v>
      </c>
      <c r="C132" s="147">
        <f t="shared" ref="C132:L132" si="173">C90+C94+C98+C102+C106+C110+C114+C118+C122+C126</f>
        <v>0</v>
      </c>
      <c r="D132" s="147">
        <f t="shared" si="173"/>
        <v>0</v>
      </c>
      <c r="E132" s="147">
        <f t="shared" si="173"/>
        <v>0</v>
      </c>
      <c r="F132" s="147">
        <f t="shared" si="173"/>
        <v>0</v>
      </c>
      <c r="G132" s="147">
        <f t="shared" si="173"/>
        <v>10800000.000000002</v>
      </c>
      <c r="H132" s="147">
        <f t="shared" si="173"/>
        <v>26289143.028982438</v>
      </c>
      <c r="I132" s="147">
        <f t="shared" si="173"/>
        <v>36598023.474046946</v>
      </c>
      <c r="J132" s="147">
        <f t="shared" si="173"/>
        <v>35141489.066772498</v>
      </c>
      <c r="K132" s="147">
        <f t="shared" si="173"/>
        <v>31993509.441466149</v>
      </c>
      <c r="L132" s="147">
        <f t="shared" si="173"/>
        <v>28562211.649882235</v>
      </c>
    </row>
    <row r="133" spans="1:122">
      <c r="A133" s="142" t="s">
        <v>407</v>
      </c>
      <c r="C133" s="147">
        <f t="shared" ref="C133:L133" si="174">C91+C95+C99+C103+C107+C111+C115+C119+C123+C127</f>
        <v>0</v>
      </c>
      <c r="D133" s="147">
        <f t="shared" si="174"/>
        <v>0</v>
      </c>
      <c r="E133" s="147">
        <f t="shared" si="174"/>
        <v>0</v>
      </c>
      <c r="F133" s="147">
        <f t="shared" si="174"/>
        <v>0</v>
      </c>
      <c r="G133" s="147">
        <f t="shared" si="174"/>
        <v>7898410.7890840564</v>
      </c>
      <c r="H133" s="147">
        <f t="shared" si="174"/>
        <v>20456883.943727702</v>
      </c>
      <c r="I133" s="147">
        <f t="shared" si="174"/>
        <v>31183715.636382755</v>
      </c>
      <c r="J133" s="147">
        <f t="shared" si="174"/>
        <v>34977551.392292708</v>
      </c>
      <c r="K133" s="147">
        <f t="shared" si="174"/>
        <v>38125531.017599054</v>
      </c>
      <c r="L133" s="147">
        <f t="shared" si="174"/>
        <v>41556828.809182957</v>
      </c>
    </row>
    <row r="134" spans="1:122">
      <c r="A134" s="142" t="s">
        <v>408</v>
      </c>
      <c r="C134" s="147">
        <f t="shared" ref="C134:L134" si="175">C92+C96+C100+C104+C108+C112+C116+C120+C124+C128</f>
        <v>0</v>
      </c>
      <c r="D134" s="147">
        <f t="shared" si="175"/>
        <v>0</v>
      </c>
      <c r="E134" s="147">
        <f t="shared" si="175"/>
        <v>0</v>
      </c>
      <c r="F134" s="147">
        <f t="shared" si="175"/>
        <v>0</v>
      </c>
      <c r="G134" s="147">
        <f t="shared" si="175"/>
        <v>112101589.21091597</v>
      </c>
      <c r="H134" s="147">
        <f t="shared" si="175"/>
        <v>271644705.26718825</v>
      </c>
      <c r="I134" s="147">
        <f t="shared" si="175"/>
        <v>375460989.63080549</v>
      </c>
      <c r="J134" s="147">
        <f t="shared" si="175"/>
        <v>355483438.23851281</v>
      </c>
      <c r="K134" s="147">
        <f t="shared" si="175"/>
        <v>317357907.22091377</v>
      </c>
      <c r="L134" s="147">
        <f t="shared" si="175"/>
        <v>275801078.41173077</v>
      </c>
    </row>
    <row r="135" spans="1:122">
      <c r="A135" s="142" t="s">
        <v>409</v>
      </c>
      <c r="C135" s="147">
        <f t="shared" ref="C135:L135" si="176">C132+C133</f>
        <v>0</v>
      </c>
      <c r="D135" s="147">
        <f t="shared" si="176"/>
        <v>0</v>
      </c>
      <c r="E135" s="147">
        <f t="shared" si="176"/>
        <v>0</v>
      </c>
      <c r="F135" s="147">
        <f t="shared" si="176"/>
        <v>0</v>
      </c>
      <c r="G135" s="147">
        <f t="shared" si="176"/>
        <v>18698410.789084058</v>
      </c>
      <c r="H135" s="147">
        <f t="shared" si="176"/>
        <v>46746026.97271014</v>
      </c>
      <c r="I135" s="147">
        <f t="shared" si="176"/>
        <v>67781739.110429704</v>
      </c>
      <c r="J135" s="147">
        <f t="shared" si="176"/>
        <v>70119040.459065199</v>
      </c>
      <c r="K135" s="147">
        <f t="shared" si="176"/>
        <v>70119040.459065199</v>
      </c>
      <c r="L135" s="147">
        <f t="shared" si="176"/>
        <v>70119040.459065199</v>
      </c>
    </row>
    <row r="136" spans="1:122">
      <c r="A136" s="142" t="s">
        <v>410</v>
      </c>
      <c r="C136" s="147">
        <f>Results_10yr!B34*((C131+C134)/2)</f>
        <v>0</v>
      </c>
      <c r="D136" s="147">
        <f>Results_10yr!B34*((D131+D134)/2)</f>
        <v>0</v>
      </c>
      <c r="E136" s="147">
        <f>Results_10yr!B34*((E131+E134)/2)</f>
        <v>0</v>
      </c>
      <c r="F136" s="147">
        <f>Results_10yr!B34*((F131+F134)/2)</f>
        <v>0</v>
      </c>
      <c r="G136" s="147">
        <f>Results_10yr!B34*((G131+G134)/2)</f>
        <v>0</v>
      </c>
      <c r="H136" s="147">
        <f>Results_10yr!B34*((H131+H134)/2)</f>
        <v>0</v>
      </c>
      <c r="I136" s="147">
        <f>Results_10yr!B34*((I131+I134)/2)</f>
        <v>0</v>
      </c>
      <c r="J136" s="147">
        <f>Results_10yr!B34*((J131+J134)/2)</f>
        <v>0</v>
      </c>
      <c r="K136" s="147">
        <f>Results_10yr!B34*((K131+K134)/2)</f>
        <v>0</v>
      </c>
      <c r="L136" s="147">
        <f>Results_10yr!B34*((L131+L134)/2)</f>
        <v>0</v>
      </c>
    </row>
    <row r="137" spans="1:122">
      <c r="A137" s="142" t="s">
        <v>411</v>
      </c>
      <c r="C137" s="147">
        <f t="shared" ref="C137:K137" si="177">C135+C86-C85-C136</f>
        <v>0</v>
      </c>
      <c r="D137" s="147">
        <f t="shared" si="177"/>
        <v>0</v>
      </c>
      <c r="E137" s="147">
        <f t="shared" si="177"/>
        <v>0</v>
      </c>
      <c r="F137" s="147">
        <f t="shared" si="177"/>
        <v>0</v>
      </c>
      <c r="G137" s="147">
        <f t="shared" si="177"/>
        <v>-100101589.21091597</v>
      </c>
      <c r="H137" s="147">
        <f t="shared" si="177"/>
        <v>-131453973.02728987</v>
      </c>
      <c r="I137" s="147">
        <f t="shared" si="177"/>
        <v>-65868260.889570296</v>
      </c>
      <c r="J137" s="147">
        <f t="shared" si="177"/>
        <v>55269040.459065199</v>
      </c>
      <c r="K137" s="147">
        <f t="shared" si="177"/>
        <v>70119040.459065199</v>
      </c>
      <c r="L137" s="147">
        <f>L135+L86-L85-L136+Results_10yr!$B$36*L134</f>
        <v>345920118.87079597</v>
      </c>
    </row>
    <row r="138" spans="1:122">
      <c r="A138" s="142" t="s">
        <v>412</v>
      </c>
      <c r="B138" s="191"/>
      <c r="C138" s="192">
        <f>'Operational Phase'!E6</f>
        <v>0</v>
      </c>
      <c r="D138" s="192">
        <f>'Operational Phase'!F6</f>
        <v>0</v>
      </c>
      <c r="E138" s="192">
        <f>'Operational Phase'!G6</f>
        <v>0</v>
      </c>
      <c r="F138" s="192">
        <f>'Operational Phase'!H6</f>
        <v>0</v>
      </c>
      <c r="G138" s="192">
        <f>'Operational Phase'!I6</f>
        <v>0</v>
      </c>
      <c r="H138" s="192">
        <f>'Operational Phase'!J6</f>
        <v>0</v>
      </c>
      <c r="I138" s="192">
        <f>'Operational Phase'!K6</f>
        <v>0</v>
      </c>
      <c r="J138" s="192">
        <f>'Operational Phase'!L6</f>
        <v>0</v>
      </c>
      <c r="K138" s="192">
        <f>'Operational Phase'!M6</f>
        <v>0</v>
      </c>
      <c r="L138" s="192">
        <f>'Operational Phase'!N6</f>
        <v>0</v>
      </c>
      <c r="M138" s="192">
        <f>'Operational Phase'!O6</f>
        <v>0</v>
      </c>
      <c r="N138" s="192">
        <f>'Operational Phase'!P6</f>
        <v>0</v>
      </c>
      <c r="O138" s="192">
        <f>'Operational Phase'!Q6</f>
        <v>0</v>
      </c>
      <c r="P138" s="192">
        <f>'Operational Phase'!R6</f>
        <v>0</v>
      </c>
      <c r="Q138" s="192">
        <f>'Operational Phase'!S6</f>
        <v>0</v>
      </c>
      <c r="R138" s="192">
        <f>'Operational Phase'!T6</f>
        <v>0</v>
      </c>
      <c r="S138" s="192">
        <f>'Operational Phase'!U6</f>
        <v>0</v>
      </c>
      <c r="T138" s="192">
        <f>'Operational Phase'!V6</f>
        <v>0</v>
      </c>
      <c r="U138" s="192">
        <f>'Operational Phase'!W6</f>
        <v>0</v>
      </c>
      <c r="V138" s="192">
        <f>'Operational Phase'!X6</f>
        <v>0</v>
      </c>
      <c r="W138" s="192">
        <f>'Operational Phase'!Y6</f>
        <v>0</v>
      </c>
      <c r="X138" s="192">
        <f>'Operational Phase'!Z6</f>
        <v>0</v>
      </c>
      <c r="Y138" s="192">
        <f>'Operational Phase'!AA6</f>
        <v>0</v>
      </c>
      <c r="Z138" s="192">
        <f>'Operational Phase'!AB6</f>
        <v>0</v>
      </c>
      <c r="AA138" s="192">
        <f>'Operational Phase'!AC6</f>
        <v>0</v>
      </c>
      <c r="AB138" s="192">
        <f>'Operational Phase'!AD6</f>
        <v>0</v>
      </c>
      <c r="AC138" s="192">
        <f>'Operational Phase'!AE6</f>
        <v>0</v>
      </c>
      <c r="AD138" s="192">
        <f>'Operational Phase'!AF6</f>
        <v>0</v>
      </c>
      <c r="AE138" s="192">
        <f>'Operational Phase'!AG6</f>
        <v>0</v>
      </c>
      <c r="AF138" s="192">
        <f>'Operational Phase'!AH6</f>
        <v>0</v>
      </c>
      <c r="AG138" s="192">
        <f>'Operational Phase'!AI6</f>
        <v>0</v>
      </c>
      <c r="AH138" s="192">
        <f>'Operational Phase'!AJ6</f>
        <v>0</v>
      </c>
      <c r="AI138" s="192">
        <f>'Operational Phase'!AK6</f>
        <v>0</v>
      </c>
      <c r="AJ138" s="192">
        <f>'Operational Phase'!AL6</f>
        <v>0</v>
      </c>
      <c r="AK138" s="192">
        <f>'Operational Phase'!AM6</f>
        <v>0</v>
      </c>
      <c r="AL138" s="192">
        <f>'Operational Phase'!AN6</f>
        <v>0</v>
      </c>
      <c r="AM138" s="192">
        <f>'Operational Phase'!AO6</f>
        <v>0</v>
      </c>
      <c r="AN138" s="192">
        <f>'Operational Phase'!AP6</f>
        <v>0</v>
      </c>
      <c r="AO138" s="192">
        <f>'Operational Phase'!AQ6</f>
        <v>0</v>
      </c>
      <c r="AP138" s="192">
        <f>'Operational Phase'!AR6</f>
        <v>0</v>
      </c>
      <c r="AQ138" s="192">
        <f>'Operational Phase'!AS6</f>
        <v>0</v>
      </c>
      <c r="AR138" s="192">
        <f>'Operational Phase'!AT6</f>
        <v>0</v>
      </c>
      <c r="AS138" s="192">
        <f>'Operational Phase'!AU6</f>
        <v>0</v>
      </c>
      <c r="AT138" s="192">
        <f>'Operational Phase'!AV6</f>
        <v>0</v>
      </c>
      <c r="AU138" s="192">
        <f>'Operational Phase'!AW6</f>
        <v>0</v>
      </c>
      <c r="AV138" s="192">
        <f>'Operational Phase'!AX6</f>
        <v>0</v>
      </c>
      <c r="AW138" s="192">
        <f>'Operational Phase'!AY6</f>
        <v>0</v>
      </c>
      <c r="AX138" s="192">
        <f>'Operational Phase'!AZ6</f>
        <v>0</v>
      </c>
      <c r="AY138" s="192">
        <f>'Operational Phase'!BA6</f>
        <v>0</v>
      </c>
      <c r="AZ138" s="192">
        <f>'Operational Phase'!BB6</f>
        <v>0</v>
      </c>
      <c r="BA138" s="192">
        <f>'Operational Phase'!BC6</f>
        <v>0</v>
      </c>
      <c r="BB138" s="192">
        <f>'Operational Phase'!BD6</f>
        <v>58.333333333333343</v>
      </c>
      <c r="BC138" s="192">
        <f>'Operational Phase'!BE6</f>
        <v>66.666666666666671</v>
      </c>
      <c r="BD138" s="192">
        <f>'Operational Phase'!BF6</f>
        <v>75</v>
      </c>
      <c r="BE138" s="192">
        <f>'Operational Phase'!BG6</f>
        <v>83.333333333333329</v>
      </c>
      <c r="BF138" s="192">
        <f>'Operational Phase'!BH6</f>
        <v>91.666666666666657</v>
      </c>
      <c r="BG138" s="192">
        <f>'Operational Phase'!BI6</f>
        <v>99.999999999999986</v>
      </c>
      <c r="BH138" s="192">
        <f>'Operational Phase'!BJ6</f>
        <v>108.33333333333331</v>
      </c>
      <c r="BI138" s="192">
        <f>'Operational Phase'!BK6</f>
        <v>116.66666666666664</v>
      </c>
      <c r="BJ138" s="192">
        <f>'Operational Phase'!BL6</f>
        <v>124.99999999999997</v>
      </c>
      <c r="BK138" s="192">
        <f>'Operational Phase'!BM6</f>
        <v>133.33333333333331</v>
      </c>
      <c r="BL138" s="192">
        <f>'Operational Phase'!BN6</f>
        <v>141.66666666666666</v>
      </c>
      <c r="BM138" s="192">
        <f>'Operational Phase'!BO6</f>
        <v>150</v>
      </c>
      <c r="BN138" s="192">
        <f>'Operational Phase'!BP6</f>
        <v>150</v>
      </c>
      <c r="BO138" s="192">
        <f>'Operational Phase'!BQ6</f>
        <v>150</v>
      </c>
      <c r="BP138" s="192">
        <f>'Operational Phase'!BR6</f>
        <v>150</v>
      </c>
      <c r="BQ138" s="192">
        <f>'Operational Phase'!BS6</f>
        <v>150</v>
      </c>
      <c r="BR138" s="192">
        <f>'Operational Phase'!BT6</f>
        <v>150</v>
      </c>
      <c r="BS138" s="192">
        <f>'Operational Phase'!BU6</f>
        <v>150</v>
      </c>
      <c r="BT138" s="192">
        <f>'Operational Phase'!BV6</f>
        <v>150</v>
      </c>
      <c r="BU138" s="192">
        <f>'Operational Phase'!BW6</f>
        <v>150</v>
      </c>
      <c r="BV138" s="192">
        <f>'Operational Phase'!BX6</f>
        <v>150</v>
      </c>
      <c r="BW138" s="192">
        <f>'Operational Phase'!BY6</f>
        <v>150</v>
      </c>
      <c r="BX138" s="192">
        <f>'Operational Phase'!BZ6</f>
        <v>150</v>
      </c>
      <c r="BY138" s="192">
        <f>'Operational Phase'!CA6</f>
        <v>150</v>
      </c>
      <c r="BZ138" s="192">
        <f>'Operational Phase'!CB6</f>
        <v>150</v>
      </c>
      <c r="CA138" s="192">
        <f>'Operational Phase'!CC6</f>
        <v>150</v>
      </c>
      <c r="CB138" s="192">
        <f>'Operational Phase'!CD6</f>
        <v>150</v>
      </c>
      <c r="CC138" s="192">
        <f>'Operational Phase'!CE6</f>
        <v>150</v>
      </c>
      <c r="CD138" s="192">
        <f>'Operational Phase'!CF6</f>
        <v>150</v>
      </c>
      <c r="CE138" s="192">
        <f>'Operational Phase'!CG6</f>
        <v>150</v>
      </c>
      <c r="CF138" s="192">
        <f>'Operational Phase'!CH6</f>
        <v>150</v>
      </c>
      <c r="CG138" s="192">
        <f>'Operational Phase'!CI6</f>
        <v>150</v>
      </c>
      <c r="CH138" s="192">
        <f>'Operational Phase'!CJ6</f>
        <v>150</v>
      </c>
      <c r="CI138" s="192">
        <f>'Operational Phase'!CK6</f>
        <v>150</v>
      </c>
      <c r="CJ138" s="192">
        <f>'Operational Phase'!CL6</f>
        <v>150</v>
      </c>
      <c r="CK138" s="192">
        <f>'Operational Phase'!CM6</f>
        <v>150</v>
      </c>
      <c r="CL138" s="192">
        <f>'Operational Phase'!CN6</f>
        <v>150</v>
      </c>
      <c r="CM138" s="192">
        <f>'Operational Phase'!CO6</f>
        <v>150</v>
      </c>
      <c r="CN138" s="192">
        <f>'Operational Phase'!CP6</f>
        <v>150</v>
      </c>
      <c r="CO138" s="192">
        <f>'Operational Phase'!CQ6</f>
        <v>150</v>
      </c>
      <c r="CP138" s="192">
        <f>'Operational Phase'!CR6</f>
        <v>150</v>
      </c>
      <c r="CQ138" s="192">
        <f>'Operational Phase'!CS6</f>
        <v>150</v>
      </c>
      <c r="CR138" s="192">
        <f>'Operational Phase'!CT6</f>
        <v>150</v>
      </c>
      <c r="CS138" s="192">
        <f>'Operational Phase'!CU6</f>
        <v>150</v>
      </c>
      <c r="CT138" s="192">
        <f>'Operational Phase'!CV6</f>
        <v>150</v>
      </c>
      <c r="CU138" s="192">
        <f>'Operational Phase'!CW6</f>
        <v>150</v>
      </c>
      <c r="CV138" s="192">
        <f>'Operational Phase'!CX6</f>
        <v>150</v>
      </c>
      <c r="CW138" s="192">
        <f>'Operational Phase'!CY6</f>
        <v>150</v>
      </c>
      <c r="CX138" s="192">
        <f>'Operational Phase'!CZ6</f>
        <v>150</v>
      </c>
      <c r="CY138" s="192">
        <f>'Operational Phase'!DA6</f>
        <v>150</v>
      </c>
      <c r="CZ138" s="192">
        <f>'Operational Phase'!DB6</f>
        <v>150</v>
      </c>
      <c r="DA138" s="192">
        <f>'Operational Phase'!DC6</f>
        <v>150</v>
      </c>
      <c r="DB138" s="192">
        <f>'Operational Phase'!DD6</f>
        <v>150</v>
      </c>
      <c r="DC138" s="192">
        <f>'Operational Phase'!DE6</f>
        <v>150</v>
      </c>
      <c r="DD138" s="192">
        <f>'Operational Phase'!DF6</f>
        <v>150</v>
      </c>
      <c r="DE138" s="192">
        <f>'Operational Phase'!DG6</f>
        <v>150</v>
      </c>
      <c r="DF138" s="192">
        <f>'Operational Phase'!DH6</f>
        <v>150</v>
      </c>
      <c r="DG138" s="192">
        <f>'Operational Phase'!DI6</f>
        <v>150</v>
      </c>
      <c r="DH138" s="192">
        <f>'Operational Phase'!DJ6</f>
        <v>150</v>
      </c>
      <c r="DI138" s="192">
        <f>'Operational Phase'!DK6</f>
        <v>150</v>
      </c>
      <c r="DJ138" s="192">
        <f>'Operational Phase'!DL6</f>
        <v>150</v>
      </c>
      <c r="DK138" s="192">
        <f>'Operational Phase'!DM6</f>
        <v>150</v>
      </c>
      <c r="DL138" s="192">
        <f>'Operational Phase'!DN6</f>
        <v>150</v>
      </c>
      <c r="DM138" s="192">
        <f>'Operational Phase'!DO6</f>
        <v>150</v>
      </c>
      <c r="DN138" s="192">
        <f>'Operational Phase'!DP6</f>
        <v>150</v>
      </c>
      <c r="DO138" s="192">
        <f>'Operational Phase'!DQ6</f>
        <v>150</v>
      </c>
      <c r="DP138" s="192">
        <f>'Operational Phase'!DR6</f>
        <v>150</v>
      </c>
      <c r="DQ138" s="192">
        <f>'Operational Phase'!DS6</f>
        <v>150</v>
      </c>
      <c r="DR138" s="192">
        <f>'Operational Phase'!DT6</f>
        <v>150</v>
      </c>
    </row>
    <row r="139" spans="1:122">
      <c r="A139" s="142" t="s">
        <v>413</v>
      </c>
      <c r="B139" s="191"/>
      <c r="C139" s="192">
        <f t="shared" ref="C139:AH139" si="178">IF($C$10&lt;&gt;"Yes",0,IF(AND(C$3&gt;=$B$10,C$3&lt;=EOMONTH($B$10,119)),INDEX($C$138:$DR$138,1,12*(YEAR(C$3)-YEAR($B$10))+MONTH(C$3)-MONTH($B$10)+1),0))</f>
        <v>0</v>
      </c>
      <c r="D139" s="192">
        <f t="shared" si="178"/>
        <v>0</v>
      </c>
      <c r="E139" s="192">
        <f t="shared" si="178"/>
        <v>0</v>
      </c>
      <c r="F139" s="192">
        <f t="shared" si="178"/>
        <v>0</v>
      </c>
      <c r="G139" s="192">
        <f t="shared" si="178"/>
        <v>0</v>
      </c>
      <c r="H139" s="192">
        <f t="shared" si="178"/>
        <v>0</v>
      </c>
      <c r="I139" s="192">
        <f t="shared" si="178"/>
        <v>0</v>
      </c>
      <c r="J139" s="192">
        <f t="shared" si="178"/>
        <v>0</v>
      </c>
      <c r="K139" s="192">
        <f t="shared" si="178"/>
        <v>0</v>
      </c>
      <c r="L139" s="192">
        <f t="shared" si="178"/>
        <v>0</v>
      </c>
      <c r="M139" s="192">
        <f t="shared" si="178"/>
        <v>0</v>
      </c>
      <c r="N139" s="192">
        <f t="shared" si="178"/>
        <v>0</v>
      </c>
      <c r="O139" s="192">
        <f t="shared" si="178"/>
        <v>0</v>
      </c>
      <c r="P139" s="192">
        <f t="shared" si="178"/>
        <v>0</v>
      </c>
      <c r="Q139" s="192">
        <f t="shared" si="178"/>
        <v>0</v>
      </c>
      <c r="R139" s="192">
        <f t="shared" si="178"/>
        <v>0</v>
      </c>
      <c r="S139" s="192">
        <f t="shared" si="178"/>
        <v>0</v>
      </c>
      <c r="T139" s="192">
        <f t="shared" si="178"/>
        <v>0</v>
      </c>
      <c r="U139" s="192">
        <f t="shared" si="178"/>
        <v>0</v>
      </c>
      <c r="V139" s="192">
        <f t="shared" si="178"/>
        <v>0</v>
      </c>
      <c r="W139" s="192">
        <f t="shared" si="178"/>
        <v>0</v>
      </c>
      <c r="X139" s="192">
        <f t="shared" si="178"/>
        <v>0</v>
      </c>
      <c r="Y139" s="192">
        <f t="shared" si="178"/>
        <v>0</v>
      </c>
      <c r="Z139" s="192">
        <f t="shared" si="178"/>
        <v>0</v>
      </c>
      <c r="AA139" s="192">
        <f t="shared" si="178"/>
        <v>0</v>
      </c>
      <c r="AB139" s="192">
        <f t="shared" si="178"/>
        <v>0</v>
      </c>
      <c r="AC139" s="192">
        <f t="shared" si="178"/>
        <v>0</v>
      </c>
      <c r="AD139" s="192">
        <f t="shared" si="178"/>
        <v>0</v>
      </c>
      <c r="AE139" s="192">
        <f t="shared" si="178"/>
        <v>0</v>
      </c>
      <c r="AF139" s="192">
        <f t="shared" si="178"/>
        <v>0</v>
      </c>
      <c r="AG139" s="192">
        <f t="shared" si="178"/>
        <v>0</v>
      </c>
      <c r="AH139" s="192">
        <f t="shared" si="178"/>
        <v>0</v>
      </c>
      <c r="AI139" s="192">
        <f t="shared" ref="AI139:BN139" si="179">IF($C$10&lt;&gt;"Yes",0,IF(AND(AI$3&gt;=$B$10,AI$3&lt;=EOMONTH($B$10,119)),INDEX($C$138:$DR$138,1,12*(YEAR(AI$3)-YEAR($B$10))+MONTH(AI$3)-MONTH($B$10)+1),0))</f>
        <v>0</v>
      </c>
      <c r="AJ139" s="192">
        <f t="shared" si="179"/>
        <v>0</v>
      </c>
      <c r="AK139" s="192">
        <f t="shared" si="179"/>
        <v>0</v>
      </c>
      <c r="AL139" s="192">
        <f t="shared" si="179"/>
        <v>0</v>
      </c>
      <c r="AM139" s="192">
        <f t="shared" si="179"/>
        <v>0</v>
      </c>
      <c r="AN139" s="192">
        <f t="shared" si="179"/>
        <v>0</v>
      </c>
      <c r="AO139" s="192">
        <f t="shared" si="179"/>
        <v>0</v>
      </c>
      <c r="AP139" s="192">
        <f t="shared" si="179"/>
        <v>0</v>
      </c>
      <c r="AQ139" s="192">
        <f t="shared" si="179"/>
        <v>0</v>
      </c>
      <c r="AR139" s="192">
        <f t="shared" si="179"/>
        <v>0</v>
      </c>
      <c r="AS139" s="192">
        <f t="shared" si="179"/>
        <v>0</v>
      </c>
      <c r="AT139" s="192">
        <f t="shared" si="179"/>
        <v>0</v>
      </c>
      <c r="AU139" s="192">
        <f t="shared" si="179"/>
        <v>0</v>
      </c>
      <c r="AV139" s="192">
        <f t="shared" si="179"/>
        <v>0</v>
      </c>
      <c r="AW139" s="192">
        <f t="shared" si="179"/>
        <v>0</v>
      </c>
      <c r="AX139" s="192">
        <f t="shared" si="179"/>
        <v>0</v>
      </c>
      <c r="AY139" s="192">
        <f t="shared" si="179"/>
        <v>0</v>
      </c>
      <c r="AZ139" s="192">
        <f t="shared" si="179"/>
        <v>0</v>
      </c>
      <c r="BA139" s="192">
        <f t="shared" si="179"/>
        <v>0</v>
      </c>
      <c r="BB139" s="192">
        <f t="shared" si="179"/>
        <v>58.333333333333343</v>
      </c>
      <c r="BC139" s="192">
        <f t="shared" si="179"/>
        <v>66.666666666666671</v>
      </c>
      <c r="BD139" s="192">
        <f t="shared" si="179"/>
        <v>75</v>
      </c>
      <c r="BE139" s="192">
        <f t="shared" si="179"/>
        <v>83.333333333333329</v>
      </c>
      <c r="BF139" s="192">
        <f t="shared" si="179"/>
        <v>91.666666666666657</v>
      </c>
      <c r="BG139" s="192">
        <f t="shared" si="179"/>
        <v>99.999999999999986</v>
      </c>
      <c r="BH139" s="192">
        <f t="shared" si="179"/>
        <v>108.33333333333331</v>
      </c>
      <c r="BI139" s="192">
        <f t="shared" si="179"/>
        <v>116.66666666666664</v>
      </c>
      <c r="BJ139" s="192">
        <f t="shared" si="179"/>
        <v>124.99999999999997</v>
      </c>
      <c r="BK139" s="192">
        <f t="shared" si="179"/>
        <v>133.33333333333331</v>
      </c>
      <c r="BL139" s="192">
        <f t="shared" si="179"/>
        <v>141.66666666666666</v>
      </c>
      <c r="BM139" s="192">
        <f t="shared" si="179"/>
        <v>150</v>
      </c>
      <c r="BN139" s="192">
        <f t="shared" si="179"/>
        <v>150</v>
      </c>
      <c r="BO139" s="192">
        <f t="shared" ref="BO139:CT139" si="180">IF($C$10&lt;&gt;"Yes",0,IF(AND(BO$3&gt;=$B$10,BO$3&lt;=EOMONTH($B$10,119)),INDEX($C$138:$DR$138,1,12*(YEAR(BO$3)-YEAR($B$10))+MONTH(BO$3)-MONTH($B$10)+1),0))</f>
        <v>150</v>
      </c>
      <c r="BP139" s="192">
        <f t="shared" si="180"/>
        <v>150</v>
      </c>
      <c r="BQ139" s="192">
        <f t="shared" si="180"/>
        <v>150</v>
      </c>
      <c r="BR139" s="192">
        <f t="shared" si="180"/>
        <v>150</v>
      </c>
      <c r="BS139" s="192">
        <f t="shared" si="180"/>
        <v>150</v>
      </c>
      <c r="BT139" s="192">
        <f t="shared" si="180"/>
        <v>150</v>
      </c>
      <c r="BU139" s="192">
        <f t="shared" si="180"/>
        <v>150</v>
      </c>
      <c r="BV139" s="192">
        <f t="shared" si="180"/>
        <v>150</v>
      </c>
      <c r="BW139" s="192">
        <f t="shared" si="180"/>
        <v>150</v>
      </c>
      <c r="BX139" s="192">
        <f t="shared" si="180"/>
        <v>150</v>
      </c>
      <c r="BY139" s="192">
        <f t="shared" si="180"/>
        <v>150</v>
      </c>
      <c r="BZ139" s="192">
        <f t="shared" si="180"/>
        <v>150</v>
      </c>
      <c r="CA139" s="192">
        <f t="shared" si="180"/>
        <v>150</v>
      </c>
      <c r="CB139" s="192">
        <f t="shared" si="180"/>
        <v>150</v>
      </c>
      <c r="CC139" s="192">
        <f t="shared" si="180"/>
        <v>150</v>
      </c>
      <c r="CD139" s="192">
        <f t="shared" si="180"/>
        <v>150</v>
      </c>
      <c r="CE139" s="192">
        <f t="shared" si="180"/>
        <v>150</v>
      </c>
      <c r="CF139" s="192">
        <f t="shared" si="180"/>
        <v>150</v>
      </c>
      <c r="CG139" s="192">
        <f t="shared" si="180"/>
        <v>150</v>
      </c>
      <c r="CH139" s="192">
        <f t="shared" si="180"/>
        <v>150</v>
      </c>
      <c r="CI139" s="192">
        <f t="shared" si="180"/>
        <v>150</v>
      </c>
      <c r="CJ139" s="192">
        <f t="shared" si="180"/>
        <v>150</v>
      </c>
      <c r="CK139" s="192">
        <f t="shared" si="180"/>
        <v>150</v>
      </c>
      <c r="CL139" s="192">
        <f t="shared" si="180"/>
        <v>150</v>
      </c>
      <c r="CM139" s="192">
        <f t="shared" si="180"/>
        <v>150</v>
      </c>
      <c r="CN139" s="192">
        <f t="shared" si="180"/>
        <v>150</v>
      </c>
      <c r="CO139" s="192">
        <f t="shared" si="180"/>
        <v>150</v>
      </c>
      <c r="CP139" s="192">
        <f t="shared" si="180"/>
        <v>150</v>
      </c>
      <c r="CQ139" s="192">
        <f t="shared" si="180"/>
        <v>150</v>
      </c>
      <c r="CR139" s="192">
        <f t="shared" si="180"/>
        <v>150</v>
      </c>
      <c r="CS139" s="192">
        <f t="shared" si="180"/>
        <v>150</v>
      </c>
      <c r="CT139" s="192">
        <f t="shared" si="180"/>
        <v>150</v>
      </c>
      <c r="CU139" s="192">
        <f t="shared" ref="CU139:DR139" si="181">IF($C$10&lt;&gt;"Yes",0,IF(AND(CU$3&gt;=$B$10,CU$3&lt;=EOMONTH($B$10,119)),INDEX($C$138:$DR$138,1,12*(YEAR(CU$3)-YEAR($B$10))+MONTH(CU$3)-MONTH($B$10)+1),0))</f>
        <v>150</v>
      </c>
      <c r="CV139" s="192">
        <f t="shared" si="181"/>
        <v>150</v>
      </c>
      <c r="CW139" s="192">
        <f t="shared" si="181"/>
        <v>150</v>
      </c>
      <c r="CX139" s="192">
        <f t="shared" si="181"/>
        <v>150</v>
      </c>
      <c r="CY139" s="192">
        <f t="shared" si="181"/>
        <v>150</v>
      </c>
      <c r="CZ139" s="192">
        <f t="shared" si="181"/>
        <v>150</v>
      </c>
      <c r="DA139" s="192">
        <f t="shared" si="181"/>
        <v>150</v>
      </c>
      <c r="DB139" s="192">
        <f t="shared" si="181"/>
        <v>150</v>
      </c>
      <c r="DC139" s="192">
        <f t="shared" si="181"/>
        <v>150</v>
      </c>
      <c r="DD139" s="192">
        <f t="shared" si="181"/>
        <v>150</v>
      </c>
      <c r="DE139" s="192">
        <f t="shared" si="181"/>
        <v>150</v>
      </c>
      <c r="DF139" s="192">
        <f t="shared" si="181"/>
        <v>150</v>
      </c>
      <c r="DG139" s="192">
        <f t="shared" si="181"/>
        <v>150</v>
      </c>
      <c r="DH139" s="192">
        <f t="shared" si="181"/>
        <v>150</v>
      </c>
      <c r="DI139" s="192">
        <f t="shared" si="181"/>
        <v>150</v>
      </c>
      <c r="DJ139" s="192">
        <f t="shared" si="181"/>
        <v>150</v>
      </c>
      <c r="DK139" s="192">
        <f t="shared" si="181"/>
        <v>150</v>
      </c>
      <c r="DL139" s="192">
        <f t="shared" si="181"/>
        <v>150</v>
      </c>
      <c r="DM139" s="192">
        <f t="shared" si="181"/>
        <v>150</v>
      </c>
      <c r="DN139" s="192">
        <f t="shared" si="181"/>
        <v>150</v>
      </c>
      <c r="DO139" s="192">
        <f t="shared" si="181"/>
        <v>150</v>
      </c>
      <c r="DP139" s="192">
        <f t="shared" si="181"/>
        <v>150</v>
      </c>
      <c r="DQ139" s="192">
        <f t="shared" si="181"/>
        <v>150</v>
      </c>
      <c r="DR139" s="192">
        <f t="shared" si="181"/>
        <v>150</v>
      </c>
    </row>
    <row r="140" spans="1:122">
      <c r="A140" s="142" t="s">
        <v>414</v>
      </c>
      <c r="B140" s="191"/>
      <c r="C140" s="192">
        <f t="shared" ref="C140:AH140" si="182">IF($C$11&lt;&gt;"Yes",0,IF(AND(C$3&gt;=$B$11,C$3&lt;=EOMONTH($B$11,119)),INDEX($C$138:$DR$138,1,12*(YEAR(C$3)-YEAR($B$11))+MONTH(C$3)-MONTH($B$11)+1),0))</f>
        <v>0</v>
      </c>
      <c r="D140" s="192">
        <f t="shared" si="182"/>
        <v>0</v>
      </c>
      <c r="E140" s="192">
        <f t="shared" si="182"/>
        <v>0</v>
      </c>
      <c r="F140" s="192">
        <f t="shared" si="182"/>
        <v>0</v>
      </c>
      <c r="G140" s="192">
        <f t="shared" si="182"/>
        <v>0</v>
      </c>
      <c r="H140" s="192">
        <f t="shared" si="182"/>
        <v>0</v>
      </c>
      <c r="I140" s="192">
        <f t="shared" si="182"/>
        <v>0</v>
      </c>
      <c r="J140" s="192">
        <f t="shared" si="182"/>
        <v>0</v>
      </c>
      <c r="K140" s="192">
        <f t="shared" si="182"/>
        <v>0</v>
      </c>
      <c r="L140" s="192">
        <f t="shared" si="182"/>
        <v>0</v>
      </c>
      <c r="M140" s="192">
        <f t="shared" si="182"/>
        <v>0</v>
      </c>
      <c r="N140" s="192">
        <f t="shared" si="182"/>
        <v>0</v>
      </c>
      <c r="O140" s="192">
        <f t="shared" si="182"/>
        <v>0</v>
      </c>
      <c r="P140" s="192">
        <f t="shared" si="182"/>
        <v>0</v>
      </c>
      <c r="Q140" s="192">
        <f t="shared" si="182"/>
        <v>0</v>
      </c>
      <c r="R140" s="192">
        <f t="shared" si="182"/>
        <v>0</v>
      </c>
      <c r="S140" s="192">
        <f t="shared" si="182"/>
        <v>0</v>
      </c>
      <c r="T140" s="192">
        <f t="shared" si="182"/>
        <v>0</v>
      </c>
      <c r="U140" s="192">
        <f t="shared" si="182"/>
        <v>0</v>
      </c>
      <c r="V140" s="192">
        <f t="shared" si="182"/>
        <v>0</v>
      </c>
      <c r="W140" s="192">
        <f t="shared" si="182"/>
        <v>0</v>
      </c>
      <c r="X140" s="192">
        <f t="shared" si="182"/>
        <v>0</v>
      </c>
      <c r="Y140" s="192">
        <f t="shared" si="182"/>
        <v>0</v>
      </c>
      <c r="Z140" s="192">
        <f t="shared" si="182"/>
        <v>0</v>
      </c>
      <c r="AA140" s="192">
        <f t="shared" si="182"/>
        <v>0</v>
      </c>
      <c r="AB140" s="192">
        <f t="shared" si="182"/>
        <v>0</v>
      </c>
      <c r="AC140" s="192">
        <f t="shared" si="182"/>
        <v>0</v>
      </c>
      <c r="AD140" s="192">
        <f t="shared" si="182"/>
        <v>0</v>
      </c>
      <c r="AE140" s="192">
        <f t="shared" si="182"/>
        <v>0</v>
      </c>
      <c r="AF140" s="192">
        <f t="shared" si="182"/>
        <v>0</v>
      </c>
      <c r="AG140" s="192">
        <f t="shared" si="182"/>
        <v>0</v>
      </c>
      <c r="AH140" s="192">
        <f t="shared" si="182"/>
        <v>0</v>
      </c>
      <c r="AI140" s="192">
        <f t="shared" ref="AI140:BN140" si="183">IF($C$11&lt;&gt;"Yes",0,IF(AND(AI$3&gt;=$B$11,AI$3&lt;=EOMONTH($B$11,119)),INDEX($C$138:$DR$138,1,12*(YEAR(AI$3)-YEAR($B$11))+MONTH(AI$3)-MONTH($B$11)+1),0))</f>
        <v>0</v>
      </c>
      <c r="AJ140" s="192">
        <f t="shared" si="183"/>
        <v>0</v>
      </c>
      <c r="AK140" s="192">
        <f t="shared" si="183"/>
        <v>0</v>
      </c>
      <c r="AL140" s="192">
        <f t="shared" si="183"/>
        <v>0</v>
      </c>
      <c r="AM140" s="192">
        <f t="shared" si="183"/>
        <v>0</v>
      </c>
      <c r="AN140" s="192">
        <f t="shared" si="183"/>
        <v>0</v>
      </c>
      <c r="AO140" s="192">
        <f t="shared" si="183"/>
        <v>0</v>
      </c>
      <c r="AP140" s="192">
        <f t="shared" si="183"/>
        <v>0</v>
      </c>
      <c r="AQ140" s="192">
        <f t="shared" si="183"/>
        <v>0</v>
      </c>
      <c r="AR140" s="192">
        <f t="shared" si="183"/>
        <v>0</v>
      </c>
      <c r="AS140" s="192">
        <f t="shared" si="183"/>
        <v>0</v>
      </c>
      <c r="AT140" s="192">
        <f t="shared" si="183"/>
        <v>0</v>
      </c>
      <c r="AU140" s="192">
        <f t="shared" si="183"/>
        <v>0</v>
      </c>
      <c r="AV140" s="192">
        <f t="shared" si="183"/>
        <v>0</v>
      </c>
      <c r="AW140" s="192">
        <f t="shared" si="183"/>
        <v>0</v>
      </c>
      <c r="AX140" s="192">
        <f t="shared" si="183"/>
        <v>0</v>
      </c>
      <c r="AY140" s="192">
        <f t="shared" si="183"/>
        <v>0</v>
      </c>
      <c r="AZ140" s="192">
        <f t="shared" si="183"/>
        <v>0</v>
      </c>
      <c r="BA140" s="192">
        <f t="shared" si="183"/>
        <v>0</v>
      </c>
      <c r="BB140" s="192">
        <f t="shared" si="183"/>
        <v>0</v>
      </c>
      <c r="BC140" s="192">
        <f t="shared" si="183"/>
        <v>0</v>
      </c>
      <c r="BD140" s="192">
        <f t="shared" si="183"/>
        <v>0</v>
      </c>
      <c r="BE140" s="192">
        <f t="shared" si="183"/>
        <v>0</v>
      </c>
      <c r="BF140" s="192">
        <f t="shared" si="183"/>
        <v>0</v>
      </c>
      <c r="BG140" s="192">
        <f t="shared" si="183"/>
        <v>0</v>
      </c>
      <c r="BH140" s="192">
        <f t="shared" si="183"/>
        <v>0</v>
      </c>
      <c r="BI140" s="192">
        <f t="shared" si="183"/>
        <v>0</v>
      </c>
      <c r="BJ140" s="192">
        <f t="shared" si="183"/>
        <v>0</v>
      </c>
      <c r="BK140" s="192">
        <f t="shared" si="183"/>
        <v>0</v>
      </c>
      <c r="BL140" s="192">
        <f t="shared" si="183"/>
        <v>0</v>
      </c>
      <c r="BM140" s="192">
        <f t="shared" si="183"/>
        <v>0</v>
      </c>
      <c r="BN140" s="192">
        <f t="shared" si="183"/>
        <v>0</v>
      </c>
      <c r="BO140" s="192">
        <f t="shared" ref="BO140:CT140" si="184">IF($C$11&lt;&gt;"Yes",0,IF(AND(BO$3&gt;=$B$11,BO$3&lt;=EOMONTH($B$11,119)),INDEX($C$138:$DR$138,1,12*(YEAR(BO$3)-YEAR($B$11))+MONTH(BO$3)-MONTH($B$11)+1),0))</f>
        <v>0</v>
      </c>
      <c r="BP140" s="192">
        <f t="shared" si="184"/>
        <v>0</v>
      </c>
      <c r="BQ140" s="192">
        <f t="shared" si="184"/>
        <v>0</v>
      </c>
      <c r="BR140" s="192">
        <f t="shared" si="184"/>
        <v>0</v>
      </c>
      <c r="BS140" s="192">
        <f t="shared" si="184"/>
        <v>0</v>
      </c>
      <c r="BT140" s="192">
        <f t="shared" si="184"/>
        <v>0</v>
      </c>
      <c r="BU140" s="192">
        <f t="shared" si="184"/>
        <v>0</v>
      </c>
      <c r="BV140" s="192">
        <f t="shared" si="184"/>
        <v>0</v>
      </c>
      <c r="BW140" s="192">
        <f t="shared" si="184"/>
        <v>0</v>
      </c>
      <c r="BX140" s="192">
        <f t="shared" si="184"/>
        <v>0</v>
      </c>
      <c r="BY140" s="192">
        <f t="shared" si="184"/>
        <v>0</v>
      </c>
      <c r="BZ140" s="192">
        <f t="shared" si="184"/>
        <v>0</v>
      </c>
      <c r="CA140" s="192">
        <f t="shared" si="184"/>
        <v>0</v>
      </c>
      <c r="CB140" s="192">
        <f t="shared" si="184"/>
        <v>0</v>
      </c>
      <c r="CC140" s="192">
        <f t="shared" si="184"/>
        <v>0</v>
      </c>
      <c r="CD140" s="192">
        <f t="shared" si="184"/>
        <v>0</v>
      </c>
      <c r="CE140" s="192">
        <f t="shared" si="184"/>
        <v>0</v>
      </c>
      <c r="CF140" s="192">
        <f t="shared" si="184"/>
        <v>0</v>
      </c>
      <c r="CG140" s="192">
        <f t="shared" si="184"/>
        <v>0</v>
      </c>
      <c r="CH140" s="192">
        <f t="shared" si="184"/>
        <v>0</v>
      </c>
      <c r="CI140" s="192">
        <f t="shared" si="184"/>
        <v>0</v>
      </c>
      <c r="CJ140" s="192">
        <f t="shared" si="184"/>
        <v>0</v>
      </c>
      <c r="CK140" s="192">
        <f t="shared" si="184"/>
        <v>0</v>
      </c>
      <c r="CL140" s="192">
        <f t="shared" si="184"/>
        <v>0</v>
      </c>
      <c r="CM140" s="192">
        <f t="shared" si="184"/>
        <v>0</v>
      </c>
      <c r="CN140" s="192">
        <f t="shared" si="184"/>
        <v>0</v>
      </c>
      <c r="CO140" s="192">
        <f t="shared" si="184"/>
        <v>0</v>
      </c>
      <c r="CP140" s="192">
        <f t="shared" si="184"/>
        <v>0</v>
      </c>
      <c r="CQ140" s="192">
        <f t="shared" si="184"/>
        <v>0</v>
      </c>
      <c r="CR140" s="192">
        <f t="shared" si="184"/>
        <v>0</v>
      </c>
      <c r="CS140" s="192">
        <f t="shared" si="184"/>
        <v>0</v>
      </c>
      <c r="CT140" s="192">
        <f t="shared" si="184"/>
        <v>0</v>
      </c>
      <c r="CU140" s="192">
        <f t="shared" ref="CU140:DR140" si="185">IF($C$11&lt;&gt;"Yes",0,IF(AND(CU$3&gt;=$B$11,CU$3&lt;=EOMONTH($B$11,119)),INDEX($C$138:$DR$138,1,12*(YEAR(CU$3)-YEAR($B$11))+MONTH(CU$3)-MONTH($B$11)+1),0))</f>
        <v>0</v>
      </c>
      <c r="CV140" s="192">
        <f t="shared" si="185"/>
        <v>0</v>
      </c>
      <c r="CW140" s="192">
        <f t="shared" si="185"/>
        <v>0</v>
      </c>
      <c r="CX140" s="192">
        <f t="shared" si="185"/>
        <v>0</v>
      </c>
      <c r="CY140" s="192">
        <f t="shared" si="185"/>
        <v>0</v>
      </c>
      <c r="CZ140" s="192">
        <f t="shared" si="185"/>
        <v>0</v>
      </c>
      <c r="DA140" s="192">
        <f t="shared" si="185"/>
        <v>0</v>
      </c>
      <c r="DB140" s="192">
        <f t="shared" si="185"/>
        <v>0</v>
      </c>
      <c r="DC140" s="192">
        <f t="shared" si="185"/>
        <v>0</v>
      </c>
      <c r="DD140" s="192">
        <f t="shared" si="185"/>
        <v>0</v>
      </c>
      <c r="DE140" s="192">
        <f t="shared" si="185"/>
        <v>0</v>
      </c>
      <c r="DF140" s="192">
        <f t="shared" si="185"/>
        <v>0</v>
      </c>
      <c r="DG140" s="192">
        <f t="shared" si="185"/>
        <v>0</v>
      </c>
      <c r="DH140" s="192">
        <f t="shared" si="185"/>
        <v>0</v>
      </c>
      <c r="DI140" s="192">
        <f t="shared" si="185"/>
        <v>0</v>
      </c>
      <c r="DJ140" s="192">
        <f t="shared" si="185"/>
        <v>0</v>
      </c>
      <c r="DK140" s="192">
        <f t="shared" si="185"/>
        <v>0</v>
      </c>
      <c r="DL140" s="192">
        <f t="shared" si="185"/>
        <v>0</v>
      </c>
      <c r="DM140" s="192">
        <f t="shared" si="185"/>
        <v>0</v>
      </c>
      <c r="DN140" s="192">
        <f t="shared" si="185"/>
        <v>0</v>
      </c>
      <c r="DO140" s="192">
        <f t="shared" si="185"/>
        <v>0</v>
      </c>
      <c r="DP140" s="192">
        <f t="shared" si="185"/>
        <v>0</v>
      </c>
      <c r="DQ140" s="192">
        <f t="shared" si="185"/>
        <v>0</v>
      </c>
      <c r="DR140" s="192">
        <f t="shared" si="185"/>
        <v>0</v>
      </c>
    </row>
    <row r="141" spans="1:122">
      <c r="A141" s="142" t="s">
        <v>415</v>
      </c>
      <c r="B141" s="191"/>
      <c r="C141" s="192">
        <f t="shared" ref="C141:AH141" si="186">IF($C$12&lt;&gt;"Yes",0,IF(AND(C$3&gt;=$B$12,C$3&lt;=EOMONTH($B$12,119)),INDEX($C$138:$DR$138,1,12*(YEAR(C$3)-YEAR($B$12))+MONTH(C$3)-MONTH($B$12)+1),0))</f>
        <v>0</v>
      </c>
      <c r="D141" s="192">
        <f t="shared" si="186"/>
        <v>0</v>
      </c>
      <c r="E141" s="192">
        <f t="shared" si="186"/>
        <v>0</v>
      </c>
      <c r="F141" s="192">
        <f t="shared" si="186"/>
        <v>0</v>
      </c>
      <c r="G141" s="192">
        <f t="shared" si="186"/>
        <v>0</v>
      </c>
      <c r="H141" s="192">
        <f t="shared" si="186"/>
        <v>0</v>
      </c>
      <c r="I141" s="192">
        <f t="shared" si="186"/>
        <v>0</v>
      </c>
      <c r="J141" s="192">
        <f t="shared" si="186"/>
        <v>0</v>
      </c>
      <c r="K141" s="192">
        <f t="shared" si="186"/>
        <v>0</v>
      </c>
      <c r="L141" s="192">
        <f t="shared" si="186"/>
        <v>0</v>
      </c>
      <c r="M141" s="192">
        <f t="shared" si="186"/>
        <v>0</v>
      </c>
      <c r="N141" s="192">
        <f t="shared" si="186"/>
        <v>0</v>
      </c>
      <c r="O141" s="192">
        <f t="shared" si="186"/>
        <v>0</v>
      </c>
      <c r="P141" s="192">
        <f t="shared" si="186"/>
        <v>0</v>
      </c>
      <c r="Q141" s="192">
        <f t="shared" si="186"/>
        <v>0</v>
      </c>
      <c r="R141" s="192">
        <f t="shared" si="186"/>
        <v>0</v>
      </c>
      <c r="S141" s="192">
        <f t="shared" si="186"/>
        <v>0</v>
      </c>
      <c r="T141" s="192">
        <f t="shared" si="186"/>
        <v>0</v>
      </c>
      <c r="U141" s="192">
        <f t="shared" si="186"/>
        <v>0</v>
      </c>
      <c r="V141" s="192">
        <f t="shared" si="186"/>
        <v>0</v>
      </c>
      <c r="W141" s="192">
        <f t="shared" si="186"/>
        <v>0</v>
      </c>
      <c r="X141" s="192">
        <f t="shared" si="186"/>
        <v>0</v>
      </c>
      <c r="Y141" s="192">
        <f t="shared" si="186"/>
        <v>0</v>
      </c>
      <c r="Z141" s="192">
        <f t="shared" si="186"/>
        <v>0</v>
      </c>
      <c r="AA141" s="192">
        <f t="shared" si="186"/>
        <v>0</v>
      </c>
      <c r="AB141" s="192">
        <f t="shared" si="186"/>
        <v>0</v>
      </c>
      <c r="AC141" s="192">
        <f t="shared" si="186"/>
        <v>0</v>
      </c>
      <c r="AD141" s="192">
        <f t="shared" si="186"/>
        <v>0</v>
      </c>
      <c r="AE141" s="192">
        <f t="shared" si="186"/>
        <v>0</v>
      </c>
      <c r="AF141" s="192">
        <f t="shared" si="186"/>
        <v>0</v>
      </c>
      <c r="AG141" s="192">
        <f t="shared" si="186"/>
        <v>0</v>
      </c>
      <c r="AH141" s="192">
        <f t="shared" si="186"/>
        <v>0</v>
      </c>
      <c r="AI141" s="192">
        <f t="shared" ref="AI141:BN141" si="187">IF($C$12&lt;&gt;"Yes",0,IF(AND(AI$3&gt;=$B$12,AI$3&lt;=EOMONTH($B$12,119)),INDEX($C$138:$DR$138,1,12*(YEAR(AI$3)-YEAR($B$12))+MONTH(AI$3)-MONTH($B$12)+1),0))</f>
        <v>0</v>
      </c>
      <c r="AJ141" s="192">
        <f t="shared" si="187"/>
        <v>0</v>
      </c>
      <c r="AK141" s="192">
        <f t="shared" si="187"/>
        <v>0</v>
      </c>
      <c r="AL141" s="192">
        <f t="shared" si="187"/>
        <v>0</v>
      </c>
      <c r="AM141" s="192">
        <f t="shared" si="187"/>
        <v>0</v>
      </c>
      <c r="AN141" s="192">
        <f t="shared" si="187"/>
        <v>0</v>
      </c>
      <c r="AO141" s="192">
        <f t="shared" si="187"/>
        <v>0</v>
      </c>
      <c r="AP141" s="192">
        <f t="shared" si="187"/>
        <v>0</v>
      </c>
      <c r="AQ141" s="192">
        <f t="shared" si="187"/>
        <v>0</v>
      </c>
      <c r="AR141" s="192">
        <f t="shared" si="187"/>
        <v>0</v>
      </c>
      <c r="AS141" s="192">
        <f t="shared" si="187"/>
        <v>0</v>
      </c>
      <c r="AT141" s="192">
        <f t="shared" si="187"/>
        <v>0</v>
      </c>
      <c r="AU141" s="192">
        <f t="shared" si="187"/>
        <v>0</v>
      </c>
      <c r="AV141" s="192">
        <f t="shared" si="187"/>
        <v>0</v>
      </c>
      <c r="AW141" s="192">
        <f t="shared" si="187"/>
        <v>0</v>
      </c>
      <c r="AX141" s="192">
        <f t="shared" si="187"/>
        <v>0</v>
      </c>
      <c r="AY141" s="192">
        <f t="shared" si="187"/>
        <v>0</v>
      </c>
      <c r="AZ141" s="192">
        <f t="shared" si="187"/>
        <v>0</v>
      </c>
      <c r="BA141" s="192">
        <f t="shared" si="187"/>
        <v>0</v>
      </c>
      <c r="BB141" s="192">
        <f t="shared" si="187"/>
        <v>0</v>
      </c>
      <c r="BC141" s="192">
        <f t="shared" si="187"/>
        <v>0</v>
      </c>
      <c r="BD141" s="192">
        <f t="shared" si="187"/>
        <v>0</v>
      </c>
      <c r="BE141" s="192">
        <f t="shared" si="187"/>
        <v>0</v>
      </c>
      <c r="BF141" s="192">
        <f t="shared" si="187"/>
        <v>0</v>
      </c>
      <c r="BG141" s="192">
        <f t="shared" si="187"/>
        <v>0</v>
      </c>
      <c r="BH141" s="192">
        <f t="shared" si="187"/>
        <v>58.333333333333343</v>
      </c>
      <c r="BI141" s="192">
        <f t="shared" si="187"/>
        <v>66.666666666666671</v>
      </c>
      <c r="BJ141" s="192">
        <f t="shared" si="187"/>
        <v>75</v>
      </c>
      <c r="BK141" s="192">
        <f t="shared" si="187"/>
        <v>83.333333333333329</v>
      </c>
      <c r="BL141" s="192">
        <f t="shared" si="187"/>
        <v>91.666666666666657</v>
      </c>
      <c r="BM141" s="192">
        <f t="shared" si="187"/>
        <v>99.999999999999986</v>
      </c>
      <c r="BN141" s="192">
        <f t="shared" si="187"/>
        <v>108.33333333333331</v>
      </c>
      <c r="BO141" s="192">
        <f t="shared" ref="BO141:CT141" si="188">IF($C$12&lt;&gt;"Yes",0,IF(AND(BO$3&gt;=$B$12,BO$3&lt;=EOMONTH($B$12,119)),INDEX($C$138:$DR$138,1,12*(YEAR(BO$3)-YEAR($B$12))+MONTH(BO$3)-MONTH($B$12)+1),0))</f>
        <v>116.66666666666664</v>
      </c>
      <c r="BP141" s="192">
        <f t="shared" si="188"/>
        <v>124.99999999999997</v>
      </c>
      <c r="BQ141" s="192">
        <f t="shared" si="188"/>
        <v>133.33333333333331</v>
      </c>
      <c r="BR141" s="192">
        <f t="shared" si="188"/>
        <v>141.66666666666666</v>
      </c>
      <c r="BS141" s="192">
        <f t="shared" si="188"/>
        <v>150</v>
      </c>
      <c r="BT141" s="192">
        <f t="shared" si="188"/>
        <v>150</v>
      </c>
      <c r="BU141" s="192">
        <f t="shared" si="188"/>
        <v>150</v>
      </c>
      <c r="BV141" s="192">
        <f t="shared" si="188"/>
        <v>150</v>
      </c>
      <c r="BW141" s="192">
        <f t="shared" si="188"/>
        <v>150</v>
      </c>
      <c r="BX141" s="192">
        <f t="shared" si="188"/>
        <v>150</v>
      </c>
      <c r="BY141" s="192">
        <f t="shared" si="188"/>
        <v>150</v>
      </c>
      <c r="BZ141" s="192">
        <f t="shared" si="188"/>
        <v>150</v>
      </c>
      <c r="CA141" s="192">
        <f t="shared" si="188"/>
        <v>150</v>
      </c>
      <c r="CB141" s="192">
        <f t="shared" si="188"/>
        <v>150</v>
      </c>
      <c r="CC141" s="192">
        <f t="shared" si="188"/>
        <v>150</v>
      </c>
      <c r="CD141" s="192">
        <f t="shared" si="188"/>
        <v>150</v>
      </c>
      <c r="CE141" s="192">
        <f t="shared" si="188"/>
        <v>150</v>
      </c>
      <c r="CF141" s="192">
        <f t="shared" si="188"/>
        <v>150</v>
      </c>
      <c r="CG141" s="192">
        <f t="shared" si="188"/>
        <v>150</v>
      </c>
      <c r="CH141" s="192">
        <f t="shared" si="188"/>
        <v>150</v>
      </c>
      <c r="CI141" s="192">
        <f t="shared" si="188"/>
        <v>150</v>
      </c>
      <c r="CJ141" s="192">
        <f t="shared" si="188"/>
        <v>150</v>
      </c>
      <c r="CK141" s="192">
        <f t="shared" si="188"/>
        <v>150</v>
      </c>
      <c r="CL141" s="192">
        <f t="shared" si="188"/>
        <v>150</v>
      </c>
      <c r="CM141" s="192">
        <f t="shared" si="188"/>
        <v>150</v>
      </c>
      <c r="CN141" s="192">
        <f t="shared" si="188"/>
        <v>150</v>
      </c>
      <c r="CO141" s="192">
        <f t="shared" si="188"/>
        <v>150</v>
      </c>
      <c r="CP141" s="192">
        <f t="shared" si="188"/>
        <v>150</v>
      </c>
      <c r="CQ141" s="192">
        <f t="shared" si="188"/>
        <v>150</v>
      </c>
      <c r="CR141" s="192">
        <f t="shared" si="188"/>
        <v>150</v>
      </c>
      <c r="CS141" s="192">
        <f t="shared" si="188"/>
        <v>150</v>
      </c>
      <c r="CT141" s="192">
        <f t="shared" si="188"/>
        <v>150</v>
      </c>
      <c r="CU141" s="192">
        <f t="shared" ref="CU141:DR141" si="189">IF($C$12&lt;&gt;"Yes",0,IF(AND(CU$3&gt;=$B$12,CU$3&lt;=EOMONTH($B$12,119)),INDEX($C$138:$DR$138,1,12*(YEAR(CU$3)-YEAR($B$12))+MONTH(CU$3)-MONTH($B$12)+1),0))</f>
        <v>150</v>
      </c>
      <c r="CV141" s="192">
        <f t="shared" si="189"/>
        <v>150</v>
      </c>
      <c r="CW141" s="192">
        <f t="shared" si="189"/>
        <v>150</v>
      </c>
      <c r="CX141" s="192">
        <f t="shared" si="189"/>
        <v>150</v>
      </c>
      <c r="CY141" s="192">
        <f t="shared" si="189"/>
        <v>150</v>
      </c>
      <c r="CZ141" s="192">
        <f t="shared" si="189"/>
        <v>150</v>
      </c>
      <c r="DA141" s="192">
        <f t="shared" si="189"/>
        <v>150</v>
      </c>
      <c r="DB141" s="192">
        <f t="shared" si="189"/>
        <v>150</v>
      </c>
      <c r="DC141" s="192">
        <f t="shared" si="189"/>
        <v>150</v>
      </c>
      <c r="DD141" s="192">
        <f t="shared" si="189"/>
        <v>150</v>
      </c>
      <c r="DE141" s="192">
        <f t="shared" si="189"/>
        <v>150</v>
      </c>
      <c r="DF141" s="192">
        <f t="shared" si="189"/>
        <v>150</v>
      </c>
      <c r="DG141" s="192">
        <f t="shared" si="189"/>
        <v>150</v>
      </c>
      <c r="DH141" s="192">
        <f t="shared" si="189"/>
        <v>150</v>
      </c>
      <c r="DI141" s="192">
        <f t="shared" si="189"/>
        <v>150</v>
      </c>
      <c r="DJ141" s="192">
        <f t="shared" si="189"/>
        <v>150</v>
      </c>
      <c r="DK141" s="192">
        <f t="shared" si="189"/>
        <v>150</v>
      </c>
      <c r="DL141" s="192">
        <f t="shared" si="189"/>
        <v>150</v>
      </c>
      <c r="DM141" s="192">
        <f t="shared" si="189"/>
        <v>150</v>
      </c>
      <c r="DN141" s="192">
        <f t="shared" si="189"/>
        <v>150</v>
      </c>
      <c r="DO141" s="192">
        <f t="shared" si="189"/>
        <v>150</v>
      </c>
      <c r="DP141" s="192">
        <f t="shared" si="189"/>
        <v>150</v>
      </c>
      <c r="DQ141" s="192">
        <f t="shared" si="189"/>
        <v>150</v>
      </c>
      <c r="DR141" s="192">
        <f t="shared" si="189"/>
        <v>150</v>
      </c>
    </row>
    <row r="142" spans="1:122">
      <c r="A142" s="142" t="s">
        <v>416</v>
      </c>
      <c r="B142" s="191"/>
      <c r="C142" s="192">
        <f t="shared" ref="C142:AH142" si="190">IF($C$13&lt;&gt;"Yes",0,IF(AND(C$3&gt;=$B$13,C$3&lt;=EOMONTH($B$13,119)),INDEX($C$138:$DR$138,1,12*(YEAR(C$3)-YEAR($B$13))+MONTH(C$3)-MONTH($B$13)+1),0))</f>
        <v>0</v>
      </c>
      <c r="D142" s="192">
        <f t="shared" si="190"/>
        <v>0</v>
      </c>
      <c r="E142" s="192">
        <f t="shared" si="190"/>
        <v>0</v>
      </c>
      <c r="F142" s="192">
        <f t="shared" si="190"/>
        <v>0</v>
      </c>
      <c r="G142" s="192">
        <f t="shared" si="190"/>
        <v>0</v>
      </c>
      <c r="H142" s="192">
        <f t="shared" si="190"/>
        <v>0</v>
      </c>
      <c r="I142" s="192">
        <f t="shared" si="190"/>
        <v>0</v>
      </c>
      <c r="J142" s="192">
        <f t="shared" si="190"/>
        <v>0</v>
      </c>
      <c r="K142" s="192">
        <f t="shared" si="190"/>
        <v>0</v>
      </c>
      <c r="L142" s="192">
        <f t="shared" si="190"/>
        <v>0</v>
      </c>
      <c r="M142" s="192">
        <f t="shared" si="190"/>
        <v>0</v>
      </c>
      <c r="N142" s="192">
        <f t="shared" si="190"/>
        <v>0</v>
      </c>
      <c r="O142" s="192">
        <f t="shared" si="190"/>
        <v>0</v>
      </c>
      <c r="P142" s="192">
        <f t="shared" si="190"/>
        <v>0</v>
      </c>
      <c r="Q142" s="192">
        <f t="shared" si="190"/>
        <v>0</v>
      </c>
      <c r="R142" s="192">
        <f t="shared" si="190"/>
        <v>0</v>
      </c>
      <c r="S142" s="192">
        <f t="shared" si="190"/>
        <v>0</v>
      </c>
      <c r="T142" s="192">
        <f t="shared" si="190"/>
        <v>0</v>
      </c>
      <c r="U142" s="192">
        <f t="shared" si="190"/>
        <v>0</v>
      </c>
      <c r="V142" s="192">
        <f t="shared" si="190"/>
        <v>0</v>
      </c>
      <c r="W142" s="192">
        <f t="shared" si="190"/>
        <v>0</v>
      </c>
      <c r="X142" s="192">
        <f t="shared" si="190"/>
        <v>0</v>
      </c>
      <c r="Y142" s="192">
        <f t="shared" si="190"/>
        <v>0</v>
      </c>
      <c r="Z142" s="192">
        <f t="shared" si="190"/>
        <v>0</v>
      </c>
      <c r="AA142" s="192">
        <f t="shared" si="190"/>
        <v>0</v>
      </c>
      <c r="AB142" s="192">
        <f t="shared" si="190"/>
        <v>0</v>
      </c>
      <c r="AC142" s="192">
        <f t="shared" si="190"/>
        <v>0</v>
      </c>
      <c r="AD142" s="192">
        <f t="shared" si="190"/>
        <v>0</v>
      </c>
      <c r="AE142" s="192">
        <f t="shared" si="190"/>
        <v>0</v>
      </c>
      <c r="AF142" s="192">
        <f t="shared" si="190"/>
        <v>0</v>
      </c>
      <c r="AG142" s="192">
        <f t="shared" si="190"/>
        <v>0</v>
      </c>
      <c r="AH142" s="192">
        <f t="shared" si="190"/>
        <v>0</v>
      </c>
      <c r="AI142" s="192">
        <f t="shared" ref="AI142:BN142" si="191">IF($C$13&lt;&gt;"Yes",0,IF(AND(AI$3&gt;=$B$13,AI$3&lt;=EOMONTH($B$13,119)),INDEX($C$138:$DR$138,1,12*(YEAR(AI$3)-YEAR($B$13))+MONTH(AI$3)-MONTH($B$13)+1),0))</f>
        <v>0</v>
      </c>
      <c r="AJ142" s="192">
        <f t="shared" si="191"/>
        <v>0</v>
      </c>
      <c r="AK142" s="192">
        <f t="shared" si="191"/>
        <v>0</v>
      </c>
      <c r="AL142" s="192">
        <f t="shared" si="191"/>
        <v>0</v>
      </c>
      <c r="AM142" s="192">
        <f t="shared" si="191"/>
        <v>0</v>
      </c>
      <c r="AN142" s="192">
        <f t="shared" si="191"/>
        <v>0</v>
      </c>
      <c r="AO142" s="192">
        <f t="shared" si="191"/>
        <v>0</v>
      </c>
      <c r="AP142" s="192">
        <f t="shared" si="191"/>
        <v>0</v>
      </c>
      <c r="AQ142" s="192">
        <f t="shared" si="191"/>
        <v>0</v>
      </c>
      <c r="AR142" s="192">
        <f t="shared" si="191"/>
        <v>0</v>
      </c>
      <c r="AS142" s="192">
        <f t="shared" si="191"/>
        <v>0</v>
      </c>
      <c r="AT142" s="192">
        <f t="shared" si="191"/>
        <v>0</v>
      </c>
      <c r="AU142" s="192">
        <f t="shared" si="191"/>
        <v>0</v>
      </c>
      <c r="AV142" s="192">
        <f t="shared" si="191"/>
        <v>0</v>
      </c>
      <c r="AW142" s="192">
        <f t="shared" si="191"/>
        <v>0</v>
      </c>
      <c r="AX142" s="192">
        <f t="shared" si="191"/>
        <v>0</v>
      </c>
      <c r="AY142" s="192">
        <f t="shared" si="191"/>
        <v>0</v>
      </c>
      <c r="AZ142" s="192">
        <f t="shared" si="191"/>
        <v>0</v>
      </c>
      <c r="BA142" s="192">
        <f t="shared" si="191"/>
        <v>0</v>
      </c>
      <c r="BB142" s="192">
        <f t="shared" si="191"/>
        <v>0</v>
      </c>
      <c r="BC142" s="192">
        <f t="shared" si="191"/>
        <v>0</v>
      </c>
      <c r="BD142" s="192">
        <f t="shared" si="191"/>
        <v>0</v>
      </c>
      <c r="BE142" s="192">
        <f t="shared" si="191"/>
        <v>0</v>
      </c>
      <c r="BF142" s="192">
        <f t="shared" si="191"/>
        <v>0</v>
      </c>
      <c r="BG142" s="192">
        <f t="shared" si="191"/>
        <v>0</v>
      </c>
      <c r="BH142" s="192">
        <f t="shared" si="191"/>
        <v>0</v>
      </c>
      <c r="BI142" s="192">
        <f t="shared" si="191"/>
        <v>0</v>
      </c>
      <c r="BJ142" s="192">
        <f t="shared" si="191"/>
        <v>0</v>
      </c>
      <c r="BK142" s="192">
        <f t="shared" si="191"/>
        <v>0</v>
      </c>
      <c r="BL142" s="192">
        <f t="shared" si="191"/>
        <v>0</v>
      </c>
      <c r="BM142" s="192">
        <f t="shared" si="191"/>
        <v>0</v>
      </c>
      <c r="BN142" s="192">
        <f t="shared" si="191"/>
        <v>0</v>
      </c>
      <c r="BO142" s="192">
        <f t="shared" ref="BO142:CT142" si="192">IF($C$13&lt;&gt;"Yes",0,IF(AND(BO$3&gt;=$B$13,BO$3&lt;=EOMONTH($B$13,119)),INDEX($C$138:$DR$138,1,12*(YEAR(BO$3)-YEAR($B$13))+MONTH(BO$3)-MONTH($B$13)+1),0))</f>
        <v>0</v>
      </c>
      <c r="BP142" s="192">
        <f t="shared" si="192"/>
        <v>0</v>
      </c>
      <c r="BQ142" s="192">
        <f t="shared" si="192"/>
        <v>0</v>
      </c>
      <c r="BR142" s="192">
        <f t="shared" si="192"/>
        <v>0</v>
      </c>
      <c r="BS142" s="192">
        <f t="shared" si="192"/>
        <v>0</v>
      </c>
      <c r="BT142" s="192">
        <f t="shared" si="192"/>
        <v>0</v>
      </c>
      <c r="BU142" s="192">
        <f t="shared" si="192"/>
        <v>0</v>
      </c>
      <c r="BV142" s="192">
        <f t="shared" si="192"/>
        <v>0</v>
      </c>
      <c r="BW142" s="192">
        <f t="shared" si="192"/>
        <v>0</v>
      </c>
      <c r="BX142" s="192">
        <f t="shared" si="192"/>
        <v>0</v>
      </c>
      <c r="BY142" s="192">
        <f t="shared" si="192"/>
        <v>0</v>
      </c>
      <c r="BZ142" s="192">
        <f t="shared" si="192"/>
        <v>0</v>
      </c>
      <c r="CA142" s="192">
        <f t="shared" si="192"/>
        <v>0</v>
      </c>
      <c r="CB142" s="192">
        <f t="shared" si="192"/>
        <v>0</v>
      </c>
      <c r="CC142" s="192">
        <f t="shared" si="192"/>
        <v>0</v>
      </c>
      <c r="CD142" s="192">
        <f t="shared" si="192"/>
        <v>0</v>
      </c>
      <c r="CE142" s="192">
        <f t="shared" si="192"/>
        <v>0</v>
      </c>
      <c r="CF142" s="192">
        <f t="shared" si="192"/>
        <v>0</v>
      </c>
      <c r="CG142" s="192">
        <f t="shared" si="192"/>
        <v>0</v>
      </c>
      <c r="CH142" s="192">
        <f t="shared" si="192"/>
        <v>0</v>
      </c>
      <c r="CI142" s="192">
        <f t="shared" si="192"/>
        <v>0</v>
      </c>
      <c r="CJ142" s="192">
        <f t="shared" si="192"/>
        <v>0</v>
      </c>
      <c r="CK142" s="192">
        <f t="shared" si="192"/>
        <v>0</v>
      </c>
      <c r="CL142" s="192">
        <f t="shared" si="192"/>
        <v>0</v>
      </c>
      <c r="CM142" s="192">
        <f t="shared" si="192"/>
        <v>0</v>
      </c>
      <c r="CN142" s="192">
        <f t="shared" si="192"/>
        <v>0</v>
      </c>
      <c r="CO142" s="192">
        <f t="shared" si="192"/>
        <v>0</v>
      </c>
      <c r="CP142" s="192">
        <f t="shared" si="192"/>
        <v>0</v>
      </c>
      <c r="CQ142" s="192">
        <f t="shared" si="192"/>
        <v>0</v>
      </c>
      <c r="CR142" s="192">
        <f t="shared" si="192"/>
        <v>0</v>
      </c>
      <c r="CS142" s="192">
        <f t="shared" si="192"/>
        <v>0</v>
      </c>
      <c r="CT142" s="192">
        <f t="shared" si="192"/>
        <v>0</v>
      </c>
      <c r="CU142" s="192">
        <f t="shared" ref="CU142:DR142" si="193">IF($C$13&lt;&gt;"Yes",0,IF(AND(CU$3&gt;=$B$13,CU$3&lt;=EOMONTH($B$13,119)),INDEX($C$138:$DR$138,1,12*(YEAR(CU$3)-YEAR($B$13))+MONTH(CU$3)-MONTH($B$13)+1),0))</f>
        <v>0</v>
      </c>
      <c r="CV142" s="192">
        <f t="shared" si="193"/>
        <v>0</v>
      </c>
      <c r="CW142" s="192">
        <f t="shared" si="193"/>
        <v>0</v>
      </c>
      <c r="CX142" s="192">
        <f t="shared" si="193"/>
        <v>0</v>
      </c>
      <c r="CY142" s="192">
        <f t="shared" si="193"/>
        <v>0</v>
      </c>
      <c r="CZ142" s="192">
        <f t="shared" si="193"/>
        <v>0</v>
      </c>
      <c r="DA142" s="192">
        <f t="shared" si="193"/>
        <v>0</v>
      </c>
      <c r="DB142" s="192">
        <f t="shared" si="193"/>
        <v>0</v>
      </c>
      <c r="DC142" s="192">
        <f t="shared" si="193"/>
        <v>0</v>
      </c>
      <c r="DD142" s="192">
        <f t="shared" si="193"/>
        <v>0</v>
      </c>
      <c r="DE142" s="192">
        <f t="shared" si="193"/>
        <v>0</v>
      </c>
      <c r="DF142" s="192">
        <f t="shared" si="193"/>
        <v>0</v>
      </c>
      <c r="DG142" s="192">
        <f t="shared" si="193"/>
        <v>0</v>
      </c>
      <c r="DH142" s="192">
        <f t="shared" si="193"/>
        <v>0</v>
      </c>
      <c r="DI142" s="192">
        <f t="shared" si="193"/>
        <v>0</v>
      </c>
      <c r="DJ142" s="192">
        <f t="shared" si="193"/>
        <v>0</v>
      </c>
      <c r="DK142" s="192">
        <f t="shared" si="193"/>
        <v>0</v>
      </c>
      <c r="DL142" s="192">
        <f t="shared" si="193"/>
        <v>0</v>
      </c>
      <c r="DM142" s="192">
        <f t="shared" si="193"/>
        <v>0</v>
      </c>
      <c r="DN142" s="192">
        <f t="shared" si="193"/>
        <v>0</v>
      </c>
      <c r="DO142" s="192">
        <f t="shared" si="193"/>
        <v>0</v>
      </c>
      <c r="DP142" s="192">
        <f t="shared" si="193"/>
        <v>0</v>
      </c>
      <c r="DQ142" s="192">
        <f t="shared" si="193"/>
        <v>0</v>
      </c>
      <c r="DR142" s="192">
        <f t="shared" si="193"/>
        <v>0</v>
      </c>
    </row>
    <row r="143" spans="1:122">
      <c r="A143" s="142" t="s">
        <v>417</v>
      </c>
      <c r="B143" s="191"/>
      <c r="C143" s="192">
        <f t="shared" ref="C143:AH143" si="194">IF($C$14&lt;&gt;"Yes",0,IF(AND(C$3&gt;=$B$14,C$3&lt;=EOMONTH($B$14,119)),INDEX($C$138:$DR$138,1,12*(YEAR(C$3)-YEAR($B$14))+MONTH(C$3)-MONTH($B$14)+1),0))</f>
        <v>0</v>
      </c>
      <c r="D143" s="192">
        <f t="shared" si="194"/>
        <v>0</v>
      </c>
      <c r="E143" s="192">
        <f t="shared" si="194"/>
        <v>0</v>
      </c>
      <c r="F143" s="192">
        <f t="shared" si="194"/>
        <v>0</v>
      </c>
      <c r="G143" s="192">
        <f t="shared" si="194"/>
        <v>0</v>
      </c>
      <c r="H143" s="192">
        <f t="shared" si="194"/>
        <v>0</v>
      </c>
      <c r="I143" s="192">
        <f t="shared" si="194"/>
        <v>0</v>
      </c>
      <c r="J143" s="192">
        <f t="shared" si="194"/>
        <v>0</v>
      </c>
      <c r="K143" s="192">
        <f t="shared" si="194"/>
        <v>0</v>
      </c>
      <c r="L143" s="192">
        <f t="shared" si="194"/>
        <v>0</v>
      </c>
      <c r="M143" s="192">
        <f t="shared" si="194"/>
        <v>0</v>
      </c>
      <c r="N143" s="192">
        <f t="shared" si="194"/>
        <v>0</v>
      </c>
      <c r="O143" s="192">
        <f t="shared" si="194"/>
        <v>0</v>
      </c>
      <c r="P143" s="192">
        <f t="shared" si="194"/>
        <v>0</v>
      </c>
      <c r="Q143" s="192">
        <f t="shared" si="194"/>
        <v>0</v>
      </c>
      <c r="R143" s="192">
        <f t="shared" si="194"/>
        <v>0</v>
      </c>
      <c r="S143" s="192">
        <f t="shared" si="194"/>
        <v>0</v>
      </c>
      <c r="T143" s="192">
        <f t="shared" si="194"/>
        <v>0</v>
      </c>
      <c r="U143" s="192">
        <f t="shared" si="194"/>
        <v>0</v>
      </c>
      <c r="V143" s="192">
        <f t="shared" si="194"/>
        <v>0</v>
      </c>
      <c r="W143" s="192">
        <f t="shared" si="194"/>
        <v>0</v>
      </c>
      <c r="X143" s="192">
        <f t="shared" si="194"/>
        <v>0</v>
      </c>
      <c r="Y143" s="192">
        <f t="shared" si="194"/>
        <v>0</v>
      </c>
      <c r="Z143" s="192">
        <f t="shared" si="194"/>
        <v>0</v>
      </c>
      <c r="AA143" s="192">
        <f t="shared" si="194"/>
        <v>0</v>
      </c>
      <c r="AB143" s="192">
        <f t="shared" si="194"/>
        <v>0</v>
      </c>
      <c r="AC143" s="192">
        <f t="shared" si="194"/>
        <v>0</v>
      </c>
      <c r="AD143" s="192">
        <f t="shared" si="194"/>
        <v>0</v>
      </c>
      <c r="AE143" s="192">
        <f t="shared" si="194"/>
        <v>0</v>
      </c>
      <c r="AF143" s="192">
        <f t="shared" si="194"/>
        <v>0</v>
      </c>
      <c r="AG143" s="192">
        <f t="shared" si="194"/>
        <v>0</v>
      </c>
      <c r="AH143" s="192">
        <f t="shared" si="194"/>
        <v>0</v>
      </c>
      <c r="AI143" s="192">
        <f t="shared" ref="AI143:BN143" si="195">IF($C$14&lt;&gt;"Yes",0,IF(AND(AI$3&gt;=$B$14,AI$3&lt;=EOMONTH($B$14,119)),INDEX($C$138:$DR$138,1,12*(YEAR(AI$3)-YEAR($B$14))+MONTH(AI$3)-MONTH($B$14)+1),0))</f>
        <v>0</v>
      </c>
      <c r="AJ143" s="192">
        <f t="shared" si="195"/>
        <v>0</v>
      </c>
      <c r="AK143" s="192">
        <f t="shared" si="195"/>
        <v>0</v>
      </c>
      <c r="AL143" s="192">
        <f t="shared" si="195"/>
        <v>0</v>
      </c>
      <c r="AM143" s="192">
        <f t="shared" si="195"/>
        <v>0</v>
      </c>
      <c r="AN143" s="192">
        <f t="shared" si="195"/>
        <v>0</v>
      </c>
      <c r="AO143" s="192">
        <f t="shared" si="195"/>
        <v>0</v>
      </c>
      <c r="AP143" s="192">
        <f t="shared" si="195"/>
        <v>0</v>
      </c>
      <c r="AQ143" s="192">
        <f t="shared" si="195"/>
        <v>0</v>
      </c>
      <c r="AR143" s="192">
        <f t="shared" si="195"/>
        <v>0</v>
      </c>
      <c r="AS143" s="192">
        <f t="shared" si="195"/>
        <v>0</v>
      </c>
      <c r="AT143" s="192">
        <f t="shared" si="195"/>
        <v>0</v>
      </c>
      <c r="AU143" s="192">
        <f t="shared" si="195"/>
        <v>0</v>
      </c>
      <c r="AV143" s="192">
        <f t="shared" si="195"/>
        <v>0</v>
      </c>
      <c r="AW143" s="192">
        <f t="shared" si="195"/>
        <v>0</v>
      </c>
      <c r="AX143" s="192">
        <f t="shared" si="195"/>
        <v>0</v>
      </c>
      <c r="AY143" s="192">
        <f t="shared" si="195"/>
        <v>0</v>
      </c>
      <c r="AZ143" s="192">
        <f t="shared" si="195"/>
        <v>0</v>
      </c>
      <c r="BA143" s="192">
        <f t="shared" si="195"/>
        <v>0</v>
      </c>
      <c r="BB143" s="192">
        <f t="shared" si="195"/>
        <v>0</v>
      </c>
      <c r="BC143" s="192">
        <f t="shared" si="195"/>
        <v>0</v>
      </c>
      <c r="BD143" s="192">
        <f t="shared" si="195"/>
        <v>0</v>
      </c>
      <c r="BE143" s="192">
        <f t="shared" si="195"/>
        <v>0</v>
      </c>
      <c r="BF143" s="192">
        <f t="shared" si="195"/>
        <v>0</v>
      </c>
      <c r="BG143" s="192">
        <f t="shared" si="195"/>
        <v>0</v>
      </c>
      <c r="BH143" s="192">
        <f t="shared" si="195"/>
        <v>0</v>
      </c>
      <c r="BI143" s="192">
        <f t="shared" si="195"/>
        <v>0</v>
      </c>
      <c r="BJ143" s="192">
        <f t="shared" si="195"/>
        <v>0</v>
      </c>
      <c r="BK143" s="192">
        <f t="shared" si="195"/>
        <v>0</v>
      </c>
      <c r="BL143" s="192">
        <f t="shared" si="195"/>
        <v>0</v>
      </c>
      <c r="BM143" s="192">
        <f t="shared" si="195"/>
        <v>0</v>
      </c>
      <c r="BN143" s="192">
        <f t="shared" si="195"/>
        <v>58.333333333333343</v>
      </c>
      <c r="BO143" s="192">
        <f t="shared" ref="BO143:CT143" si="196">IF($C$14&lt;&gt;"Yes",0,IF(AND(BO$3&gt;=$B$14,BO$3&lt;=EOMONTH($B$14,119)),INDEX($C$138:$DR$138,1,12*(YEAR(BO$3)-YEAR($B$14))+MONTH(BO$3)-MONTH($B$14)+1),0))</f>
        <v>66.666666666666671</v>
      </c>
      <c r="BP143" s="192">
        <f t="shared" si="196"/>
        <v>75</v>
      </c>
      <c r="BQ143" s="192">
        <f t="shared" si="196"/>
        <v>83.333333333333329</v>
      </c>
      <c r="BR143" s="192">
        <f t="shared" si="196"/>
        <v>91.666666666666657</v>
      </c>
      <c r="BS143" s="192">
        <f t="shared" si="196"/>
        <v>99.999999999999986</v>
      </c>
      <c r="BT143" s="192">
        <f t="shared" si="196"/>
        <v>108.33333333333331</v>
      </c>
      <c r="BU143" s="192">
        <f t="shared" si="196"/>
        <v>116.66666666666664</v>
      </c>
      <c r="BV143" s="192">
        <f t="shared" si="196"/>
        <v>124.99999999999997</v>
      </c>
      <c r="BW143" s="192">
        <f t="shared" si="196"/>
        <v>133.33333333333331</v>
      </c>
      <c r="BX143" s="192">
        <f t="shared" si="196"/>
        <v>141.66666666666666</v>
      </c>
      <c r="BY143" s="192">
        <f t="shared" si="196"/>
        <v>150</v>
      </c>
      <c r="BZ143" s="192">
        <f t="shared" si="196"/>
        <v>150</v>
      </c>
      <c r="CA143" s="192">
        <f t="shared" si="196"/>
        <v>150</v>
      </c>
      <c r="CB143" s="192">
        <f t="shared" si="196"/>
        <v>150</v>
      </c>
      <c r="CC143" s="192">
        <f t="shared" si="196"/>
        <v>150</v>
      </c>
      <c r="CD143" s="192">
        <f t="shared" si="196"/>
        <v>150</v>
      </c>
      <c r="CE143" s="192">
        <f t="shared" si="196"/>
        <v>150</v>
      </c>
      <c r="CF143" s="192">
        <f t="shared" si="196"/>
        <v>150</v>
      </c>
      <c r="CG143" s="192">
        <f t="shared" si="196"/>
        <v>150</v>
      </c>
      <c r="CH143" s="192">
        <f t="shared" si="196"/>
        <v>150</v>
      </c>
      <c r="CI143" s="192">
        <f t="shared" si="196"/>
        <v>150</v>
      </c>
      <c r="CJ143" s="192">
        <f t="shared" si="196"/>
        <v>150</v>
      </c>
      <c r="CK143" s="192">
        <f t="shared" si="196"/>
        <v>150</v>
      </c>
      <c r="CL143" s="192">
        <f t="shared" si="196"/>
        <v>150</v>
      </c>
      <c r="CM143" s="192">
        <f t="shared" si="196"/>
        <v>150</v>
      </c>
      <c r="CN143" s="192">
        <f t="shared" si="196"/>
        <v>150</v>
      </c>
      <c r="CO143" s="192">
        <f t="shared" si="196"/>
        <v>150</v>
      </c>
      <c r="CP143" s="192">
        <f t="shared" si="196"/>
        <v>150</v>
      </c>
      <c r="CQ143" s="192">
        <f t="shared" si="196"/>
        <v>150</v>
      </c>
      <c r="CR143" s="192">
        <f t="shared" si="196"/>
        <v>150</v>
      </c>
      <c r="CS143" s="192">
        <f t="shared" si="196"/>
        <v>150</v>
      </c>
      <c r="CT143" s="192">
        <f t="shared" si="196"/>
        <v>150</v>
      </c>
      <c r="CU143" s="192">
        <f t="shared" ref="CU143:DR143" si="197">IF($C$14&lt;&gt;"Yes",0,IF(AND(CU$3&gt;=$B$14,CU$3&lt;=EOMONTH($B$14,119)),INDEX($C$138:$DR$138,1,12*(YEAR(CU$3)-YEAR($B$14))+MONTH(CU$3)-MONTH($B$14)+1),0))</f>
        <v>150</v>
      </c>
      <c r="CV143" s="192">
        <f t="shared" si="197"/>
        <v>150</v>
      </c>
      <c r="CW143" s="192">
        <f t="shared" si="197"/>
        <v>150</v>
      </c>
      <c r="CX143" s="192">
        <f t="shared" si="197"/>
        <v>150</v>
      </c>
      <c r="CY143" s="192">
        <f t="shared" si="197"/>
        <v>150</v>
      </c>
      <c r="CZ143" s="192">
        <f t="shared" si="197"/>
        <v>150</v>
      </c>
      <c r="DA143" s="192">
        <f t="shared" si="197"/>
        <v>150</v>
      </c>
      <c r="DB143" s="192">
        <f t="shared" si="197"/>
        <v>150</v>
      </c>
      <c r="DC143" s="192">
        <f t="shared" si="197"/>
        <v>150</v>
      </c>
      <c r="DD143" s="192">
        <f t="shared" si="197"/>
        <v>150</v>
      </c>
      <c r="DE143" s="192">
        <f t="shared" si="197"/>
        <v>150</v>
      </c>
      <c r="DF143" s="192">
        <f t="shared" si="197"/>
        <v>150</v>
      </c>
      <c r="DG143" s="192">
        <f t="shared" si="197"/>
        <v>150</v>
      </c>
      <c r="DH143" s="192">
        <f t="shared" si="197"/>
        <v>150</v>
      </c>
      <c r="DI143" s="192">
        <f t="shared" si="197"/>
        <v>150</v>
      </c>
      <c r="DJ143" s="192">
        <f t="shared" si="197"/>
        <v>150</v>
      </c>
      <c r="DK143" s="192">
        <f t="shared" si="197"/>
        <v>150</v>
      </c>
      <c r="DL143" s="192">
        <f t="shared" si="197"/>
        <v>150</v>
      </c>
      <c r="DM143" s="192">
        <f t="shared" si="197"/>
        <v>150</v>
      </c>
      <c r="DN143" s="192">
        <f t="shared" si="197"/>
        <v>150</v>
      </c>
      <c r="DO143" s="192">
        <f t="shared" si="197"/>
        <v>150</v>
      </c>
      <c r="DP143" s="192">
        <f t="shared" si="197"/>
        <v>150</v>
      </c>
      <c r="DQ143" s="192">
        <f t="shared" si="197"/>
        <v>150</v>
      </c>
      <c r="DR143" s="192">
        <f t="shared" si="197"/>
        <v>150</v>
      </c>
    </row>
    <row r="144" spans="1:122">
      <c r="A144" s="142" t="s">
        <v>418</v>
      </c>
      <c r="B144" s="191"/>
      <c r="C144" s="192">
        <f t="shared" ref="C144:AH144" si="198">IF($C$15&lt;&gt;"Yes",0,IF(AND(C$3&gt;=$B$15,C$3&lt;=EOMONTH($B$15,119)),INDEX($C$138:$DR$138,1,12*(YEAR(C$3)-YEAR($B$15))+MONTH(C$3)-MONTH($B$15)+1),0))</f>
        <v>0</v>
      </c>
      <c r="D144" s="192">
        <f t="shared" si="198"/>
        <v>0</v>
      </c>
      <c r="E144" s="192">
        <f t="shared" si="198"/>
        <v>0</v>
      </c>
      <c r="F144" s="192">
        <f t="shared" si="198"/>
        <v>0</v>
      </c>
      <c r="G144" s="192">
        <f t="shared" si="198"/>
        <v>0</v>
      </c>
      <c r="H144" s="192">
        <f t="shared" si="198"/>
        <v>0</v>
      </c>
      <c r="I144" s="192">
        <f t="shared" si="198"/>
        <v>0</v>
      </c>
      <c r="J144" s="192">
        <f t="shared" si="198"/>
        <v>0</v>
      </c>
      <c r="K144" s="192">
        <f t="shared" si="198"/>
        <v>0</v>
      </c>
      <c r="L144" s="192">
        <f t="shared" si="198"/>
        <v>0</v>
      </c>
      <c r="M144" s="192">
        <f t="shared" si="198"/>
        <v>0</v>
      </c>
      <c r="N144" s="192">
        <f t="shared" si="198"/>
        <v>0</v>
      </c>
      <c r="O144" s="192">
        <f t="shared" si="198"/>
        <v>0</v>
      </c>
      <c r="P144" s="192">
        <f t="shared" si="198"/>
        <v>0</v>
      </c>
      <c r="Q144" s="192">
        <f t="shared" si="198"/>
        <v>0</v>
      </c>
      <c r="R144" s="192">
        <f t="shared" si="198"/>
        <v>0</v>
      </c>
      <c r="S144" s="192">
        <f t="shared" si="198"/>
        <v>0</v>
      </c>
      <c r="T144" s="192">
        <f t="shared" si="198"/>
        <v>0</v>
      </c>
      <c r="U144" s="192">
        <f t="shared" si="198"/>
        <v>0</v>
      </c>
      <c r="V144" s="192">
        <f t="shared" si="198"/>
        <v>0</v>
      </c>
      <c r="W144" s="192">
        <f t="shared" si="198"/>
        <v>0</v>
      </c>
      <c r="X144" s="192">
        <f t="shared" si="198"/>
        <v>0</v>
      </c>
      <c r="Y144" s="192">
        <f t="shared" si="198"/>
        <v>0</v>
      </c>
      <c r="Z144" s="192">
        <f t="shared" si="198"/>
        <v>0</v>
      </c>
      <c r="AA144" s="192">
        <f t="shared" si="198"/>
        <v>0</v>
      </c>
      <c r="AB144" s="192">
        <f t="shared" si="198"/>
        <v>0</v>
      </c>
      <c r="AC144" s="192">
        <f t="shared" si="198"/>
        <v>0</v>
      </c>
      <c r="AD144" s="192">
        <f t="shared" si="198"/>
        <v>0</v>
      </c>
      <c r="AE144" s="192">
        <f t="shared" si="198"/>
        <v>0</v>
      </c>
      <c r="AF144" s="192">
        <f t="shared" si="198"/>
        <v>0</v>
      </c>
      <c r="AG144" s="192">
        <f t="shared" si="198"/>
        <v>0</v>
      </c>
      <c r="AH144" s="192">
        <f t="shared" si="198"/>
        <v>0</v>
      </c>
      <c r="AI144" s="192">
        <f t="shared" ref="AI144:BN144" si="199">IF($C$15&lt;&gt;"Yes",0,IF(AND(AI$3&gt;=$B$15,AI$3&lt;=EOMONTH($B$15,119)),INDEX($C$138:$DR$138,1,12*(YEAR(AI$3)-YEAR($B$15))+MONTH(AI$3)-MONTH($B$15)+1),0))</f>
        <v>0</v>
      </c>
      <c r="AJ144" s="192">
        <f t="shared" si="199"/>
        <v>0</v>
      </c>
      <c r="AK144" s="192">
        <f t="shared" si="199"/>
        <v>0</v>
      </c>
      <c r="AL144" s="192">
        <f t="shared" si="199"/>
        <v>0</v>
      </c>
      <c r="AM144" s="192">
        <f t="shared" si="199"/>
        <v>0</v>
      </c>
      <c r="AN144" s="192">
        <f t="shared" si="199"/>
        <v>0</v>
      </c>
      <c r="AO144" s="192">
        <f t="shared" si="199"/>
        <v>0</v>
      </c>
      <c r="AP144" s="192">
        <f t="shared" si="199"/>
        <v>0</v>
      </c>
      <c r="AQ144" s="192">
        <f t="shared" si="199"/>
        <v>0</v>
      </c>
      <c r="AR144" s="192">
        <f t="shared" si="199"/>
        <v>0</v>
      </c>
      <c r="AS144" s="192">
        <f t="shared" si="199"/>
        <v>0</v>
      </c>
      <c r="AT144" s="192">
        <f t="shared" si="199"/>
        <v>0</v>
      </c>
      <c r="AU144" s="192">
        <f t="shared" si="199"/>
        <v>0</v>
      </c>
      <c r="AV144" s="192">
        <f t="shared" si="199"/>
        <v>0</v>
      </c>
      <c r="AW144" s="192">
        <f t="shared" si="199"/>
        <v>0</v>
      </c>
      <c r="AX144" s="192">
        <f t="shared" si="199"/>
        <v>0</v>
      </c>
      <c r="AY144" s="192">
        <f t="shared" si="199"/>
        <v>0</v>
      </c>
      <c r="AZ144" s="192">
        <f t="shared" si="199"/>
        <v>0</v>
      </c>
      <c r="BA144" s="192">
        <f t="shared" si="199"/>
        <v>0</v>
      </c>
      <c r="BB144" s="192">
        <f t="shared" si="199"/>
        <v>0</v>
      </c>
      <c r="BC144" s="192">
        <f t="shared" si="199"/>
        <v>0</v>
      </c>
      <c r="BD144" s="192">
        <f t="shared" si="199"/>
        <v>0</v>
      </c>
      <c r="BE144" s="192">
        <f t="shared" si="199"/>
        <v>0</v>
      </c>
      <c r="BF144" s="192">
        <f t="shared" si="199"/>
        <v>0</v>
      </c>
      <c r="BG144" s="192">
        <f t="shared" si="199"/>
        <v>0</v>
      </c>
      <c r="BH144" s="192">
        <f t="shared" si="199"/>
        <v>0</v>
      </c>
      <c r="BI144" s="192">
        <f t="shared" si="199"/>
        <v>0</v>
      </c>
      <c r="BJ144" s="192">
        <f t="shared" si="199"/>
        <v>0</v>
      </c>
      <c r="BK144" s="192">
        <f t="shared" si="199"/>
        <v>0</v>
      </c>
      <c r="BL144" s="192">
        <f t="shared" si="199"/>
        <v>0</v>
      </c>
      <c r="BM144" s="192">
        <f t="shared" si="199"/>
        <v>0</v>
      </c>
      <c r="BN144" s="192">
        <f t="shared" si="199"/>
        <v>0</v>
      </c>
      <c r="BO144" s="192">
        <f t="shared" ref="BO144:CT144" si="200">IF($C$15&lt;&gt;"Yes",0,IF(AND(BO$3&gt;=$B$15,BO$3&lt;=EOMONTH($B$15,119)),INDEX($C$138:$DR$138,1,12*(YEAR(BO$3)-YEAR($B$15))+MONTH(BO$3)-MONTH($B$15)+1),0))</f>
        <v>0</v>
      </c>
      <c r="BP144" s="192">
        <f t="shared" si="200"/>
        <v>0</v>
      </c>
      <c r="BQ144" s="192">
        <f t="shared" si="200"/>
        <v>0</v>
      </c>
      <c r="BR144" s="192">
        <f t="shared" si="200"/>
        <v>0</v>
      </c>
      <c r="BS144" s="192">
        <f t="shared" si="200"/>
        <v>0</v>
      </c>
      <c r="BT144" s="192">
        <f t="shared" si="200"/>
        <v>0</v>
      </c>
      <c r="BU144" s="192">
        <f t="shared" si="200"/>
        <v>0</v>
      </c>
      <c r="BV144" s="192">
        <f t="shared" si="200"/>
        <v>0</v>
      </c>
      <c r="BW144" s="192">
        <f t="shared" si="200"/>
        <v>0</v>
      </c>
      <c r="BX144" s="192">
        <f t="shared" si="200"/>
        <v>0</v>
      </c>
      <c r="BY144" s="192">
        <f t="shared" si="200"/>
        <v>0</v>
      </c>
      <c r="BZ144" s="192">
        <f t="shared" si="200"/>
        <v>0</v>
      </c>
      <c r="CA144" s="192">
        <f t="shared" si="200"/>
        <v>0</v>
      </c>
      <c r="CB144" s="192">
        <f t="shared" si="200"/>
        <v>0</v>
      </c>
      <c r="CC144" s="192">
        <f t="shared" si="200"/>
        <v>0</v>
      </c>
      <c r="CD144" s="192">
        <f t="shared" si="200"/>
        <v>0</v>
      </c>
      <c r="CE144" s="192">
        <f t="shared" si="200"/>
        <v>0</v>
      </c>
      <c r="CF144" s="192">
        <f t="shared" si="200"/>
        <v>0</v>
      </c>
      <c r="CG144" s="192">
        <f t="shared" si="200"/>
        <v>0</v>
      </c>
      <c r="CH144" s="192">
        <f t="shared" si="200"/>
        <v>0</v>
      </c>
      <c r="CI144" s="192">
        <f t="shared" si="200"/>
        <v>0</v>
      </c>
      <c r="CJ144" s="192">
        <f t="shared" si="200"/>
        <v>0</v>
      </c>
      <c r="CK144" s="192">
        <f t="shared" si="200"/>
        <v>0</v>
      </c>
      <c r="CL144" s="192">
        <f t="shared" si="200"/>
        <v>0</v>
      </c>
      <c r="CM144" s="192">
        <f t="shared" si="200"/>
        <v>0</v>
      </c>
      <c r="CN144" s="192">
        <f t="shared" si="200"/>
        <v>0</v>
      </c>
      <c r="CO144" s="192">
        <f t="shared" si="200"/>
        <v>0</v>
      </c>
      <c r="CP144" s="192">
        <f t="shared" si="200"/>
        <v>0</v>
      </c>
      <c r="CQ144" s="192">
        <f t="shared" si="200"/>
        <v>0</v>
      </c>
      <c r="CR144" s="192">
        <f t="shared" si="200"/>
        <v>0</v>
      </c>
      <c r="CS144" s="192">
        <f t="shared" si="200"/>
        <v>0</v>
      </c>
      <c r="CT144" s="192">
        <f t="shared" si="200"/>
        <v>0</v>
      </c>
      <c r="CU144" s="192">
        <f t="shared" ref="CU144:DR144" si="201">IF($C$15&lt;&gt;"Yes",0,IF(AND(CU$3&gt;=$B$15,CU$3&lt;=EOMONTH($B$15,119)),INDEX($C$138:$DR$138,1,12*(YEAR(CU$3)-YEAR($B$15))+MONTH(CU$3)-MONTH($B$15)+1),0))</f>
        <v>0</v>
      </c>
      <c r="CV144" s="192">
        <f t="shared" si="201"/>
        <v>0</v>
      </c>
      <c r="CW144" s="192">
        <f t="shared" si="201"/>
        <v>0</v>
      </c>
      <c r="CX144" s="192">
        <f t="shared" si="201"/>
        <v>0</v>
      </c>
      <c r="CY144" s="192">
        <f t="shared" si="201"/>
        <v>0</v>
      </c>
      <c r="CZ144" s="192">
        <f t="shared" si="201"/>
        <v>0</v>
      </c>
      <c r="DA144" s="192">
        <f t="shared" si="201"/>
        <v>0</v>
      </c>
      <c r="DB144" s="192">
        <f t="shared" si="201"/>
        <v>0</v>
      </c>
      <c r="DC144" s="192">
        <f t="shared" si="201"/>
        <v>0</v>
      </c>
      <c r="DD144" s="192">
        <f t="shared" si="201"/>
        <v>0</v>
      </c>
      <c r="DE144" s="192">
        <f t="shared" si="201"/>
        <v>0</v>
      </c>
      <c r="DF144" s="192">
        <f t="shared" si="201"/>
        <v>0</v>
      </c>
      <c r="DG144" s="192">
        <f t="shared" si="201"/>
        <v>0</v>
      </c>
      <c r="DH144" s="192">
        <f t="shared" si="201"/>
        <v>0</v>
      </c>
      <c r="DI144" s="192">
        <f t="shared" si="201"/>
        <v>0</v>
      </c>
      <c r="DJ144" s="192">
        <f t="shared" si="201"/>
        <v>0</v>
      </c>
      <c r="DK144" s="192">
        <f t="shared" si="201"/>
        <v>0</v>
      </c>
      <c r="DL144" s="192">
        <f t="shared" si="201"/>
        <v>0</v>
      </c>
      <c r="DM144" s="192">
        <f t="shared" si="201"/>
        <v>0</v>
      </c>
      <c r="DN144" s="192">
        <f t="shared" si="201"/>
        <v>0</v>
      </c>
      <c r="DO144" s="192">
        <f t="shared" si="201"/>
        <v>0</v>
      </c>
      <c r="DP144" s="192">
        <f t="shared" si="201"/>
        <v>0</v>
      </c>
      <c r="DQ144" s="192">
        <f t="shared" si="201"/>
        <v>0</v>
      </c>
      <c r="DR144" s="192">
        <f t="shared" si="201"/>
        <v>0</v>
      </c>
    </row>
    <row r="145" spans="1:122">
      <c r="A145" s="142" t="s">
        <v>419</v>
      </c>
      <c r="B145" s="191"/>
      <c r="C145" s="192">
        <f t="shared" ref="C145:AH145" si="202">IF($C$16&lt;&gt;"Yes",0,IF(AND(C$3&gt;=$B$16,C$3&lt;=EOMONTH($B$16,119)),INDEX($C$138:$DR$138,1,12*(YEAR(C$3)-YEAR($B$16))+MONTH(C$3)-MONTH($B$16)+1),0))</f>
        <v>0</v>
      </c>
      <c r="D145" s="192">
        <f t="shared" si="202"/>
        <v>0</v>
      </c>
      <c r="E145" s="192">
        <f t="shared" si="202"/>
        <v>0</v>
      </c>
      <c r="F145" s="192">
        <f t="shared" si="202"/>
        <v>0</v>
      </c>
      <c r="G145" s="192">
        <f t="shared" si="202"/>
        <v>0</v>
      </c>
      <c r="H145" s="192">
        <f t="shared" si="202"/>
        <v>0</v>
      </c>
      <c r="I145" s="192">
        <f t="shared" si="202"/>
        <v>0</v>
      </c>
      <c r="J145" s="192">
        <f t="shared" si="202"/>
        <v>0</v>
      </c>
      <c r="K145" s="192">
        <f t="shared" si="202"/>
        <v>0</v>
      </c>
      <c r="L145" s="192">
        <f t="shared" si="202"/>
        <v>0</v>
      </c>
      <c r="M145" s="192">
        <f t="shared" si="202"/>
        <v>0</v>
      </c>
      <c r="N145" s="192">
        <f t="shared" si="202"/>
        <v>0</v>
      </c>
      <c r="O145" s="192">
        <f t="shared" si="202"/>
        <v>0</v>
      </c>
      <c r="P145" s="192">
        <f t="shared" si="202"/>
        <v>0</v>
      </c>
      <c r="Q145" s="192">
        <f t="shared" si="202"/>
        <v>0</v>
      </c>
      <c r="R145" s="192">
        <f t="shared" si="202"/>
        <v>0</v>
      </c>
      <c r="S145" s="192">
        <f t="shared" si="202"/>
        <v>0</v>
      </c>
      <c r="T145" s="192">
        <f t="shared" si="202"/>
        <v>0</v>
      </c>
      <c r="U145" s="192">
        <f t="shared" si="202"/>
        <v>0</v>
      </c>
      <c r="V145" s="192">
        <f t="shared" si="202"/>
        <v>0</v>
      </c>
      <c r="W145" s="192">
        <f t="shared" si="202"/>
        <v>0</v>
      </c>
      <c r="X145" s="192">
        <f t="shared" si="202"/>
        <v>0</v>
      </c>
      <c r="Y145" s="192">
        <f t="shared" si="202"/>
        <v>0</v>
      </c>
      <c r="Z145" s="192">
        <f t="shared" si="202"/>
        <v>0</v>
      </c>
      <c r="AA145" s="192">
        <f t="shared" si="202"/>
        <v>0</v>
      </c>
      <c r="AB145" s="192">
        <f t="shared" si="202"/>
        <v>0</v>
      </c>
      <c r="AC145" s="192">
        <f t="shared" si="202"/>
        <v>0</v>
      </c>
      <c r="AD145" s="192">
        <f t="shared" si="202"/>
        <v>0</v>
      </c>
      <c r="AE145" s="192">
        <f t="shared" si="202"/>
        <v>0</v>
      </c>
      <c r="AF145" s="192">
        <f t="shared" si="202"/>
        <v>0</v>
      </c>
      <c r="AG145" s="192">
        <f t="shared" si="202"/>
        <v>0</v>
      </c>
      <c r="AH145" s="192">
        <f t="shared" si="202"/>
        <v>0</v>
      </c>
      <c r="AI145" s="192">
        <f t="shared" ref="AI145:BN145" si="203">IF($C$16&lt;&gt;"Yes",0,IF(AND(AI$3&gt;=$B$16,AI$3&lt;=EOMONTH($B$16,119)),INDEX($C$138:$DR$138,1,12*(YEAR(AI$3)-YEAR($B$16))+MONTH(AI$3)-MONTH($B$16)+1),0))</f>
        <v>0</v>
      </c>
      <c r="AJ145" s="192">
        <f t="shared" si="203"/>
        <v>0</v>
      </c>
      <c r="AK145" s="192">
        <f t="shared" si="203"/>
        <v>0</v>
      </c>
      <c r="AL145" s="192">
        <f t="shared" si="203"/>
        <v>0</v>
      </c>
      <c r="AM145" s="192">
        <f t="shared" si="203"/>
        <v>0</v>
      </c>
      <c r="AN145" s="192">
        <f t="shared" si="203"/>
        <v>0</v>
      </c>
      <c r="AO145" s="192">
        <f t="shared" si="203"/>
        <v>0</v>
      </c>
      <c r="AP145" s="192">
        <f t="shared" si="203"/>
        <v>0</v>
      </c>
      <c r="AQ145" s="192">
        <f t="shared" si="203"/>
        <v>0</v>
      </c>
      <c r="AR145" s="192">
        <f t="shared" si="203"/>
        <v>0</v>
      </c>
      <c r="AS145" s="192">
        <f t="shared" si="203"/>
        <v>0</v>
      </c>
      <c r="AT145" s="192">
        <f t="shared" si="203"/>
        <v>0</v>
      </c>
      <c r="AU145" s="192">
        <f t="shared" si="203"/>
        <v>0</v>
      </c>
      <c r="AV145" s="192">
        <f t="shared" si="203"/>
        <v>0</v>
      </c>
      <c r="AW145" s="192">
        <f t="shared" si="203"/>
        <v>0</v>
      </c>
      <c r="AX145" s="192">
        <f t="shared" si="203"/>
        <v>0</v>
      </c>
      <c r="AY145" s="192">
        <f t="shared" si="203"/>
        <v>0</v>
      </c>
      <c r="AZ145" s="192">
        <f t="shared" si="203"/>
        <v>0</v>
      </c>
      <c r="BA145" s="192">
        <f t="shared" si="203"/>
        <v>0</v>
      </c>
      <c r="BB145" s="192">
        <f t="shared" si="203"/>
        <v>0</v>
      </c>
      <c r="BC145" s="192">
        <f t="shared" si="203"/>
        <v>0</v>
      </c>
      <c r="BD145" s="192">
        <f t="shared" si="203"/>
        <v>0</v>
      </c>
      <c r="BE145" s="192">
        <f t="shared" si="203"/>
        <v>0</v>
      </c>
      <c r="BF145" s="192">
        <f t="shared" si="203"/>
        <v>0</v>
      </c>
      <c r="BG145" s="192">
        <f t="shared" si="203"/>
        <v>0</v>
      </c>
      <c r="BH145" s="192">
        <f t="shared" si="203"/>
        <v>0</v>
      </c>
      <c r="BI145" s="192">
        <f t="shared" si="203"/>
        <v>0</v>
      </c>
      <c r="BJ145" s="192">
        <f t="shared" si="203"/>
        <v>0</v>
      </c>
      <c r="BK145" s="192">
        <f t="shared" si="203"/>
        <v>0</v>
      </c>
      <c r="BL145" s="192">
        <f t="shared" si="203"/>
        <v>0</v>
      </c>
      <c r="BM145" s="192">
        <f t="shared" si="203"/>
        <v>0</v>
      </c>
      <c r="BN145" s="192">
        <f t="shared" si="203"/>
        <v>0</v>
      </c>
      <c r="BO145" s="192">
        <f t="shared" ref="BO145:CT145" si="204">IF($C$16&lt;&gt;"Yes",0,IF(AND(BO$3&gt;=$B$16,BO$3&lt;=EOMONTH($B$16,119)),INDEX($C$138:$DR$138,1,12*(YEAR(BO$3)-YEAR($B$16))+MONTH(BO$3)-MONTH($B$16)+1),0))</f>
        <v>0</v>
      </c>
      <c r="BP145" s="192">
        <f t="shared" si="204"/>
        <v>0</v>
      </c>
      <c r="BQ145" s="192">
        <f t="shared" si="204"/>
        <v>0</v>
      </c>
      <c r="BR145" s="192">
        <f t="shared" si="204"/>
        <v>0</v>
      </c>
      <c r="BS145" s="192">
        <f t="shared" si="204"/>
        <v>0</v>
      </c>
      <c r="BT145" s="192">
        <f t="shared" si="204"/>
        <v>58.333333333333343</v>
      </c>
      <c r="BU145" s="192">
        <f t="shared" si="204"/>
        <v>66.666666666666671</v>
      </c>
      <c r="BV145" s="192">
        <f t="shared" si="204"/>
        <v>75</v>
      </c>
      <c r="BW145" s="192">
        <f t="shared" si="204"/>
        <v>83.333333333333329</v>
      </c>
      <c r="BX145" s="192">
        <f t="shared" si="204"/>
        <v>91.666666666666657</v>
      </c>
      <c r="BY145" s="192">
        <f t="shared" si="204"/>
        <v>99.999999999999986</v>
      </c>
      <c r="BZ145" s="192">
        <f t="shared" si="204"/>
        <v>108.33333333333331</v>
      </c>
      <c r="CA145" s="192">
        <f t="shared" si="204"/>
        <v>116.66666666666664</v>
      </c>
      <c r="CB145" s="192">
        <f t="shared" si="204"/>
        <v>124.99999999999997</v>
      </c>
      <c r="CC145" s="192">
        <f t="shared" si="204"/>
        <v>133.33333333333331</v>
      </c>
      <c r="CD145" s="192">
        <f t="shared" si="204"/>
        <v>141.66666666666666</v>
      </c>
      <c r="CE145" s="192">
        <f t="shared" si="204"/>
        <v>150</v>
      </c>
      <c r="CF145" s="192">
        <f t="shared" si="204"/>
        <v>150</v>
      </c>
      <c r="CG145" s="192">
        <f t="shared" si="204"/>
        <v>150</v>
      </c>
      <c r="CH145" s="192">
        <f t="shared" si="204"/>
        <v>150</v>
      </c>
      <c r="CI145" s="192">
        <f t="shared" si="204"/>
        <v>150</v>
      </c>
      <c r="CJ145" s="192">
        <f t="shared" si="204"/>
        <v>150</v>
      </c>
      <c r="CK145" s="192">
        <f t="shared" si="204"/>
        <v>150</v>
      </c>
      <c r="CL145" s="192">
        <f t="shared" si="204"/>
        <v>150</v>
      </c>
      <c r="CM145" s="192">
        <f t="shared" si="204"/>
        <v>150</v>
      </c>
      <c r="CN145" s="192">
        <f t="shared" si="204"/>
        <v>150</v>
      </c>
      <c r="CO145" s="192">
        <f t="shared" si="204"/>
        <v>150</v>
      </c>
      <c r="CP145" s="192">
        <f t="shared" si="204"/>
        <v>150</v>
      </c>
      <c r="CQ145" s="192">
        <f t="shared" si="204"/>
        <v>150</v>
      </c>
      <c r="CR145" s="192">
        <f t="shared" si="204"/>
        <v>150</v>
      </c>
      <c r="CS145" s="192">
        <f t="shared" si="204"/>
        <v>150</v>
      </c>
      <c r="CT145" s="192">
        <f t="shared" si="204"/>
        <v>150</v>
      </c>
      <c r="CU145" s="192">
        <f t="shared" ref="CU145:DR145" si="205">IF($C$16&lt;&gt;"Yes",0,IF(AND(CU$3&gt;=$B$16,CU$3&lt;=EOMONTH($B$16,119)),INDEX($C$138:$DR$138,1,12*(YEAR(CU$3)-YEAR($B$16))+MONTH(CU$3)-MONTH($B$16)+1),0))</f>
        <v>150</v>
      </c>
      <c r="CV145" s="192">
        <f t="shared" si="205"/>
        <v>150</v>
      </c>
      <c r="CW145" s="192">
        <f t="shared" si="205"/>
        <v>150</v>
      </c>
      <c r="CX145" s="192">
        <f t="shared" si="205"/>
        <v>150</v>
      </c>
      <c r="CY145" s="192">
        <f t="shared" si="205"/>
        <v>150</v>
      </c>
      <c r="CZ145" s="192">
        <f t="shared" si="205"/>
        <v>150</v>
      </c>
      <c r="DA145" s="192">
        <f t="shared" si="205"/>
        <v>150</v>
      </c>
      <c r="DB145" s="192">
        <f t="shared" si="205"/>
        <v>150</v>
      </c>
      <c r="DC145" s="192">
        <f t="shared" si="205"/>
        <v>150</v>
      </c>
      <c r="DD145" s="192">
        <f t="shared" si="205"/>
        <v>150</v>
      </c>
      <c r="DE145" s="192">
        <f t="shared" si="205"/>
        <v>150</v>
      </c>
      <c r="DF145" s="192">
        <f t="shared" si="205"/>
        <v>150</v>
      </c>
      <c r="DG145" s="192">
        <f t="shared" si="205"/>
        <v>150</v>
      </c>
      <c r="DH145" s="192">
        <f t="shared" si="205"/>
        <v>150</v>
      </c>
      <c r="DI145" s="192">
        <f t="shared" si="205"/>
        <v>150</v>
      </c>
      <c r="DJ145" s="192">
        <f t="shared" si="205"/>
        <v>150</v>
      </c>
      <c r="DK145" s="192">
        <f t="shared" si="205"/>
        <v>150</v>
      </c>
      <c r="DL145" s="192">
        <f t="shared" si="205"/>
        <v>150</v>
      </c>
      <c r="DM145" s="192">
        <f t="shared" si="205"/>
        <v>150</v>
      </c>
      <c r="DN145" s="192">
        <f t="shared" si="205"/>
        <v>150</v>
      </c>
      <c r="DO145" s="192">
        <f t="shared" si="205"/>
        <v>150</v>
      </c>
      <c r="DP145" s="192">
        <f t="shared" si="205"/>
        <v>150</v>
      </c>
      <c r="DQ145" s="192">
        <f t="shared" si="205"/>
        <v>150</v>
      </c>
      <c r="DR145" s="192">
        <f t="shared" si="205"/>
        <v>150</v>
      </c>
    </row>
    <row r="146" spans="1:122">
      <c r="A146" s="142" t="s">
        <v>420</v>
      </c>
      <c r="B146" s="191"/>
      <c r="C146" s="192">
        <f t="shared" ref="C146:AH146" si="206">IF($C$17&lt;&gt;"Yes",0,IF(AND(C$3&gt;=$B$17,C$3&lt;=EOMONTH($B$17,119)),INDEX($C$138:$DR$138,1,12*(YEAR(C$3)-YEAR($B$17))+MONTH(C$3)-MONTH($B$17)+1),0))</f>
        <v>0</v>
      </c>
      <c r="D146" s="192">
        <f t="shared" si="206"/>
        <v>0</v>
      </c>
      <c r="E146" s="192">
        <f t="shared" si="206"/>
        <v>0</v>
      </c>
      <c r="F146" s="192">
        <f t="shared" si="206"/>
        <v>0</v>
      </c>
      <c r="G146" s="192">
        <f t="shared" si="206"/>
        <v>0</v>
      </c>
      <c r="H146" s="192">
        <f t="shared" si="206"/>
        <v>0</v>
      </c>
      <c r="I146" s="192">
        <f t="shared" si="206"/>
        <v>0</v>
      </c>
      <c r="J146" s="192">
        <f t="shared" si="206"/>
        <v>0</v>
      </c>
      <c r="K146" s="192">
        <f t="shared" si="206"/>
        <v>0</v>
      </c>
      <c r="L146" s="192">
        <f t="shared" si="206"/>
        <v>0</v>
      </c>
      <c r="M146" s="192">
        <f t="shared" si="206"/>
        <v>0</v>
      </c>
      <c r="N146" s="192">
        <f t="shared" si="206"/>
        <v>0</v>
      </c>
      <c r="O146" s="192">
        <f t="shared" si="206"/>
        <v>0</v>
      </c>
      <c r="P146" s="192">
        <f t="shared" si="206"/>
        <v>0</v>
      </c>
      <c r="Q146" s="192">
        <f t="shared" si="206"/>
        <v>0</v>
      </c>
      <c r="R146" s="192">
        <f t="shared" si="206"/>
        <v>0</v>
      </c>
      <c r="S146" s="192">
        <f t="shared" si="206"/>
        <v>0</v>
      </c>
      <c r="T146" s="192">
        <f t="shared" si="206"/>
        <v>0</v>
      </c>
      <c r="U146" s="192">
        <f t="shared" si="206"/>
        <v>0</v>
      </c>
      <c r="V146" s="192">
        <f t="shared" si="206"/>
        <v>0</v>
      </c>
      <c r="W146" s="192">
        <f t="shared" si="206"/>
        <v>0</v>
      </c>
      <c r="X146" s="192">
        <f t="shared" si="206"/>
        <v>0</v>
      </c>
      <c r="Y146" s="192">
        <f t="shared" si="206"/>
        <v>0</v>
      </c>
      <c r="Z146" s="192">
        <f t="shared" si="206"/>
        <v>0</v>
      </c>
      <c r="AA146" s="192">
        <f t="shared" si="206"/>
        <v>0</v>
      </c>
      <c r="AB146" s="192">
        <f t="shared" si="206"/>
        <v>0</v>
      </c>
      <c r="AC146" s="192">
        <f t="shared" si="206"/>
        <v>0</v>
      </c>
      <c r="AD146" s="192">
        <f t="shared" si="206"/>
        <v>0</v>
      </c>
      <c r="AE146" s="192">
        <f t="shared" si="206"/>
        <v>0</v>
      </c>
      <c r="AF146" s="192">
        <f t="shared" si="206"/>
        <v>0</v>
      </c>
      <c r="AG146" s="192">
        <f t="shared" si="206"/>
        <v>0</v>
      </c>
      <c r="AH146" s="192">
        <f t="shared" si="206"/>
        <v>0</v>
      </c>
      <c r="AI146" s="192">
        <f t="shared" ref="AI146:BN146" si="207">IF($C$17&lt;&gt;"Yes",0,IF(AND(AI$3&gt;=$B$17,AI$3&lt;=EOMONTH($B$17,119)),INDEX($C$138:$DR$138,1,12*(YEAR(AI$3)-YEAR($B$17))+MONTH(AI$3)-MONTH($B$17)+1),0))</f>
        <v>0</v>
      </c>
      <c r="AJ146" s="192">
        <f t="shared" si="207"/>
        <v>0</v>
      </c>
      <c r="AK146" s="192">
        <f t="shared" si="207"/>
        <v>0</v>
      </c>
      <c r="AL146" s="192">
        <f t="shared" si="207"/>
        <v>0</v>
      </c>
      <c r="AM146" s="192">
        <f t="shared" si="207"/>
        <v>0</v>
      </c>
      <c r="AN146" s="192">
        <f t="shared" si="207"/>
        <v>0</v>
      </c>
      <c r="AO146" s="192">
        <f t="shared" si="207"/>
        <v>0</v>
      </c>
      <c r="AP146" s="192">
        <f t="shared" si="207"/>
        <v>0</v>
      </c>
      <c r="AQ146" s="192">
        <f t="shared" si="207"/>
        <v>0</v>
      </c>
      <c r="AR146" s="192">
        <f t="shared" si="207"/>
        <v>0</v>
      </c>
      <c r="AS146" s="192">
        <f t="shared" si="207"/>
        <v>0</v>
      </c>
      <c r="AT146" s="192">
        <f t="shared" si="207"/>
        <v>0</v>
      </c>
      <c r="AU146" s="192">
        <f t="shared" si="207"/>
        <v>0</v>
      </c>
      <c r="AV146" s="192">
        <f t="shared" si="207"/>
        <v>0</v>
      </c>
      <c r="AW146" s="192">
        <f t="shared" si="207"/>
        <v>0</v>
      </c>
      <c r="AX146" s="192">
        <f t="shared" si="207"/>
        <v>0</v>
      </c>
      <c r="AY146" s="192">
        <f t="shared" si="207"/>
        <v>0</v>
      </c>
      <c r="AZ146" s="192">
        <f t="shared" si="207"/>
        <v>0</v>
      </c>
      <c r="BA146" s="192">
        <f t="shared" si="207"/>
        <v>0</v>
      </c>
      <c r="BB146" s="192">
        <f t="shared" si="207"/>
        <v>0</v>
      </c>
      <c r="BC146" s="192">
        <f t="shared" si="207"/>
        <v>0</v>
      </c>
      <c r="BD146" s="192">
        <f t="shared" si="207"/>
        <v>0</v>
      </c>
      <c r="BE146" s="192">
        <f t="shared" si="207"/>
        <v>0</v>
      </c>
      <c r="BF146" s="192">
        <f t="shared" si="207"/>
        <v>0</v>
      </c>
      <c r="BG146" s="192">
        <f t="shared" si="207"/>
        <v>0</v>
      </c>
      <c r="BH146" s="192">
        <f t="shared" si="207"/>
        <v>0</v>
      </c>
      <c r="BI146" s="192">
        <f t="shared" si="207"/>
        <v>0</v>
      </c>
      <c r="BJ146" s="192">
        <f t="shared" si="207"/>
        <v>0</v>
      </c>
      <c r="BK146" s="192">
        <f t="shared" si="207"/>
        <v>0</v>
      </c>
      <c r="BL146" s="192">
        <f t="shared" si="207"/>
        <v>0</v>
      </c>
      <c r="BM146" s="192">
        <f t="shared" si="207"/>
        <v>0</v>
      </c>
      <c r="BN146" s="192">
        <f t="shared" si="207"/>
        <v>0</v>
      </c>
      <c r="BO146" s="192">
        <f t="shared" ref="BO146:CT146" si="208">IF($C$17&lt;&gt;"Yes",0,IF(AND(BO$3&gt;=$B$17,BO$3&lt;=EOMONTH($B$17,119)),INDEX($C$138:$DR$138,1,12*(YEAR(BO$3)-YEAR($B$17))+MONTH(BO$3)-MONTH($B$17)+1),0))</f>
        <v>0</v>
      </c>
      <c r="BP146" s="192">
        <f t="shared" si="208"/>
        <v>0</v>
      </c>
      <c r="BQ146" s="192">
        <f t="shared" si="208"/>
        <v>0</v>
      </c>
      <c r="BR146" s="192">
        <f t="shared" si="208"/>
        <v>0</v>
      </c>
      <c r="BS146" s="192">
        <f t="shared" si="208"/>
        <v>0</v>
      </c>
      <c r="BT146" s="192">
        <f t="shared" si="208"/>
        <v>0</v>
      </c>
      <c r="BU146" s="192">
        <f t="shared" si="208"/>
        <v>0</v>
      </c>
      <c r="BV146" s="192">
        <f t="shared" si="208"/>
        <v>0</v>
      </c>
      <c r="BW146" s="192">
        <f t="shared" si="208"/>
        <v>0</v>
      </c>
      <c r="BX146" s="192">
        <f t="shared" si="208"/>
        <v>0</v>
      </c>
      <c r="BY146" s="192">
        <f t="shared" si="208"/>
        <v>0</v>
      </c>
      <c r="BZ146" s="192">
        <f t="shared" si="208"/>
        <v>0</v>
      </c>
      <c r="CA146" s="192">
        <f t="shared" si="208"/>
        <v>0</v>
      </c>
      <c r="CB146" s="192">
        <f t="shared" si="208"/>
        <v>0</v>
      </c>
      <c r="CC146" s="192">
        <f t="shared" si="208"/>
        <v>0</v>
      </c>
      <c r="CD146" s="192">
        <f t="shared" si="208"/>
        <v>0</v>
      </c>
      <c r="CE146" s="192">
        <f t="shared" si="208"/>
        <v>0</v>
      </c>
      <c r="CF146" s="192">
        <f t="shared" si="208"/>
        <v>0</v>
      </c>
      <c r="CG146" s="192">
        <f t="shared" si="208"/>
        <v>0</v>
      </c>
      <c r="CH146" s="192">
        <f t="shared" si="208"/>
        <v>0</v>
      </c>
      <c r="CI146" s="192">
        <f t="shared" si="208"/>
        <v>0</v>
      </c>
      <c r="CJ146" s="192">
        <f t="shared" si="208"/>
        <v>0</v>
      </c>
      <c r="CK146" s="192">
        <f t="shared" si="208"/>
        <v>0</v>
      </c>
      <c r="CL146" s="192">
        <f t="shared" si="208"/>
        <v>0</v>
      </c>
      <c r="CM146" s="192">
        <f t="shared" si="208"/>
        <v>0</v>
      </c>
      <c r="CN146" s="192">
        <f t="shared" si="208"/>
        <v>0</v>
      </c>
      <c r="CO146" s="192">
        <f t="shared" si="208"/>
        <v>0</v>
      </c>
      <c r="CP146" s="192">
        <f t="shared" si="208"/>
        <v>0</v>
      </c>
      <c r="CQ146" s="192">
        <f t="shared" si="208"/>
        <v>0</v>
      </c>
      <c r="CR146" s="192">
        <f t="shared" si="208"/>
        <v>0</v>
      </c>
      <c r="CS146" s="192">
        <f t="shared" si="208"/>
        <v>0</v>
      </c>
      <c r="CT146" s="192">
        <f t="shared" si="208"/>
        <v>0</v>
      </c>
      <c r="CU146" s="192">
        <f t="shared" ref="CU146:DR146" si="209">IF($C$17&lt;&gt;"Yes",0,IF(AND(CU$3&gt;=$B$17,CU$3&lt;=EOMONTH($B$17,119)),INDEX($C$138:$DR$138,1,12*(YEAR(CU$3)-YEAR($B$17))+MONTH(CU$3)-MONTH($B$17)+1),0))</f>
        <v>0</v>
      </c>
      <c r="CV146" s="192">
        <f t="shared" si="209"/>
        <v>0</v>
      </c>
      <c r="CW146" s="192">
        <f t="shared" si="209"/>
        <v>0</v>
      </c>
      <c r="CX146" s="192">
        <f t="shared" si="209"/>
        <v>0</v>
      </c>
      <c r="CY146" s="192">
        <f t="shared" si="209"/>
        <v>0</v>
      </c>
      <c r="CZ146" s="192">
        <f t="shared" si="209"/>
        <v>0</v>
      </c>
      <c r="DA146" s="192">
        <f t="shared" si="209"/>
        <v>0</v>
      </c>
      <c r="DB146" s="192">
        <f t="shared" si="209"/>
        <v>0</v>
      </c>
      <c r="DC146" s="192">
        <f t="shared" si="209"/>
        <v>0</v>
      </c>
      <c r="DD146" s="192">
        <f t="shared" si="209"/>
        <v>0</v>
      </c>
      <c r="DE146" s="192">
        <f t="shared" si="209"/>
        <v>0</v>
      </c>
      <c r="DF146" s="192">
        <f t="shared" si="209"/>
        <v>0</v>
      </c>
      <c r="DG146" s="192">
        <f t="shared" si="209"/>
        <v>0</v>
      </c>
      <c r="DH146" s="192">
        <f t="shared" si="209"/>
        <v>0</v>
      </c>
      <c r="DI146" s="192">
        <f t="shared" si="209"/>
        <v>0</v>
      </c>
      <c r="DJ146" s="192">
        <f t="shared" si="209"/>
        <v>0</v>
      </c>
      <c r="DK146" s="192">
        <f t="shared" si="209"/>
        <v>0</v>
      </c>
      <c r="DL146" s="192">
        <f t="shared" si="209"/>
        <v>0</v>
      </c>
      <c r="DM146" s="192">
        <f t="shared" si="209"/>
        <v>0</v>
      </c>
      <c r="DN146" s="192">
        <f t="shared" si="209"/>
        <v>0</v>
      </c>
      <c r="DO146" s="192">
        <f t="shared" si="209"/>
        <v>0</v>
      </c>
      <c r="DP146" s="192">
        <f t="shared" si="209"/>
        <v>0</v>
      </c>
      <c r="DQ146" s="192">
        <f t="shared" si="209"/>
        <v>0</v>
      </c>
      <c r="DR146" s="192">
        <f t="shared" si="209"/>
        <v>0</v>
      </c>
    </row>
    <row r="147" spans="1:122">
      <c r="A147" s="142" t="s">
        <v>421</v>
      </c>
      <c r="B147" s="191"/>
      <c r="C147" s="192">
        <f t="shared" ref="C147:AH147" si="210">IF($C$18&lt;&gt;"Yes",0,IF(AND(C$3&gt;=$B$18,C$3&lt;=EOMONTH($B$18,119)),INDEX($C$138:$DR$138,1,12*(YEAR(C$3)-YEAR($B$18))+MONTH(C$3)-MONTH($B$18)+1),0))</f>
        <v>0</v>
      </c>
      <c r="D147" s="192">
        <f t="shared" si="210"/>
        <v>0</v>
      </c>
      <c r="E147" s="192">
        <f t="shared" si="210"/>
        <v>0</v>
      </c>
      <c r="F147" s="192">
        <f t="shared" si="210"/>
        <v>0</v>
      </c>
      <c r="G147" s="192">
        <f t="shared" si="210"/>
        <v>0</v>
      </c>
      <c r="H147" s="192">
        <f t="shared" si="210"/>
        <v>0</v>
      </c>
      <c r="I147" s="192">
        <f t="shared" si="210"/>
        <v>0</v>
      </c>
      <c r="J147" s="192">
        <f t="shared" si="210"/>
        <v>0</v>
      </c>
      <c r="K147" s="192">
        <f t="shared" si="210"/>
        <v>0</v>
      </c>
      <c r="L147" s="192">
        <f t="shared" si="210"/>
        <v>0</v>
      </c>
      <c r="M147" s="192">
        <f t="shared" si="210"/>
        <v>0</v>
      </c>
      <c r="N147" s="192">
        <f t="shared" si="210"/>
        <v>0</v>
      </c>
      <c r="O147" s="192">
        <f t="shared" si="210"/>
        <v>0</v>
      </c>
      <c r="P147" s="192">
        <f t="shared" si="210"/>
        <v>0</v>
      </c>
      <c r="Q147" s="192">
        <f t="shared" si="210"/>
        <v>0</v>
      </c>
      <c r="R147" s="192">
        <f t="shared" si="210"/>
        <v>0</v>
      </c>
      <c r="S147" s="192">
        <f t="shared" si="210"/>
        <v>0</v>
      </c>
      <c r="T147" s="192">
        <f t="shared" si="210"/>
        <v>0</v>
      </c>
      <c r="U147" s="192">
        <f t="shared" si="210"/>
        <v>0</v>
      </c>
      <c r="V147" s="192">
        <f t="shared" si="210"/>
        <v>0</v>
      </c>
      <c r="W147" s="192">
        <f t="shared" si="210"/>
        <v>0</v>
      </c>
      <c r="X147" s="192">
        <f t="shared" si="210"/>
        <v>0</v>
      </c>
      <c r="Y147" s="192">
        <f t="shared" si="210"/>
        <v>0</v>
      </c>
      <c r="Z147" s="192">
        <f t="shared" si="210"/>
        <v>0</v>
      </c>
      <c r="AA147" s="192">
        <f t="shared" si="210"/>
        <v>0</v>
      </c>
      <c r="AB147" s="192">
        <f t="shared" si="210"/>
        <v>0</v>
      </c>
      <c r="AC147" s="192">
        <f t="shared" si="210"/>
        <v>0</v>
      </c>
      <c r="AD147" s="192">
        <f t="shared" si="210"/>
        <v>0</v>
      </c>
      <c r="AE147" s="192">
        <f t="shared" si="210"/>
        <v>0</v>
      </c>
      <c r="AF147" s="192">
        <f t="shared" si="210"/>
        <v>0</v>
      </c>
      <c r="AG147" s="192">
        <f t="shared" si="210"/>
        <v>0</v>
      </c>
      <c r="AH147" s="192">
        <f t="shared" si="210"/>
        <v>0</v>
      </c>
      <c r="AI147" s="192">
        <f t="shared" ref="AI147:BN147" si="211">IF($C$18&lt;&gt;"Yes",0,IF(AND(AI$3&gt;=$B$18,AI$3&lt;=EOMONTH($B$18,119)),INDEX($C$138:$DR$138,1,12*(YEAR(AI$3)-YEAR($B$18))+MONTH(AI$3)-MONTH($B$18)+1),0))</f>
        <v>0</v>
      </c>
      <c r="AJ147" s="192">
        <f t="shared" si="211"/>
        <v>0</v>
      </c>
      <c r="AK147" s="192">
        <f t="shared" si="211"/>
        <v>0</v>
      </c>
      <c r="AL147" s="192">
        <f t="shared" si="211"/>
        <v>0</v>
      </c>
      <c r="AM147" s="192">
        <f t="shared" si="211"/>
        <v>0</v>
      </c>
      <c r="AN147" s="192">
        <f t="shared" si="211"/>
        <v>0</v>
      </c>
      <c r="AO147" s="192">
        <f t="shared" si="211"/>
        <v>0</v>
      </c>
      <c r="AP147" s="192">
        <f t="shared" si="211"/>
        <v>0</v>
      </c>
      <c r="AQ147" s="192">
        <f t="shared" si="211"/>
        <v>0</v>
      </c>
      <c r="AR147" s="192">
        <f t="shared" si="211"/>
        <v>0</v>
      </c>
      <c r="AS147" s="192">
        <f t="shared" si="211"/>
        <v>0</v>
      </c>
      <c r="AT147" s="192">
        <f t="shared" si="211"/>
        <v>0</v>
      </c>
      <c r="AU147" s="192">
        <f t="shared" si="211"/>
        <v>0</v>
      </c>
      <c r="AV147" s="192">
        <f t="shared" si="211"/>
        <v>0</v>
      </c>
      <c r="AW147" s="192">
        <f t="shared" si="211"/>
        <v>0</v>
      </c>
      <c r="AX147" s="192">
        <f t="shared" si="211"/>
        <v>0</v>
      </c>
      <c r="AY147" s="192">
        <f t="shared" si="211"/>
        <v>0</v>
      </c>
      <c r="AZ147" s="192">
        <f t="shared" si="211"/>
        <v>0</v>
      </c>
      <c r="BA147" s="192">
        <f t="shared" si="211"/>
        <v>0</v>
      </c>
      <c r="BB147" s="192">
        <f t="shared" si="211"/>
        <v>0</v>
      </c>
      <c r="BC147" s="192">
        <f t="shared" si="211"/>
        <v>0</v>
      </c>
      <c r="BD147" s="192">
        <f t="shared" si="211"/>
        <v>0</v>
      </c>
      <c r="BE147" s="192">
        <f t="shared" si="211"/>
        <v>0</v>
      </c>
      <c r="BF147" s="192">
        <f t="shared" si="211"/>
        <v>0</v>
      </c>
      <c r="BG147" s="192">
        <f t="shared" si="211"/>
        <v>0</v>
      </c>
      <c r="BH147" s="192">
        <f t="shared" si="211"/>
        <v>0</v>
      </c>
      <c r="BI147" s="192">
        <f t="shared" si="211"/>
        <v>0</v>
      </c>
      <c r="BJ147" s="192">
        <f t="shared" si="211"/>
        <v>0</v>
      </c>
      <c r="BK147" s="192">
        <f t="shared" si="211"/>
        <v>0</v>
      </c>
      <c r="BL147" s="192">
        <f t="shared" si="211"/>
        <v>0</v>
      </c>
      <c r="BM147" s="192">
        <f t="shared" si="211"/>
        <v>0</v>
      </c>
      <c r="BN147" s="192">
        <f t="shared" si="211"/>
        <v>0</v>
      </c>
      <c r="BO147" s="192">
        <f t="shared" ref="BO147:CT147" si="212">IF($C$18&lt;&gt;"Yes",0,IF(AND(BO$3&gt;=$B$18,BO$3&lt;=EOMONTH($B$18,119)),INDEX($C$138:$DR$138,1,12*(YEAR(BO$3)-YEAR($B$18))+MONTH(BO$3)-MONTH($B$18)+1),0))</f>
        <v>0</v>
      </c>
      <c r="BP147" s="192">
        <f t="shared" si="212"/>
        <v>0</v>
      </c>
      <c r="BQ147" s="192">
        <f t="shared" si="212"/>
        <v>0</v>
      </c>
      <c r="BR147" s="192">
        <f t="shared" si="212"/>
        <v>0</v>
      </c>
      <c r="BS147" s="192">
        <f t="shared" si="212"/>
        <v>0</v>
      </c>
      <c r="BT147" s="192">
        <f t="shared" si="212"/>
        <v>0</v>
      </c>
      <c r="BU147" s="192">
        <f t="shared" si="212"/>
        <v>0</v>
      </c>
      <c r="BV147" s="192">
        <f t="shared" si="212"/>
        <v>0</v>
      </c>
      <c r="BW147" s="192">
        <f t="shared" si="212"/>
        <v>0</v>
      </c>
      <c r="BX147" s="192">
        <f t="shared" si="212"/>
        <v>0</v>
      </c>
      <c r="BY147" s="192">
        <f t="shared" si="212"/>
        <v>0</v>
      </c>
      <c r="BZ147" s="192">
        <f t="shared" si="212"/>
        <v>58.333333333333343</v>
      </c>
      <c r="CA147" s="192">
        <f t="shared" si="212"/>
        <v>66.666666666666671</v>
      </c>
      <c r="CB147" s="192">
        <f t="shared" si="212"/>
        <v>75</v>
      </c>
      <c r="CC147" s="192">
        <f t="shared" si="212"/>
        <v>83.333333333333329</v>
      </c>
      <c r="CD147" s="192">
        <f t="shared" si="212"/>
        <v>91.666666666666657</v>
      </c>
      <c r="CE147" s="192">
        <f t="shared" si="212"/>
        <v>99.999999999999986</v>
      </c>
      <c r="CF147" s="192">
        <f t="shared" si="212"/>
        <v>108.33333333333331</v>
      </c>
      <c r="CG147" s="192">
        <f t="shared" si="212"/>
        <v>116.66666666666664</v>
      </c>
      <c r="CH147" s="192">
        <f t="shared" si="212"/>
        <v>124.99999999999997</v>
      </c>
      <c r="CI147" s="192">
        <f t="shared" si="212"/>
        <v>133.33333333333331</v>
      </c>
      <c r="CJ147" s="192">
        <f t="shared" si="212"/>
        <v>141.66666666666666</v>
      </c>
      <c r="CK147" s="192">
        <f t="shared" si="212"/>
        <v>150</v>
      </c>
      <c r="CL147" s="192">
        <f t="shared" si="212"/>
        <v>150</v>
      </c>
      <c r="CM147" s="192">
        <f t="shared" si="212"/>
        <v>150</v>
      </c>
      <c r="CN147" s="192">
        <f t="shared" si="212"/>
        <v>150</v>
      </c>
      <c r="CO147" s="192">
        <f t="shared" si="212"/>
        <v>150</v>
      </c>
      <c r="CP147" s="192">
        <f t="shared" si="212"/>
        <v>150</v>
      </c>
      <c r="CQ147" s="192">
        <f t="shared" si="212"/>
        <v>150</v>
      </c>
      <c r="CR147" s="192">
        <f t="shared" si="212"/>
        <v>150</v>
      </c>
      <c r="CS147" s="192">
        <f t="shared" si="212"/>
        <v>150</v>
      </c>
      <c r="CT147" s="192">
        <f t="shared" si="212"/>
        <v>150</v>
      </c>
      <c r="CU147" s="192">
        <f t="shared" ref="CU147:DR147" si="213">IF($C$18&lt;&gt;"Yes",0,IF(AND(CU$3&gt;=$B$18,CU$3&lt;=EOMONTH($B$18,119)),INDEX($C$138:$DR$138,1,12*(YEAR(CU$3)-YEAR($B$18))+MONTH(CU$3)-MONTH($B$18)+1),0))</f>
        <v>150</v>
      </c>
      <c r="CV147" s="192">
        <f t="shared" si="213"/>
        <v>150</v>
      </c>
      <c r="CW147" s="192">
        <f t="shared" si="213"/>
        <v>150</v>
      </c>
      <c r="CX147" s="192">
        <f t="shared" si="213"/>
        <v>150</v>
      </c>
      <c r="CY147" s="192">
        <f t="shared" si="213"/>
        <v>150</v>
      </c>
      <c r="CZ147" s="192">
        <f t="shared" si="213"/>
        <v>150</v>
      </c>
      <c r="DA147" s="192">
        <f t="shared" si="213"/>
        <v>150</v>
      </c>
      <c r="DB147" s="192">
        <f t="shared" si="213"/>
        <v>150</v>
      </c>
      <c r="DC147" s="192">
        <f t="shared" si="213"/>
        <v>150</v>
      </c>
      <c r="DD147" s="192">
        <f t="shared" si="213"/>
        <v>150</v>
      </c>
      <c r="DE147" s="192">
        <f t="shared" si="213"/>
        <v>150</v>
      </c>
      <c r="DF147" s="192">
        <f t="shared" si="213"/>
        <v>150</v>
      </c>
      <c r="DG147" s="192">
        <f t="shared" si="213"/>
        <v>150</v>
      </c>
      <c r="DH147" s="192">
        <f t="shared" si="213"/>
        <v>150</v>
      </c>
      <c r="DI147" s="192">
        <f t="shared" si="213"/>
        <v>150</v>
      </c>
      <c r="DJ147" s="192">
        <f t="shared" si="213"/>
        <v>150</v>
      </c>
      <c r="DK147" s="192">
        <f t="shared" si="213"/>
        <v>150</v>
      </c>
      <c r="DL147" s="192">
        <f t="shared" si="213"/>
        <v>150</v>
      </c>
      <c r="DM147" s="192">
        <f t="shared" si="213"/>
        <v>150</v>
      </c>
      <c r="DN147" s="192">
        <f t="shared" si="213"/>
        <v>150</v>
      </c>
      <c r="DO147" s="192">
        <f t="shared" si="213"/>
        <v>150</v>
      </c>
      <c r="DP147" s="192">
        <f t="shared" si="213"/>
        <v>150</v>
      </c>
      <c r="DQ147" s="192">
        <f t="shared" si="213"/>
        <v>150</v>
      </c>
      <c r="DR147" s="192">
        <f t="shared" si="213"/>
        <v>150</v>
      </c>
    </row>
    <row r="148" spans="1:122">
      <c r="A148" s="142" t="s">
        <v>422</v>
      </c>
      <c r="B148" s="191"/>
      <c r="C148" s="192">
        <f t="shared" ref="C148:AH148" si="214">IF($C$19&lt;&gt;"Yes",0,IF(AND(C$3&gt;=$B$19,C$3&lt;=EOMONTH($B$19,119)),INDEX($C$138:$DR$138,1,12*(YEAR(C$3)-YEAR($B$19))+MONTH(C$3)-MONTH($B$19)+1),0))</f>
        <v>0</v>
      </c>
      <c r="D148" s="192">
        <f t="shared" si="214"/>
        <v>0</v>
      </c>
      <c r="E148" s="192">
        <f t="shared" si="214"/>
        <v>0</v>
      </c>
      <c r="F148" s="192">
        <f t="shared" si="214"/>
        <v>0</v>
      </c>
      <c r="G148" s="192">
        <f t="shared" si="214"/>
        <v>0</v>
      </c>
      <c r="H148" s="192">
        <f t="shared" si="214"/>
        <v>0</v>
      </c>
      <c r="I148" s="192">
        <f t="shared" si="214"/>
        <v>0</v>
      </c>
      <c r="J148" s="192">
        <f t="shared" si="214"/>
        <v>0</v>
      </c>
      <c r="K148" s="192">
        <f t="shared" si="214"/>
        <v>0</v>
      </c>
      <c r="L148" s="192">
        <f t="shared" si="214"/>
        <v>0</v>
      </c>
      <c r="M148" s="192">
        <f t="shared" si="214"/>
        <v>0</v>
      </c>
      <c r="N148" s="192">
        <f t="shared" si="214"/>
        <v>0</v>
      </c>
      <c r="O148" s="192">
        <f t="shared" si="214"/>
        <v>0</v>
      </c>
      <c r="P148" s="192">
        <f t="shared" si="214"/>
        <v>0</v>
      </c>
      <c r="Q148" s="192">
        <f t="shared" si="214"/>
        <v>0</v>
      </c>
      <c r="R148" s="192">
        <f t="shared" si="214"/>
        <v>0</v>
      </c>
      <c r="S148" s="192">
        <f t="shared" si="214"/>
        <v>0</v>
      </c>
      <c r="T148" s="192">
        <f t="shared" si="214"/>
        <v>0</v>
      </c>
      <c r="U148" s="192">
        <f t="shared" si="214"/>
        <v>0</v>
      </c>
      <c r="V148" s="192">
        <f t="shared" si="214"/>
        <v>0</v>
      </c>
      <c r="W148" s="192">
        <f t="shared" si="214"/>
        <v>0</v>
      </c>
      <c r="X148" s="192">
        <f t="shared" si="214"/>
        <v>0</v>
      </c>
      <c r="Y148" s="192">
        <f t="shared" si="214"/>
        <v>0</v>
      </c>
      <c r="Z148" s="192">
        <f t="shared" si="214"/>
        <v>0</v>
      </c>
      <c r="AA148" s="192">
        <f t="shared" si="214"/>
        <v>0</v>
      </c>
      <c r="AB148" s="192">
        <f t="shared" si="214"/>
        <v>0</v>
      </c>
      <c r="AC148" s="192">
        <f t="shared" si="214"/>
        <v>0</v>
      </c>
      <c r="AD148" s="192">
        <f t="shared" si="214"/>
        <v>0</v>
      </c>
      <c r="AE148" s="192">
        <f t="shared" si="214"/>
        <v>0</v>
      </c>
      <c r="AF148" s="192">
        <f t="shared" si="214"/>
        <v>0</v>
      </c>
      <c r="AG148" s="192">
        <f t="shared" si="214"/>
        <v>0</v>
      </c>
      <c r="AH148" s="192">
        <f t="shared" si="214"/>
        <v>0</v>
      </c>
      <c r="AI148" s="192">
        <f t="shared" ref="AI148:BN148" si="215">IF($C$19&lt;&gt;"Yes",0,IF(AND(AI$3&gt;=$B$19,AI$3&lt;=EOMONTH($B$19,119)),INDEX($C$138:$DR$138,1,12*(YEAR(AI$3)-YEAR($B$19))+MONTH(AI$3)-MONTH($B$19)+1),0))</f>
        <v>0</v>
      </c>
      <c r="AJ148" s="192">
        <f t="shared" si="215"/>
        <v>0</v>
      </c>
      <c r="AK148" s="192">
        <f t="shared" si="215"/>
        <v>0</v>
      </c>
      <c r="AL148" s="192">
        <f t="shared" si="215"/>
        <v>0</v>
      </c>
      <c r="AM148" s="192">
        <f t="shared" si="215"/>
        <v>0</v>
      </c>
      <c r="AN148" s="192">
        <f t="shared" si="215"/>
        <v>0</v>
      </c>
      <c r="AO148" s="192">
        <f t="shared" si="215"/>
        <v>0</v>
      </c>
      <c r="AP148" s="192">
        <f t="shared" si="215"/>
        <v>0</v>
      </c>
      <c r="AQ148" s="192">
        <f t="shared" si="215"/>
        <v>0</v>
      </c>
      <c r="AR148" s="192">
        <f t="shared" si="215"/>
        <v>0</v>
      </c>
      <c r="AS148" s="192">
        <f t="shared" si="215"/>
        <v>0</v>
      </c>
      <c r="AT148" s="192">
        <f t="shared" si="215"/>
        <v>0</v>
      </c>
      <c r="AU148" s="192">
        <f t="shared" si="215"/>
        <v>0</v>
      </c>
      <c r="AV148" s="192">
        <f t="shared" si="215"/>
        <v>0</v>
      </c>
      <c r="AW148" s="192">
        <f t="shared" si="215"/>
        <v>0</v>
      </c>
      <c r="AX148" s="192">
        <f t="shared" si="215"/>
        <v>0</v>
      </c>
      <c r="AY148" s="192">
        <f t="shared" si="215"/>
        <v>0</v>
      </c>
      <c r="AZ148" s="192">
        <f t="shared" si="215"/>
        <v>0</v>
      </c>
      <c r="BA148" s="192">
        <f t="shared" si="215"/>
        <v>0</v>
      </c>
      <c r="BB148" s="192">
        <f t="shared" si="215"/>
        <v>0</v>
      </c>
      <c r="BC148" s="192">
        <f t="shared" si="215"/>
        <v>0</v>
      </c>
      <c r="BD148" s="192">
        <f t="shared" si="215"/>
        <v>0</v>
      </c>
      <c r="BE148" s="192">
        <f t="shared" si="215"/>
        <v>0</v>
      </c>
      <c r="BF148" s="192">
        <f t="shared" si="215"/>
        <v>0</v>
      </c>
      <c r="BG148" s="192">
        <f t="shared" si="215"/>
        <v>0</v>
      </c>
      <c r="BH148" s="192">
        <f t="shared" si="215"/>
        <v>0</v>
      </c>
      <c r="BI148" s="192">
        <f t="shared" si="215"/>
        <v>0</v>
      </c>
      <c r="BJ148" s="192">
        <f t="shared" si="215"/>
        <v>0</v>
      </c>
      <c r="BK148" s="192">
        <f t="shared" si="215"/>
        <v>0</v>
      </c>
      <c r="BL148" s="192">
        <f t="shared" si="215"/>
        <v>0</v>
      </c>
      <c r="BM148" s="192">
        <f t="shared" si="215"/>
        <v>0</v>
      </c>
      <c r="BN148" s="192">
        <f t="shared" si="215"/>
        <v>0</v>
      </c>
      <c r="BO148" s="192">
        <f t="shared" ref="BO148:CT148" si="216">IF($C$19&lt;&gt;"Yes",0,IF(AND(BO$3&gt;=$B$19,BO$3&lt;=EOMONTH($B$19,119)),INDEX($C$138:$DR$138,1,12*(YEAR(BO$3)-YEAR($B$19))+MONTH(BO$3)-MONTH($B$19)+1),0))</f>
        <v>0</v>
      </c>
      <c r="BP148" s="192">
        <f t="shared" si="216"/>
        <v>0</v>
      </c>
      <c r="BQ148" s="192">
        <f t="shared" si="216"/>
        <v>0</v>
      </c>
      <c r="BR148" s="192">
        <f t="shared" si="216"/>
        <v>0</v>
      </c>
      <c r="BS148" s="192">
        <f t="shared" si="216"/>
        <v>0</v>
      </c>
      <c r="BT148" s="192">
        <f t="shared" si="216"/>
        <v>0</v>
      </c>
      <c r="BU148" s="192">
        <f t="shared" si="216"/>
        <v>0</v>
      </c>
      <c r="BV148" s="192">
        <f t="shared" si="216"/>
        <v>0</v>
      </c>
      <c r="BW148" s="192">
        <f t="shared" si="216"/>
        <v>0</v>
      </c>
      <c r="BX148" s="192">
        <f t="shared" si="216"/>
        <v>0</v>
      </c>
      <c r="BY148" s="192">
        <f t="shared" si="216"/>
        <v>0</v>
      </c>
      <c r="BZ148" s="192">
        <f t="shared" si="216"/>
        <v>0</v>
      </c>
      <c r="CA148" s="192">
        <f t="shared" si="216"/>
        <v>0</v>
      </c>
      <c r="CB148" s="192">
        <f t="shared" si="216"/>
        <v>0</v>
      </c>
      <c r="CC148" s="192">
        <f t="shared" si="216"/>
        <v>0</v>
      </c>
      <c r="CD148" s="192">
        <f t="shared" si="216"/>
        <v>0</v>
      </c>
      <c r="CE148" s="192">
        <f t="shared" si="216"/>
        <v>0</v>
      </c>
      <c r="CF148" s="192">
        <f t="shared" si="216"/>
        <v>0</v>
      </c>
      <c r="CG148" s="192">
        <f t="shared" si="216"/>
        <v>0</v>
      </c>
      <c r="CH148" s="192">
        <f t="shared" si="216"/>
        <v>0</v>
      </c>
      <c r="CI148" s="192">
        <f t="shared" si="216"/>
        <v>0</v>
      </c>
      <c r="CJ148" s="192">
        <f t="shared" si="216"/>
        <v>0</v>
      </c>
      <c r="CK148" s="192">
        <f t="shared" si="216"/>
        <v>0</v>
      </c>
      <c r="CL148" s="192">
        <f t="shared" si="216"/>
        <v>0</v>
      </c>
      <c r="CM148" s="192">
        <f t="shared" si="216"/>
        <v>0</v>
      </c>
      <c r="CN148" s="192">
        <f t="shared" si="216"/>
        <v>0</v>
      </c>
      <c r="CO148" s="192">
        <f t="shared" si="216"/>
        <v>0</v>
      </c>
      <c r="CP148" s="192">
        <f t="shared" si="216"/>
        <v>0</v>
      </c>
      <c r="CQ148" s="192">
        <f t="shared" si="216"/>
        <v>0</v>
      </c>
      <c r="CR148" s="192">
        <f t="shared" si="216"/>
        <v>0</v>
      </c>
      <c r="CS148" s="192">
        <f t="shared" si="216"/>
        <v>0</v>
      </c>
      <c r="CT148" s="192">
        <f t="shared" si="216"/>
        <v>0</v>
      </c>
      <c r="CU148" s="192">
        <f t="shared" ref="CU148:DR148" si="217">IF($C$19&lt;&gt;"Yes",0,IF(AND(CU$3&gt;=$B$19,CU$3&lt;=EOMONTH($B$19,119)),INDEX($C$138:$DR$138,1,12*(YEAR(CU$3)-YEAR($B$19))+MONTH(CU$3)-MONTH($B$19)+1),0))</f>
        <v>0</v>
      </c>
      <c r="CV148" s="192">
        <f t="shared" si="217"/>
        <v>0</v>
      </c>
      <c r="CW148" s="192">
        <f t="shared" si="217"/>
        <v>0</v>
      </c>
      <c r="CX148" s="192">
        <f t="shared" si="217"/>
        <v>0</v>
      </c>
      <c r="CY148" s="192">
        <f t="shared" si="217"/>
        <v>0</v>
      </c>
      <c r="CZ148" s="192">
        <f t="shared" si="217"/>
        <v>0</v>
      </c>
      <c r="DA148" s="192">
        <f t="shared" si="217"/>
        <v>0</v>
      </c>
      <c r="DB148" s="192">
        <f t="shared" si="217"/>
        <v>0</v>
      </c>
      <c r="DC148" s="192">
        <f t="shared" si="217"/>
        <v>0</v>
      </c>
      <c r="DD148" s="192">
        <f t="shared" si="217"/>
        <v>0</v>
      </c>
      <c r="DE148" s="192">
        <f t="shared" si="217"/>
        <v>0</v>
      </c>
      <c r="DF148" s="192">
        <f t="shared" si="217"/>
        <v>0</v>
      </c>
      <c r="DG148" s="192">
        <f t="shared" si="217"/>
        <v>0</v>
      </c>
      <c r="DH148" s="192">
        <f t="shared" si="217"/>
        <v>0</v>
      </c>
      <c r="DI148" s="192">
        <f t="shared" si="217"/>
        <v>0</v>
      </c>
      <c r="DJ148" s="192">
        <f t="shared" si="217"/>
        <v>0</v>
      </c>
      <c r="DK148" s="192">
        <f t="shared" si="217"/>
        <v>0</v>
      </c>
      <c r="DL148" s="192">
        <f t="shared" si="217"/>
        <v>0</v>
      </c>
      <c r="DM148" s="192">
        <f t="shared" si="217"/>
        <v>0</v>
      </c>
      <c r="DN148" s="192">
        <f t="shared" si="217"/>
        <v>0</v>
      </c>
      <c r="DO148" s="192">
        <f t="shared" si="217"/>
        <v>0</v>
      </c>
      <c r="DP148" s="192">
        <f t="shared" si="217"/>
        <v>0</v>
      </c>
      <c r="DQ148" s="192">
        <f t="shared" si="217"/>
        <v>0</v>
      </c>
      <c r="DR148" s="192">
        <f t="shared" si="217"/>
        <v>0</v>
      </c>
    </row>
    <row r="150" spans="1:122">
      <c r="A150" s="142" t="s">
        <v>423</v>
      </c>
      <c r="B150" s="191"/>
      <c r="C150" s="192">
        <f t="shared" ref="C150:AH150" si="218">SUM(C139:C148)</f>
        <v>0</v>
      </c>
      <c r="D150" s="192">
        <f t="shared" si="218"/>
        <v>0</v>
      </c>
      <c r="E150" s="192">
        <f t="shared" si="218"/>
        <v>0</v>
      </c>
      <c r="F150" s="192">
        <f t="shared" si="218"/>
        <v>0</v>
      </c>
      <c r="G150" s="192">
        <f t="shared" si="218"/>
        <v>0</v>
      </c>
      <c r="H150" s="192">
        <f t="shared" si="218"/>
        <v>0</v>
      </c>
      <c r="I150" s="192">
        <f t="shared" si="218"/>
        <v>0</v>
      </c>
      <c r="J150" s="192">
        <f t="shared" si="218"/>
        <v>0</v>
      </c>
      <c r="K150" s="192">
        <f t="shared" si="218"/>
        <v>0</v>
      </c>
      <c r="L150" s="192">
        <f t="shared" si="218"/>
        <v>0</v>
      </c>
      <c r="M150" s="192">
        <f t="shared" si="218"/>
        <v>0</v>
      </c>
      <c r="N150" s="192">
        <f t="shared" si="218"/>
        <v>0</v>
      </c>
      <c r="O150" s="192">
        <f t="shared" si="218"/>
        <v>0</v>
      </c>
      <c r="P150" s="192">
        <f t="shared" si="218"/>
        <v>0</v>
      </c>
      <c r="Q150" s="192">
        <f t="shared" si="218"/>
        <v>0</v>
      </c>
      <c r="R150" s="192">
        <f t="shared" si="218"/>
        <v>0</v>
      </c>
      <c r="S150" s="192">
        <f t="shared" si="218"/>
        <v>0</v>
      </c>
      <c r="T150" s="192">
        <f t="shared" si="218"/>
        <v>0</v>
      </c>
      <c r="U150" s="192">
        <f t="shared" si="218"/>
        <v>0</v>
      </c>
      <c r="V150" s="192">
        <f t="shared" si="218"/>
        <v>0</v>
      </c>
      <c r="W150" s="192">
        <f t="shared" si="218"/>
        <v>0</v>
      </c>
      <c r="X150" s="192">
        <f t="shared" si="218"/>
        <v>0</v>
      </c>
      <c r="Y150" s="192">
        <f t="shared" si="218"/>
        <v>0</v>
      </c>
      <c r="Z150" s="192">
        <f t="shared" si="218"/>
        <v>0</v>
      </c>
      <c r="AA150" s="192">
        <f t="shared" si="218"/>
        <v>0</v>
      </c>
      <c r="AB150" s="192">
        <f t="shared" si="218"/>
        <v>0</v>
      </c>
      <c r="AC150" s="192">
        <f t="shared" si="218"/>
        <v>0</v>
      </c>
      <c r="AD150" s="192">
        <f t="shared" si="218"/>
        <v>0</v>
      </c>
      <c r="AE150" s="192">
        <f t="shared" si="218"/>
        <v>0</v>
      </c>
      <c r="AF150" s="192">
        <f t="shared" si="218"/>
        <v>0</v>
      </c>
      <c r="AG150" s="192">
        <f t="shared" si="218"/>
        <v>0</v>
      </c>
      <c r="AH150" s="192">
        <f t="shared" si="218"/>
        <v>0</v>
      </c>
      <c r="AI150" s="192">
        <f t="shared" ref="AI150:BN150" si="219">SUM(AI139:AI148)</f>
        <v>0</v>
      </c>
      <c r="AJ150" s="192">
        <f t="shared" si="219"/>
        <v>0</v>
      </c>
      <c r="AK150" s="192">
        <f t="shared" si="219"/>
        <v>0</v>
      </c>
      <c r="AL150" s="192">
        <f t="shared" si="219"/>
        <v>0</v>
      </c>
      <c r="AM150" s="192">
        <f t="shared" si="219"/>
        <v>0</v>
      </c>
      <c r="AN150" s="192">
        <f t="shared" si="219"/>
        <v>0</v>
      </c>
      <c r="AO150" s="192">
        <f t="shared" si="219"/>
        <v>0</v>
      </c>
      <c r="AP150" s="192">
        <f t="shared" si="219"/>
        <v>0</v>
      </c>
      <c r="AQ150" s="192">
        <f t="shared" si="219"/>
        <v>0</v>
      </c>
      <c r="AR150" s="192">
        <f t="shared" si="219"/>
        <v>0</v>
      </c>
      <c r="AS150" s="192">
        <f t="shared" si="219"/>
        <v>0</v>
      </c>
      <c r="AT150" s="192">
        <f t="shared" si="219"/>
        <v>0</v>
      </c>
      <c r="AU150" s="192">
        <f t="shared" si="219"/>
        <v>0</v>
      </c>
      <c r="AV150" s="192">
        <f t="shared" si="219"/>
        <v>0</v>
      </c>
      <c r="AW150" s="192">
        <f t="shared" si="219"/>
        <v>0</v>
      </c>
      <c r="AX150" s="192">
        <f t="shared" si="219"/>
        <v>0</v>
      </c>
      <c r="AY150" s="192">
        <f t="shared" si="219"/>
        <v>0</v>
      </c>
      <c r="AZ150" s="192">
        <f t="shared" si="219"/>
        <v>0</v>
      </c>
      <c r="BA150" s="192">
        <f t="shared" si="219"/>
        <v>0</v>
      </c>
      <c r="BB150" s="192">
        <f t="shared" si="219"/>
        <v>58.333333333333343</v>
      </c>
      <c r="BC150" s="192">
        <f t="shared" si="219"/>
        <v>66.666666666666671</v>
      </c>
      <c r="BD150" s="192">
        <f t="shared" si="219"/>
        <v>75</v>
      </c>
      <c r="BE150" s="192">
        <f t="shared" si="219"/>
        <v>83.333333333333329</v>
      </c>
      <c r="BF150" s="192">
        <f t="shared" si="219"/>
        <v>91.666666666666657</v>
      </c>
      <c r="BG150" s="192">
        <f t="shared" si="219"/>
        <v>99.999999999999986</v>
      </c>
      <c r="BH150" s="192">
        <f t="shared" si="219"/>
        <v>166.66666666666666</v>
      </c>
      <c r="BI150" s="192">
        <f t="shared" si="219"/>
        <v>183.33333333333331</v>
      </c>
      <c r="BJ150" s="192">
        <f t="shared" si="219"/>
        <v>199.99999999999997</v>
      </c>
      <c r="BK150" s="192">
        <f t="shared" si="219"/>
        <v>216.66666666666663</v>
      </c>
      <c r="BL150" s="192">
        <f t="shared" si="219"/>
        <v>233.33333333333331</v>
      </c>
      <c r="BM150" s="192">
        <f t="shared" si="219"/>
        <v>250</v>
      </c>
      <c r="BN150" s="192">
        <f t="shared" si="219"/>
        <v>316.66666666666663</v>
      </c>
      <c r="BO150" s="192">
        <f t="shared" ref="BO150:CT150" si="220">SUM(BO139:BO148)</f>
        <v>333.33333333333331</v>
      </c>
      <c r="BP150" s="192">
        <f t="shared" si="220"/>
        <v>350</v>
      </c>
      <c r="BQ150" s="192">
        <f t="shared" si="220"/>
        <v>366.66666666666663</v>
      </c>
      <c r="BR150" s="192">
        <f t="shared" si="220"/>
        <v>383.33333333333326</v>
      </c>
      <c r="BS150" s="192">
        <f t="shared" si="220"/>
        <v>400</v>
      </c>
      <c r="BT150" s="192">
        <f t="shared" si="220"/>
        <v>466.66666666666663</v>
      </c>
      <c r="BU150" s="192">
        <f t="shared" si="220"/>
        <v>483.33333333333331</v>
      </c>
      <c r="BV150" s="192">
        <f t="shared" si="220"/>
        <v>500</v>
      </c>
      <c r="BW150" s="192">
        <f t="shared" si="220"/>
        <v>516.66666666666663</v>
      </c>
      <c r="BX150" s="192">
        <f t="shared" si="220"/>
        <v>533.33333333333326</v>
      </c>
      <c r="BY150" s="192">
        <f t="shared" si="220"/>
        <v>550</v>
      </c>
      <c r="BZ150" s="192">
        <f t="shared" si="220"/>
        <v>616.66666666666663</v>
      </c>
      <c r="CA150" s="192">
        <f t="shared" si="220"/>
        <v>633.33333333333326</v>
      </c>
      <c r="CB150" s="192">
        <f t="shared" si="220"/>
        <v>650</v>
      </c>
      <c r="CC150" s="192">
        <f t="shared" si="220"/>
        <v>666.66666666666663</v>
      </c>
      <c r="CD150" s="192">
        <f t="shared" si="220"/>
        <v>683.33333333333326</v>
      </c>
      <c r="CE150" s="192">
        <f t="shared" si="220"/>
        <v>700</v>
      </c>
      <c r="CF150" s="192">
        <f t="shared" si="220"/>
        <v>708.33333333333326</v>
      </c>
      <c r="CG150" s="192">
        <f t="shared" si="220"/>
        <v>716.66666666666663</v>
      </c>
      <c r="CH150" s="192">
        <f t="shared" si="220"/>
        <v>725</v>
      </c>
      <c r="CI150" s="192">
        <f t="shared" si="220"/>
        <v>733.33333333333326</v>
      </c>
      <c r="CJ150" s="192">
        <f t="shared" si="220"/>
        <v>741.66666666666663</v>
      </c>
      <c r="CK150" s="192">
        <f t="shared" si="220"/>
        <v>750</v>
      </c>
      <c r="CL150" s="192">
        <f t="shared" si="220"/>
        <v>750</v>
      </c>
      <c r="CM150" s="192">
        <f t="shared" si="220"/>
        <v>750</v>
      </c>
      <c r="CN150" s="192">
        <f t="shared" si="220"/>
        <v>750</v>
      </c>
      <c r="CO150" s="192">
        <f t="shared" si="220"/>
        <v>750</v>
      </c>
      <c r="CP150" s="192">
        <f t="shared" si="220"/>
        <v>750</v>
      </c>
      <c r="CQ150" s="192">
        <f t="shared" si="220"/>
        <v>750</v>
      </c>
      <c r="CR150" s="192">
        <f t="shared" si="220"/>
        <v>750</v>
      </c>
      <c r="CS150" s="192">
        <f t="shared" si="220"/>
        <v>750</v>
      </c>
      <c r="CT150" s="192">
        <f t="shared" si="220"/>
        <v>750</v>
      </c>
      <c r="CU150" s="192">
        <f t="shared" ref="CU150:DR150" si="221">SUM(CU139:CU148)</f>
        <v>750</v>
      </c>
      <c r="CV150" s="192">
        <f t="shared" si="221"/>
        <v>750</v>
      </c>
      <c r="CW150" s="192">
        <f t="shared" si="221"/>
        <v>750</v>
      </c>
      <c r="CX150" s="192">
        <f t="shared" si="221"/>
        <v>750</v>
      </c>
      <c r="CY150" s="192">
        <f t="shared" si="221"/>
        <v>750</v>
      </c>
      <c r="CZ150" s="192">
        <f t="shared" si="221"/>
        <v>750</v>
      </c>
      <c r="DA150" s="192">
        <f t="shared" si="221"/>
        <v>750</v>
      </c>
      <c r="DB150" s="192">
        <f t="shared" si="221"/>
        <v>750</v>
      </c>
      <c r="DC150" s="192">
        <f t="shared" si="221"/>
        <v>750</v>
      </c>
      <c r="DD150" s="192">
        <f t="shared" si="221"/>
        <v>750</v>
      </c>
      <c r="DE150" s="192">
        <f t="shared" si="221"/>
        <v>750</v>
      </c>
      <c r="DF150" s="192">
        <f t="shared" si="221"/>
        <v>750</v>
      </c>
      <c r="DG150" s="192">
        <f t="shared" si="221"/>
        <v>750</v>
      </c>
      <c r="DH150" s="192">
        <f t="shared" si="221"/>
        <v>750</v>
      </c>
      <c r="DI150" s="192">
        <f t="shared" si="221"/>
        <v>750</v>
      </c>
      <c r="DJ150" s="192">
        <f t="shared" si="221"/>
        <v>750</v>
      </c>
      <c r="DK150" s="192">
        <f t="shared" si="221"/>
        <v>750</v>
      </c>
      <c r="DL150" s="192">
        <f t="shared" si="221"/>
        <v>750</v>
      </c>
      <c r="DM150" s="192">
        <f t="shared" si="221"/>
        <v>750</v>
      </c>
      <c r="DN150" s="192">
        <f t="shared" si="221"/>
        <v>750</v>
      </c>
      <c r="DO150" s="192">
        <f t="shared" si="221"/>
        <v>750</v>
      </c>
      <c r="DP150" s="192">
        <f t="shared" si="221"/>
        <v>750</v>
      </c>
      <c r="DQ150" s="192">
        <f t="shared" si="221"/>
        <v>750</v>
      </c>
      <c r="DR150" s="192">
        <f t="shared" si="221"/>
        <v>750</v>
      </c>
    </row>
    <row r="151" spans="1:122">
      <c r="A151" s="142" t="s">
        <v>424</v>
      </c>
      <c r="B151" s="191"/>
      <c r="C151" s="192">
        <f>C150*Results_10yr!$AB$28/12</f>
        <v>0</v>
      </c>
      <c r="D151" s="192">
        <f>D150*Results_10yr!$AB$28/12</f>
        <v>0</v>
      </c>
      <c r="E151" s="192">
        <f>E150*Results_10yr!$AB$28/12</f>
        <v>0</v>
      </c>
      <c r="F151" s="192">
        <f>F150*Results_10yr!$AB$28/12</f>
        <v>0</v>
      </c>
      <c r="G151" s="192">
        <f>G150*Results_10yr!$AB$28/12</f>
        <v>0</v>
      </c>
      <c r="H151" s="192">
        <f>H150*Results_10yr!$AB$28/12</f>
        <v>0</v>
      </c>
      <c r="I151" s="192">
        <f>I150*Results_10yr!$AB$28/12</f>
        <v>0</v>
      </c>
      <c r="J151" s="192">
        <f>J150*Results_10yr!$AB$28/12</f>
        <v>0</v>
      </c>
      <c r="K151" s="192">
        <f>K150*Results_10yr!$AB$28/12</f>
        <v>0</v>
      </c>
      <c r="L151" s="192">
        <f>L150*Results_10yr!$AB$28/12</f>
        <v>0</v>
      </c>
      <c r="M151" s="192">
        <f>M150*Results_10yr!$AB$28/12</f>
        <v>0</v>
      </c>
      <c r="N151" s="192">
        <f>N150*Results_10yr!$AB$28/12</f>
        <v>0</v>
      </c>
      <c r="O151" s="192">
        <f>O150*Results_10yr!$AB$28/12</f>
        <v>0</v>
      </c>
      <c r="P151" s="192">
        <f>P150*Results_10yr!$AB$28/12</f>
        <v>0</v>
      </c>
      <c r="Q151" s="192">
        <f>Q150*Results_10yr!$AB$28/12</f>
        <v>0</v>
      </c>
      <c r="R151" s="192">
        <f>R150*Results_10yr!$AB$28/12</f>
        <v>0</v>
      </c>
      <c r="S151" s="192">
        <f>S150*Results_10yr!$AB$28/12</f>
        <v>0</v>
      </c>
      <c r="T151" s="192">
        <f>T150*Results_10yr!$AB$28/12</f>
        <v>0</v>
      </c>
      <c r="U151" s="192">
        <f>U150*Results_10yr!$AB$28/12</f>
        <v>0</v>
      </c>
      <c r="V151" s="192">
        <f>V150*Results_10yr!$AB$28/12</f>
        <v>0</v>
      </c>
      <c r="W151" s="192">
        <f>W150*Results_10yr!$AB$28/12</f>
        <v>0</v>
      </c>
      <c r="X151" s="192">
        <f>X150*Results_10yr!$AB$28/12</f>
        <v>0</v>
      </c>
      <c r="Y151" s="192">
        <f>Y150*Results_10yr!$AB$28/12</f>
        <v>0</v>
      </c>
      <c r="Z151" s="192">
        <f>Z150*Results_10yr!$AB$28/12</f>
        <v>0</v>
      </c>
      <c r="AA151" s="192">
        <f>AA150*Results_10yr!$AB$28/12</f>
        <v>0</v>
      </c>
      <c r="AB151" s="192">
        <f>AB150*Results_10yr!$AB$28/12</f>
        <v>0</v>
      </c>
      <c r="AC151" s="192">
        <f>AC150*Results_10yr!$AB$28/12</f>
        <v>0</v>
      </c>
      <c r="AD151" s="192">
        <f>AD150*Results_10yr!$AB$28/12</f>
        <v>0</v>
      </c>
      <c r="AE151" s="192">
        <f>AE150*Results_10yr!$AB$28/12</f>
        <v>0</v>
      </c>
      <c r="AF151" s="192">
        <f>AF150*Results_10yr!$AB$28/12</f>
        <v>0</v>
      </c>
      <c r="AG151" s="192">
        <f>AG150*Results_10yr!$AB$28/12</f>
        <v>0</v>
      </c>
      <c r="AH151" s="192">
        <f>AH150*Results_10yr!$AB$28/12</f>
        <v>0</v>
      </c>
      <c r="AI151" s="192">
        <f>AI150*Results_10yr!$AB$28/12</f>
        <v>0</v>
      </c>
      <c r="AJ151" s="192">
        <f>AJ150*Results_10yr!$AB$28/12</f>
        <v>0</v>
      </c>
      <c r="AK151" s="192">
        <f>AK150*Results_10yr!$AB$28/12</f>
        <v>0</v>
      </c>
      <c r="AL151" s="192">
        <f>AL150*Results_10yr!$AB$28/12</f>
        <v>0</v>
      </c>
      <c r="AM151" s="192">
        <f>AM150*Results_10yr!$AB$28/12</f>
        <v>0</v>
      </c>
      <c r="AN151" s="192">
        <f>AN150*Results_10yr!$AB$28/12</f>
        <v>0</v>
      </c>
      <c r="AO151" s="192">
        <f>AO150*Results_10yr!$AB$28/12</f>
        <v>0</v>
      </c>
      <c r="AP151" s="192">
        <f>AP150*Results_10yr!$AB$28/12</f>
        <v>0</v>
      </c>
      <c r="AQ151" s="192">
        <f>AQ150*Results_10yr!$AB$28/12</f>
        <v>0</v>
      </c>
      <c r="AR151" s="192">
        <f>AR150*Results_10yr!$AB$28/12</f>
        <v>0</v>
      </c>
      <c r="AS151" s="192">
        <f>AS150*Results_10yr!$AB$28/12</f>
        <v>0</v>
      </c>
      <c r="AT151" s="192">
        <f>AT150*Results_10yr!$AB$28/12</f>
        <v>0</v>
      </c>
      <c r="AU151" s="192">
        <f>AU150*Results_10yr!$AB$28/12</f>
        <v>0</v>
      </c>
      <c r="AV151" s="192">
        <f>AV150*Results_10yr!$AB$28/12</f>
        <v>0</v>
      </c>
      <c r="AW151" s="192">
        <f>AW150*Results_10yr!$AB$28/12</f>
        <v>0</v>
      </c>
      <c r="AX151" s="192">
        <f>AX150*Results_10yr!$AB$28/12</f>
        <v>0</v>
      </c>
      <c r="AY151" s="192">
        <f>AY150*Results_10yr!$AB$28/12</f>
        <v>0</v>
      </c>
      <c r="AZ151" s="192">
        <f>AZ150*Results_10yr!$AB$28/12</f>
        <v>0</v>
      </c>
      <c r="BA151" s="192">
        <f>BA150*Results_10yr!$AB$28/12</f>
        <v>0</v>
      </c>
      <c r="BB151" s="192">
        <f>BB150*Results_10yr!$AB$28/12</f>
        <v>72916.666666666672</v>
      </c>
      <c r="BC151" s="192">
        <f>BC150*Results_10yr!$AB$28/12</f>
        <v>83333.333333333343</v>
      </c>
      <c r="BD151" s="192">
        <f>BD150*Results_10yr!$AB$28/12</f>
        <v>93750</v>
      </c>
      <c r="BE151" s="192">
        <f>BE150*Results_10yr!$AB$28/12</f>
        <v>104166.66666666667</v>
      </c>
      <c r="BF151" s="192">
        <f>BF150*Results_10yr!$AB$28/12</f>
        <v>114583.33333333331</v>
      </c>
      <c r="BG151" s="192">
        <f>BG150*Results_10yr!$AB$28/12</f>
        <v>124999.99999999999</v>
      </c>
      <c r="BH151" s="192">
        <f>BH150*Results_10yr!$AB$28/12</f>
        <v>208333.33333333334</v>
      </c>
      <c r="BI151" s="192">
        <f>BI150*Results_10yr!$AB$28/12</f>
        <v>229166.66666666663</v>
      </c>
      <c r="BJ151" s="192">
        <f>BJ150*Results_10yr!$AB$28/12</f>
        <v>249999.99999999997</v>
      </c>
      <c r="BK151" s="192">
        <f>BK150*Results_10yr!$AB$28/12</f>
        <v>270833.33333333331</v>
      </c>
      <c r="BL151" s="192">
        <f>BL150*Results_10yr!$AB$28/12</f>
        <v>291666.66666666663</v>
      </c>
      <c r="BM151" s="192">
        <f>BM150*Results_10yr!$AB$28/12</f>
        <v>312500</v>
      </c>
      <c r="BN151" s="192">
        <f>BN150*Results_10yr!$AB$28/12</f>
        <v>395833.33333333326</v>
      </c>
      <c r="BO151" s="192">
        <f>BO150*Results_10yr!$AB$28/12</f>
        <v>416666.66666666669</v>
      </c>
      <c r="BP151" s="192">
        <f>BP150*Results_10yr!$AB$28/12</f>
        <v>437500</v>
      </c>
      <c r="BQ151" s="192">
        <f>BQ150*Results_10yr!$AB$28/12</f>
        <v>458333.33333333326</v>
      </c>
      <c r="BR151" s="192">
        <f>BR150*Results_10yr!$AB$28/12</f>
        <v>479166.66666666657</v>
      </c>
      <c r="BS151" s="192">
        <f>BS150*Results_10yr!$AB$28/12</f>
        <v>500000</v>
      </c>
      <c r="BT151" s="192">
        <f>BT150*Results_10yr!$AB$28/12</f>
        <v>583333.33333333326</v>
      </c>
      <c r="BU151" s="192">
        <f>BU150*Results_10yr!$AB$28/12</f>
        <v>604166.66666666663</v>
      </c>
      <c r="BV151" s="192">
        <f>BV150*Results_10yr!$AB$28/12</f>
        <v>625000</v>
      </c>
      <c r="BW151" s="192">
        <f>BW150*Results_10yr!$AB$28/12</f>
        <v>645833.33333333326</v>
      </c>
      <c r="BX151" s="192">
        <f>BX150*Results_10yr!$AB$28/12</f>
        <v>666666.66666666663</v>
      </c>
      <c r="BY151" s="192">
        <f>BY150*Results_10yr!$AB$28/12</f>
        <v>687500</v>
      </c>
      <c r="BZ151" s="192">
        <f>BZ150*Results_10yr!$AB$28/12</f>
        <v>770833.33333333337</v>
      </c>
      <c r="CA151" s="192">
        <f>CA150*Results_10yr!$AB$28/12</f>
        <v>791666.66666666651</v>
      </c>
      <c r="CB151" s="192">
        <f>CB150*Results_10yr!$AB$28/12</f>
        <v>812500</v>
      </c>
      <c r="CC151" s="192">
        <f>CC150*Results_10yr!$AB$28/12</f>
        <v>833333.33333333337</v>
      </c>
      <c r="CD151" s="192">
        <f>CD150*Results_10yr!$AB$28/12</f>
        <v>854166.66666666651</v>
      </c>
      <c r="CE151" s="192">
        <f>CE150*Results_10yr!$AB$28/12</f>
        <v>875000</v>
      </c>
      <c r="CF151" s="192">
        <f>CF150*Results_10yr!$AB$28/12</f>
        <v>885416.66666666651</v>
      </c>
      <c r="CG151" s="192">
        <f>CG150*Results_10yr!$AB$28/12</f>
        <v>895833.33333333337</v>
      </c>
      <c r="CH151" s="192">
        <f>CH150*Results_10yr!$AB$28/12</f>
        <v>906250</v>
      </c>
      <c r="CI151" s="192">
        <f>CI150*Results_10yr!$AB$28/12</f>
        <v>916666.66666666651</v>
      </c>
      <c r="CJ151" s="192">
        <f>CJ150*Results_10yr!$AB$28/12</f>
        <v>927083.33333333337</v>
      </c>
      <c r="CK151" s="192">
        <f>CK150*Results_10yr!$AB$28/12</f>
        <v>937500</v>
      </c>
      <c r="CL151" s="192">
        <f>CL150*Results_10yr!$AB$28/12</f>
        <v>937500</v>
      </c>
      <c r="CM151" s="192">
        <f>CM150*Results_10yr!$AB$28/12</f>
        <v>937500</v>
      </c>
      <c r="CN151" s="192">
        <f>CN150*Results_10yr!$AB$28/12</f>
        <v>937500</v>
      </c>
      <c r="CO151" s="192">
        <f>CO150*Results_10yr!$AB$28/12</f>
        <v>937500</v>
      </c>
      <c r="CP151" s="192">
        <f>CP150*Results_10yr!$AB$28/12</f>
        <v>937500</v>
      </c>
      <c r="CQ151" s="192">
        <f>CQ150*Results_10yr!$AB$28/12</f>
        <v>937500</v>
      </c>
      <c r="CR151" s="192">
        <f>CR150*Results_10yr!$AB$28/12</f>
        <v>937500</v>
      </c>
      <c r="CS151" s="192">
        <f>CS150*Results_10yr!$AB$28/12</f>
        <v>937500</v>
      </c>
      <c r="CT151" s="192">
        <f>CT150*Results_10yr!$AB$28/12</f>
        <v>937500</v>
      </c>
      <c r="CU151" s="192">
        <f>CU150*Results_10yr!$AB$28/12</f>
        <v>937500</v>
      </c>
      <c r="CV151" s="192">
        <f>CV150*Results_10yr!$AB$28/12</f>
        <v>937500</v>
      </c>
      <c r="CW151" s="192">
        <f>CW150*Results_10yr!$AB$28/12</f>
        <v>937500</v>
      </c>
      <c r="CX151" s="192">
        <f>CX150*Results_10yr!$AB$28/12</f>
        <v>937500</v>
      </c>
      <c r="CY151" s="192">
        <f>CY150*Results_10yr!$AB$28/12</f>
        <v>937500</v>
      </c>
      <c r="CZ151" s="192">
        <f>CZ150*Results_10yr!$AB$28/12</f>
        <v>937500</v>
      </c>
      <c r="DA151" s="192">
        <f>DA150*Results_10yr!$AB$28/12</f>
        <v>937500</v>
      </c>
      <c r="DB151" s="192">
        <f>DB150*Results_10yr!$AB$28/12</f>
        <v>937500</v>
      </c>
      <c r="DC151" s="192">
        <f>DC150*Results_10yr!$AB$28/12</f>
        <v>937500</v>
      </c>
      <c r="DD151" s="192">
        <f>DD150*Results_10yr!$AB$28/12</f>
        <v>937500</v>
      </c>
      <c r="DE151" s="192">
        <f>DE150*Results_10yr!$AB$28/12</f>
        <v>937500</v>
      </c>
      <c r="DF151" s="192">
        <f>DF150*Results_10yr!$AB$28/12</f>
        <v>937500</v>
      </c>
      <c r="DG151" s="192">
        <f>DG150*Results_10yr!$AB$28/12</f>
        <v>937500</v>
      </c>
      <c r="DH151" s="192">
        <f>DH150*Results_10yr!$AB$28/12</f>
        <v>937500</v>
      </c>
      <c r="DI151" s="192">
        <f>DI150*Results_10yr!$AB$28/12</f>
        <v>937500</v>
      </c>
      <c r="DJ151" s="192">
        <f>DJ150*Results_10yr!$AB$28/12</f>
        <v>937500</v>
      </c>
      <c r="DK151" s="192">
        <f>DK150*Results_10yr!$AB$28/12</f>
        <v>937500</v>
      </c>
      <c r="DL151" s="192">
        <f>DL150*Results_10yr!$AB$28/12</f>
        <v>937500</v>
      </c>
      <c r="DM151" s="192">
        <f>DM150*Results_10yr!$AB$28/12</f>
        <v>937500</v>
      </c>
      <c r="DN151" s="192">
        <f>DN150*Results_10yr!$AB$28/12</f>
        <v>937500</v>
      </c>
      <c r="DO151" s="192">
        <f>DO150*Results_10yr!$AB$28/12</f>
        <v>937500</v>
      </c>
      <c r="DP151" s="192">
        <f>DP150*Results_10yr!$AB$28/12</f>
        <v>937500</v>
      </c>
      <c r="DQ151" s="192">
        <f>DQ150*Results_10yr!$AB$28/12</f>
        <v>937500</v>
      </c>
      <c r="DR151" s="192">
        <f>DR150*Results_10yr!$AB$28/12</f>
        <v>937500</v>
      </c>
    </row>
    <row r="152" spans="1:122">
      <c r="A152" s="142" t="s">
        <v>425</v>
      </c>
      <c r="B152" s="191"/>
      <c r="C152" s="192">
        <f>-C151*(1-Results_10yr!$AB$29)</f>
        <v>0</v>
      </c>
      <c r="D152" s="192">
        <f>-D151*(1-Results_10yr!$AB$29)</f>
        <v>0</v>
      </c>
      <c r="E152" s="192">
        <f>-E151*(1-Results_10yr!$AB$29)</f>
        <v>0</v>
      </c>
      <c r="F152" s="192">
        <f>-F151*(1-Results_10yr!$AB$29)</f>
        <v>0</v>
      </c>
      <c r="G152" s="192">
        <f>-G151*(1-Results_10yr!$AB$29)</f>
        <v>0</v>
      </c>
      <c r="H152" s="192">
        <f>-H151*(1-Results_10yr!$AB$29)</f>
        <v>0</v>
      </c>
      <c r="I152" s="192">
        <f>-I151*(1-Results_10yr!$AB$29)</f>
        <v>0</v>
      </c>
      <c r="J152" s="192">
        <f>-J151*(1-Results_10yr!$AB$29)</f>
        <v>0</v>
      </c>
      <c r="K152" s="192">
        <f>-K151*(1-Results_10yr!$AB$29)</f>
        <v>0</v>
      </c>
      <c r="L152" s="192">
        <f>-L151*(1-Results_10yr!$AB$29)</f>
        <v>0</v>
      </c>
      <c r="M152" s="192">
        <f>-M151*(1-Results_10yr!$AB$29)</f>
        <v>0</v>
      </c>
      <c r="N152" s="192">
        <f>-N151*(1-Results_10yr!$AB$29)</f>
        <v>0</v>
      </c>
      <c r="O152" s="192">
        <f>-O151*(1-Results_10yr!$AB$29)</f>
        <v>0</v>
      </c>
      <c r="P152" s="192">
        <f>-P151*(1-Results_10yr!$AB$29)</f>
        <v>0</v>
      </c>
      <c r="Q152" s="192">
        <f>-Q151*(1-Results_10yr!$AB$29)</f>
        <v>0</v>
      </c>
      <c r="R152" s="192">
        <f>-R151*(1-Results_10yr!$AB$29)</f>
        <v>0</v>
      </c>
      <c r="S152" s="192">
        <f>-S151*(1-Results_10yr!$AB$29)</f>
        <v>0</v>
      </c>
      <c r="T152" s="192">
        <f>-T151*(1-Results_10yr!$AB$29)</f>
        <v>0</v>
      </c>
      <c r="U152" s="192">
        <f>-U151*(1-Results_10yr!$AB$29)</f>
        <v>0</v>
      </c>
      <c r="V152" s="192">
        <f>-V151*(1-Results_10yr!$AB$29)</f>
        <v>0</v>
      </c>
      <c r="W152" s="192">
        <f>-W151*(1-Results_10yr!$AB$29)</f>
        <v>0</v>
      </c>
      <c r="X152" s="192">
        <f>-X151*(1-Results_10yr!$AB$29)</f>
        <v>0</v>
      </c>
      <c r="Y152" s="192">
        <f>-Y151*(1-Results_10yr!$AB$29)</f>
        <v>0</v>
      </c>
      <c r="Z152" s="192">
        <f>-Z151*(1-Results_10yr!$AB$29)</f>
        <v>0</v>
      </c>
      <c r="AA152" s="192">
        <f>-AA151*(1-Results_10yr!$AB$29)</f>
        <v>0</v>
      </c>
      <c r="AB152" s="192">
        <f>-AB151*(1-Results_10yr!$AB$29)</f>
        <v>0</v>
      </c>
      <c r="AC152" s="192">
        <f>-AC151*(1-Results_10yr!$AB$29)</f>
        <v>0</v>
      </c>
      <c r="AD152" s="192">
        <f>-AD151*(1-Results_10yr!$AB$29)</f>
        <v>0</v>
      </c>
      <c r="AE152" s="192">
        <f>-AE151*(1-Results_10yr!$AB$29)</f>
        <v>0</v>
      </c>
      <c r="AF152" s="192">
        <f>-AF151*(1-Results_10yr!$AB$29)</f>
        <v>0</v>
      </c>
      <c r="AG152" s="192">
        <f>-AG151*(1-Results_10yr!$AB$29)</f>
        <v>0</v>
      </c>
      <c r="AH152" s="192">
        <f>-AH151*(1-Results_10yr!$AB$29)</f>
        <v>0</v>
      </c>
      <c r="AI152" s="192">
        <f>-AI151*(1-Results_10yr!$AB$29)</f>
        <v>0</v>
      </c>
      <c r="AJ152" s="192">
        <f>-AJ151*(1-Results_10yr!$AB$29)</f>
        <v>0</v>
      </c>
      <c r="AK152" s="192">
        <f>-AK151*(1-Results_10yr!$AB$29)</f>
        <v>0</v>
      </c>
      <c r="AL152" s="192">
        <f>-AL151*(1-Results_10yr!$AB$29)</f>
        <v>0</v>
      </c>
      <c r="AM152" s="192">
        <f>-AM151*(1-Results_10yr!$AB$29)</f>
        <v>0</v>
      </c>
      <c r="AN152" s="192">
        <f>-AN151*(1-Results_10yr!$AB$29)</f>
        <v>0</v>
      </c>
      <c r="AO152" s="192">
        <f>-AO151*(1-Results_10yr!$AB$29)</f>
        <v>0</v>
      </c>
      <c r="AP152" s="192">
        <f>-AP151*(1-Results_10yr!$AB$29)</f>
        <v>0</v>
      </c>
      <c r="AQ152" s="192">
        <f>-AQ151*(1-Results_10yr!$AB$29)</f>
        <v>0</v>
      </c>
      <c r="AR152" s="192">
        <f>-AR151*(1-Results_10yr!$AB$29)</f>
        <v>0</v>
      </c>
      <c r="AS152" s="192">
        <f>-AS151*(1-Results_10yr!$AB$29)</f>
        <v>0</v>
      </c>
      <c r="AT152" s="192">
        <f>-AT151*(1-Results_10yr!$AB$29)</f>
        <v>0</v>
      </c>
      <c r="AU152" s="192">
        <f>-AU151*(1-Results_10yr!$AB$29)</f>
        <v>0</v>
      </c>
      <c r="AV152" s="192">
        <f>-AV151*(1-Results_10yr!$AB$29)</f>
        <v>0</v>
      </c>
      <c r="AW152" s="192">
        <f>-AW151*(1-Results_10yr!$AB$29)</f>
        <v>0</v>
      </c>
      <c r="AX152" s="192">
        <f>-AX151*(1-Results_10yr!$AB$29)</f>
        <v>0</v>
      </c>
      <c r="AY152" s="192">
        <f>-AY151*(1-Results_10yr!$AB$29)</f>
        <v>0</v>
      </c>
      <c r="AZ152" s="192">
        <f>-AZ151*(1-Results_10yr!$AB$29)</f>
        <v>0</v>
      </c>
      <c r="BA152" s="192">
        <f>-BA151*(1-Results_10yr!$AB$29)</f>
        <v>0</v>
      </c>
      <c r="BB152" s="192">
        <f>-BB151*(1-Results_10yr!$AB$29)</f>
        <v>-47395.833333333336</v>
      </c>
      <c r="BC152" s="192">
        <f>-BC151*(1-Results_10yr!$AB$29)</f>
        <v>-54166.666666666672</v>
      </c>
      <c r="BD152" s="192">
        <f>-BD151*(1-Results_10yr!$AB$29)</f>
        <v>-60937.5</v>
      </c>
      <c r="BE152" s="192">
        <f>-BE151*(1-Results_10yr!$AB$29)</f>
        <v>-67708.333333333343</v>
      </c>
      <c r="BF152" s="192">
        <f>-BF151*(1-Results_10yr!$AB$29)</f>
        <v>-74479.166666666657</v>
      </c>
      <c r="BG152" s="192">
        <f>-BG151*(1-Results_10yr!$AB$29)</f>
        <v>-81250</v>
      </c>
      <c r="BH152" s="192">
        <f>-BH151*(1-Results_10yr!$AB$29)</f>
        <v>-135416.66666666669</v>
      </c>
      <c r="BI152" s="192">
        <f>-BI151*(1-Results_10yr!$AB$29)</f>
        <v>-148958.33333333331</v>
      </c>
      <c r="BJ152" s="192">
        <f>-BJ151*(1-Results_10yr!$AB$29)</f>
        <v>-162500</v>
      </c>
      <c r="BK152" s="192">
        <f>-BK151*(1-Results_10yr!$AB$29)</f>
        <v>-176041.66666666666</v>
      </c>
      <c r="BL152" s="192">
        <f>-BL151*(1-Results_10yr!$AB$29)</f>
        <v>-189583.33333333331</v>
      </c>
      <c r="BM152" s="192">
        <f>-BM151*(1-Results_10yr!$AB$29)</f>
        <v>-203125</v>
      </c>
      <c r="BN152" s="192">
        <f>-BN151*(1-Results_10yr!$AB$29)</f>
        <v>-257291.66666666663</v>
      </c>
      <c r="BO152" s="192">
        <f>-BO151*(1-Results_10yr!$AB$29)</f>
        <v>-270833.33333333337</v>
      </c>
      <c r="BP152" s="192">
        <f>-BP151*(1-Results_10yr!$AB$29)</f>
        <v>-284375</v>
      </c>
      <c r="BQ152" s="192">
        <f>-BQ151*(1-Results_10yr!$AB$29)</f>
        <v>-297916.66666666663</v>
      </c>
      <c r="BR152" s="192">
        <f>-BR151*(1-Results_10yr!$AB$29)</f>
        <v>-311458.33333333326</v>
      </c>
      <c r="BS152" s="192">
        <f>-BS151*(1-Results_10yr!$AB$29)</f>
        <v>-325000</v>
      </c>
      <c r="BT152" s="192">
        <f>-BT151*(1-Results_10yr!$AB$29)</f>
        <v>-379166.66666666663</v>
      </c>
      <c r="BU152" s="192">
        <f>-BU151*(1-Results_10yr!$AB$29)</f>
        <v>-392708.33333333331</v>
      </c>
      <c r="BV152" s="192">
        <f>-BV151*(1-Results_10yr!$AB$29)</f>
        <v>-406250</v>
      </c>
      <c r="BW152" s="192">
        <f>-BW151*(1-Results_10yr!$AB$29)</f>
        <v>-419791.66666666663</v>
      </c>
      <c r="BX152" s="192">
        <f>-BX151*(1-Results_10yr!$AB$29)</f>
        <v>-433333.33333333331</v>
      </c>
      <c r="BY152" s="192">
        <f>-BY151*(1-Results_10yr!$AB$29)</f>
        <v>-446875</v>
      </c>
      <c r="BZ152" s="192">
        <f>-BZ151*(1-Results_10yr!$AB$29)</f>
        <v>-501041.66666666669</v>
      </c>
      <c r="CA152" s="192">
        <f>-CA151*(1-Results_10yr!$AB$29)</f>
        <v>-514583.33333333326</v>
      </c>
      <c r="CB152" s="192">
        <f>-CB151*(1-Results_10yr!$AB$29)</f>
        <v>-528125</v>
      </c>
      <c r="CC152" s="192">
        <f>-CC151*(1-Results_10yr!$AB$29)</f>
        <v>-541666.66666666674</v>
      </c>
      <c r="CD152" s="192">
        <f>-CD151*(1-Results_10yr!$AB$29)</f>
        <v>-555208.33333333326</v>
      </c>
      <c r="CE152" s="192">
        <f>-CE151*(1-Results_10yr!$AB$29)</f>
        <v>-568750</v>
      </c>
      <c r="CF152" s="192">
        <f>-CF151*(1-Results_10yr!$AB$29)</f>
        <v>-575520.83333333326</v>
      </c>
      <c r="CG152" s="192">
        <f>-CG151*(1-Results_10yr!$AB$29)</f>
        <v>-582291.66666666674</v>
      </c>
      <c r="CH152" s="192">
        <f>-CH151*(1-Results_10yr!$AB$29)</f>
        <v>-589062.5</v>
      </c>
      <c r="CI152" s="192">
        <f>-CI151*(1-Results_10yr!$AB$29)</f>
        <v>-595833.33333333326</v>
      </c>
      <c r="CJ152" s="192">
        <f>-CJ151*(1-Results_10yr!$AB$29)</f>
        <v>-602604.16666666674</v>
      </c>
      <c r="CK152" s="192">
        <f>-CK151*(1-Results_10yr!$AB$29)</f>
        <v>-609375</v>
      </c>
      <c r="CL152" s="192">
        <f>-CL151*(1-Results_10yr!$AB$29)</f>
        <v>-609375</v>
      </c>
      <c r="CM152" s="192">
        <f>-CM151*(1-Results_10yr!$AB$29)</f>
        <v>-609375</v>
      </c>
      <c r="CN152" s="192">
        <f>-CN151*(1-Results_10yr!$AB$29)</f>
        <v>-609375</v>
      </c>
      <c r="CO152" s="192">
        <f>-CO151*(1-Results_10yr!$AB$29)</f>
        <v>-609375</v>
      </c>
      <c r="CP152" s="192">
        <f>-CP151*(1-Results_10yr!$AB$29)</f>
        <v>-609375</v>
      </c>
      <c r="CQ152" s="192">
        <f>-CQ151*(1-Results_10yr!$AB$29)</f>
        <v>-609375</v>
      </c>
      <c r="CR152" s="192">
        <f>-CR151*(1-Results_10yr!$AB$29)</f>
        <v>-609375</v>
      </c>
      <c r="CS152" s="192">
        <f>-CS151*(1-Results_10yr!$AB$29)</f>
        <v>-609375</v>
      </c>
      <c r="CT152" s="192">
        <f>-CT151*(1-Results_10yr!$AB$29)</f>
        <v>-609375</v>
      </c>
      <c r="CU152" s="192">
        <f>-CU151*(1-Results_10yr!$AB$29)</f>
        <v>-609375</v>
      </c>
      <c r="CV152" s="192">
        <f>-CV151*(1-Results_10yr!$AB$29)</f>
        <v>-609375</v>
      </c>
      <c r="CW152" s="192">
        <f>-CW151*(1-Results_10yr!$AB$29)</f>
        <v>-609375</v>
      </c>
      <c r="CX152" s="192">
        <f>-CX151*(1-Results_10yr!$AB$29)</f>
        <v>-609375</v>
      </c>
      <c r="CY152" s="192">
        <f>-CY151*(1-Results_10yr!$AB$29)</f>
        <v>-609375</v>
      </c>
      <c r="CZ152" s="192">
        <f>-CZ151*(1-Results_10yr!$AB$29)</f>
        <v>-609375</v>
      </c>
      <c r="DA152" s="192">
        <f>-DA151*(1-Results_10yr!$AB$29)</f>
        <v>-609375</v>
      </c>
      <c r="DB152" s="192">
        <f>-DB151*(1-Results_10yr!$AB$29)</f>
        <v>-609375</v>
      </c>
      <c r="DC152" s="192">
        <f>-DC151*(1-Results_10yr!$AB$29)</f>
        <v>-609375</v>
      </c>
      <c r="DD152" s="192">
        <f>-DD151*(1-Results_10yr!$AB$29)</f>
        <v>-609375</v>
      </c>
      <c r="DE152" s="192">
        <f>-DE151*(1-Results_10yr!$AB$29)</f>
        <v>-609375</v>
      </c>
      <c r="DF152" s="192">
        <f>-DF151*(1-Results_10yr!$AB$29)</f>
        <v>-609375</v>
      </c>
      <c r="DG152" s="192">
        <f>-DG151*(1-Results_10yr!$AB$29)</f>
        <v>-609375</v>
      </c>
      <c r="DH152" s="192">
        <f>-DH151*(1-Results_10yr!$AB$29)</f>
        <v>-609375</v>
      </c>
      <c r="DI152" s="192">
        <f>-DI151*(1-Results_10yr!$AB$29)</f>
        <v>-609375</v>
      </c>
      <c r="DJ152" s="192">
        <f>-DJ151*(1-Results_10yr!$AB$29)</f>
        <v>-609375</v>
      </c>
      <c r="DK152" s="192">
        <f>-DK151*(1-Results_10yr!$AB$29)</f>
        <v>-609375</v>
      </c>
      <c r="DL152" s="192">
        <f>-DL151*(1-Results_10yr!$AB$29)</f>
        <v>-609375</v>
      </c>
      <c r="DM152" s="192">
        <f>-DM151*(1-Results_10yr!$AB$29)</f>
        <v>-609375</v>
      </c>
      <c r="DN152" s="192">
        <f>-DN151*(1-Results_10yr!$AB$29)</f>
        <v>-609375</v>
      </c>
      <c r="DO152" s="192">
        <f>-DO151*(1-Results_10yr!$AB$29)</f>
        <v>-609375</v>
      </c>
      <c r="DP152" s="192">
        <f>-DP151*(1-Results_10yr!$AB$29)</f>
        <v>-609375</v>
      </c>
      <c r="DQ152" s="192">
        <f>-DQ151*(1-Results_10yr!$AB$29)</f>
        <v>-609375</v>
      </c>
      <c r="DR152" s="192">
        <f>-DR151*(1-Results_10yr!$AB$29)</f>
        <v>-609375</v>
      </c>
    </row>
    <row r="153" spans="1:122">
      <c r="A153" s="142" t="s">
        <v>426</v>
      </c>
      <c r="B153" s="191"/>
      <c r="C153" s="192">
        <f t="shared" ref="C153:AH153" si="222">C151+C152</f>
        <v>0</v>
      </c>
      <c r="D153" s="192">
        <f t="shared" si="222"/>
        <v>0</v>
      </c>
      <c r="E153" s="192">
        <f t="shared" si="222"/>
        <v>0</v>
      </c>
      <c r="F153" s="192">
        <f t="shared" si="222"/>
        <v>0</v>
      </c>
      <c r="G153" s="192">
        <f t="shared" si="222"/>
        <v>0</v>
      </c>
      <c r="H153" s="192">
        <f t="shared" si="222"/>
        <v>0</v>
      </c>
      <c r="I153" s="192">
        <f t="shared" si="222"/>
        <v>0</v>
      </c>
      <c r="J153" s="192">
        <f t="shared" si="222"/>
        <v>0</v>
      </c>
      <c r="K153" s="192">
        <f t="shared" si="222"/>
        <v>0</v>
      </c>
      <c r="L153" s="192">
        <f t="shared" si="222"/>
        <v>0</v>
      </c>
      <c r="M153" s="192">
        <f t="shared" si="222"/>
        <v>0</v>
      </c>
      <c r="N153" s="192">
        <f t="shared" si="222"/>
        <v>0</v>
      </c>
      <c r="O153" s="192">
        <f t="shared" si="222"/>
        <v>0</v>
      </c>
      <c r="P153" s="192">
        <f t="shared" si="222"/>
        <v>0</v>
      </c>
      <c r="Q153" s="192">
        <f t="shared" si="222"/>
        <v>0</v>
      </c>
      <c r="R153" s="192">
        <f t="shared" si="222"/>
        <v>0</v>
      </c>
      <c r="S153" s="192">
        <f t="shared" si="222"/>
        <v>0</v>
      </c>
      <c r="T153" s="192">
        <f t="shared" si="222"/>
        <v>0</v>
      </c>
      <c r="U153" s="192">
        <f t="shared" si="222"/>
        <v>0</v>
      </c>
      <c r="V153" s="192">
        <f t="shared" si="222"/>
        <v>0</v>
      </c>
      <c r="W153" s="192">
        <f t="shared" si="222"/>
        <v>0</v>
      </c>
      <c r="X153" s="192">
        <f t="shared" si="222"/>
        <v>0</v>
      </c>
      <c r="Y153" s="192">
        <f t="shared" si="222"/>
        <v>0</v>
      </c>
      <c r="Z153" s="192">
        <f t="shared" si="222"/>
        <v>0</v>
      </c>
      <c r="AA153" s="192">
        <f t="shared" si="222"/>
        <v>0</v>
      </c>
      <c r="AB153" s="192">
        <f t="shared" si="222"/>
        <v>0</v>
      </c>
      <c r="AC153" s="192">
        <f t="shared" si="222"/>
        <v>0</v>
      </c>
      <c r="AD153" s="192">
        <f t="shared" si="222"/>
        <v>0</v>
      </c>
      <c r="AE153" s="192">
        <f t="shared" si="222"/>
        <v>0</v>
      </c>
      <c r="AF153" s="192">
        <f t="shared" si="222"/>
        <v>0</v>
      </c>
      <c r="AG153" s="192">
        <f t="shared" si="222"/>
        <v>0</v>
      </c>
      <c r="AH153" s="192">
        <f t="shared" si="222"/>
        <v>0</v>
      </c>
      <c r="AI153" s="192">
        <f t="shared" ref="AI153:BN153" si="223">AI151+AI152</f>
        <v>0</v>
      </c>
      <c r="AJ153" s="192">
        <f t="shared" si="223"/>
        <v>0</v>
      </c>
      <c r="AK153" s="192">
        <f t="shared" si="223"/>
        <v>0</v>
      </c>
      <c r="AL153" s="192">
        <f t="shared" si="223"/>
        <v>0</v>
      </c>
      <c r="AM153" s="192">
        <f t="shared" si="223"/>
        <v>0</v>
      </c>
      <c r="AN153" s="192">
        <f t="shared" si="223"/>
        <v>0</v>
      </c>
      <c r="AO153" s="192">
        <f t="shared" si="223"/>
        <v>0</v>
      </c>
      <c r="AP153" s="192">
        <f t="shared" si="223"/>
        <v>0</v>
      </c>
      <c r="AQ153" s="192">
        <f t="shared" si="223"/>
        <v>0</v>
      </c>
      <c r="AR153" s="192">
        <f t="shared" si="223"/>
        <v>0</v>
      </c>
      <c r="AS153" s="192">
        <f t="shared" si="223"/>
        <v>0</v>
      </c>
      <c r="AT153" s="192">
        <f t="shared" si="223"/>
        <v>0</v>
      </c>
      <c r="AU153" s="192">
        <f t="shared" si="223"/>
        <v>0</v>
      </c>
      <c r="AV153" s="192">
        <f t="shared" si="223"/>
        <v>0</v>
      </c>
      <c r="AW153" s="192">
        <f t="shared" si="223"/>
        <v>0</v>
      </c>
      <c r="AX153" s="192">
        <f t="shared" si="223"/>
        <v>0</v>
      </c>
      <c r="AY153" s="192">
        <f t="shared" si="223"/>
        <v>0</v>
      </c>
      <c r="AZ153" s="192">
        <f t="shared" si="223"/>
        <v>0</v>
      </c>
      <c r="BA153" s="192">
        <f t="shared" si="223"/>
        <v>0</v>
      </c>
      <c r="BB153" s="192">
        <f t="shared" si="223"/>
        <v>25520.833333333336</v>
      </c>
      <c r="BC153" s="192">
        <f t="shared" si="223"/>
        <v>29166.666666666672</v>
      </c>
      <c r="BD153" s="192">
        <f t="shared" si="223"/>
        <v>32812.5</v>
      </c>
      <c r="BE153" s="192">
        <f t="shared" si="223"/>
        <v>36458.333333333328</v>
      </c>
      <c r="BF153" s="192">
        <f t="shared" si="223"/>
        <v>40104.166666666657</v>
      </c>
      <c r="BG153" s="192">
        <f t="shared" si="223"/>
        <v>43749.999999999985</v>
      </c>
      <c r="BH153" s="192">
        <f t="shared" si="223"/>
        <v>72916.666666666657</v>
      </c>
      <c r="BI153" s="192">
        <f t="shared" si="223"/>
        <v>80208.333333333314</v>
      </c>
      <c r="BJ153" s="192">
        <f t="shared" si="223"/>
        <v>87499.999999999971</v>
      </c>
      <c r="BK153" s="192">
        <f t="shared" si="223"/>
        <v>94791.666666666657</v>
      </c>
      <c r="BL153" s="192">
        <f t="shared" si="223"/>
        <v>102083.33333333331</v>
      </c>
      <c r="BM153" s="192">
        <f t="shared" si="223"/>
        <v>109375</v>
      </c>
      <c r="BN153" s="192">
        <f t="shared" si="223"/>
        <v>138541.66666666663</v>
      </c>
      <c r="BO153" s="192">
        <f t="shared" ref="BO153:CT153" si="224">BO151+BO152</f>
        <v>145833.33333333331</v>
      </c>
      <c r="BP153" s="192">
        <f t="shared" si="224"/>
        <v>153125</v>
      </c>
      <c r="BQ153" s="192">
        <f t="shared" si="224"/>
        <v>160416.66666666663</v>
      </c>
      <c r="BR153" s="192">
        <f t="shared" si="224"/>
        <v>167708.33333333331</v>
      </c>
      <c r="BS153" s="192">
        <f t="shared" si="224"/>
        <v>175000</v>
      </c>
      <c r="BT153" s="192">
        <f t="shared" si="224"/>
        <v>204166.66666666663</v>
      </c>
      <c r="BU153" s="192">
        <f t="shared" si="224"/>
        <v>211458.33333333331</v>
      </c>
      <c r="BV153" s="192">
        <f t="shared" si="224"/>
        <v>218750</v>
      </c>
      <c r="BW153" s="192">
        <f t="shared" si="224"/>
        <v>226041.66666666663</v>
      </c>
      <c r="BX153" s="192">
        <f t="shared" si="224"/>
        <v>233333.33333333331</v>
      </c>
      <c r="BY153" s="192">
        <f t="shared" si="224"/>
        <v>240625</v>
      </c>
      <c r="BZ153" s="192">
        <f t="shared" si="224"/>
        <v>269791.66666666669</v>
      </c>
      <c r="CA153" s="192">
        <f t="shared" si="224"/>
        <v>277083.33333333326</v>
      </c>
      <c r="CB153" s="192">
        <f t="shared" si="224"/>
        <v>284375</v>
      </c>
      <c r="CC153" s="192">
        <f t="shared" si="224"/>
        <v>291666.66666666663</v>
      </c>
      <c r="CD153" s="192">
        <f t="shared" si="224"/>
        <v>298958.33333333326</v>
      </c>
      <c r="CE153" s="192">
        <f t="shared" si="224"/>
        <v>306250</v>
      </c>
      <c r="CF153" s="192">
        <f t="shared" si="224"/>
        <v>309895.83333333326</v>
      </c>
      <c r="CG153" s="192">
        <f t="shared" si="224"/>
        <v>313541.66666666663</v>
      </c>
      <c r="CH153" s="192">
        <f t="shared" si="224"/>
        <v>317187.5</v>
      </c>
      <c r="CI153" s="192">
        <f t="shared" si="224"/>
        <v>320833.33333333326</v>
      </c>
      <c r="CJ153" s="192">
        <f t="shared" si="224"/>
        <v>324479.16666666663</v>
      </c>
      <c r="CK153" s="192">
        <f t="shared" si="224"/>
        <v>328125</v>
      </c>
      <c r="CL153" s="192">
        <f t="shared" si="224"/>
        <v>328125</v>
      </c>
      <c r="CM153" s="192">
        <f t="shared" si="224"/>
        <v>328125</v>
      </c>
      <c r="CN153" s="192">
        <f t="shared" si="224"/>
        <v>328125</v>
      </c>
      <c r="CO153" s="192">
        <f t="shared" si="224"/>
        <v>328125</v>
      </c>
      <c r="CP153" s="192">
        <f t="shared" si="224"/>
        <v>328125</v>
      </c>
      <c r="CQ153" s="192">
        <f t="shared" si="224"/>
        <v>328125</v>
      </c>
      <c r="CR153" s="192">
        <f t="shared" si="224"/>
        <v>328125</v>
      </c>
      <c r="CS153" s="192">
        <f t="shared" si="224"/>
        <v>328125</v>
      </c>
      <c r="CT153" s="192">
        <f t="shared" si="224"/>
        <v>328125</v>
      </c>
      <c r="CU153" s="192">
        <f t="shared" ref="CU153:DR153" si="225">CU151+CU152</f>
        <v>328125</v>
      </c>
      <c r="CV153" s="192">
        <f t="shared" si="225"/>
        <v>328125</v>
      </c>
      <c r="CW153" s="192">
        <f t="shared" si="225"/>
        <v>328125</v>
      </c>
      <c r="CX153" s="192">
        <f t="shared" si="225"/>
        <v>328125</v>
      </c>
      <c r="CY153" s="192">
        <f t="shared" si="225"/>
        <v>328125</v>
      </c>
      <c r="CZ153" s="192">
        <f t="shared" si="225"/>
        <v>328125</v>
      </c>
      <c r="DA153" s="192">
        <f t="shared" si="225"/>
        <v>328125</v>
      </c>
      <c r="DB153" s="192">
        <f t="shared" si="225"/>
        <v>328125</v>
      </c>
      <c r="DC153" s="192">
        <f t="shared" si="225"/>
        <v>328125</v>
      </c>
      <c r="DD153" s="192">
        <f t="shared" si="225"/>
        <v>328125</v>
      </c>
      <c r="DE153" s="192">
        <f t="shared" si="225"/>
        <v>328125</v>
      </c>
      <c r="DF153" s="192">
        <f t="shared" si="225"/>
        <v>328125</v>
      </c>
      <c r="DG153" s="192">
        <f t="shared" si="225"/>
        <v>328125</v>
      </c>
      <c r="DH153" s="192">
        <f t="shared" si="225"/>
        <v>328125</v>
      </c>
      <c r="DI153" s="192">
        <f t="shared" si="225"/>
        <v>328125</v>
      </c>
      <c r="DJ153" s="192">
        <f t="shared" si="225"/>
        <v>328125</v>
      </c>
      <c r="DK153" s="192">
        <f t="shared" si="225"/>
        <v>328125</v>
      </c>
      <c r="DL153" s="192">
        <f t="shared" si="225"/>
        <v>328125</v>
      </c>
      <c r="DM153" s="192">
        <f t="shared" si="225"/>
        <v>328125</v>
      </c>
      <c r="DN153" s="192">
        <f t="shared" si="225"/>
        <v>328125</v>
      </c>
      <c r="DO153" s="192">
        <f t="shared" si="225"/>
        <v>328125</v>
      </c>
      <c r="DP153" s="192">
        <f t="shared" si="225"/>
        <v>328125</v>
      </c>
      <c r="DQ153" s="192">
        <f t="shared" si="225"/>
        <v>328125</v>
      </c>
      <c r="DR153" s="192">
        <f t="shared" si="225"/>
        <v>328125</v>
      </c>
    </row>
    <row r="154" spans="1:122">
      <c r="A154" s="142" t="s">
        <v>427</v>
      </c>
      <c r="B154" s="191"/>
      <c r="C154" s="192">
        <f>C153</f>
        <v>0</v>
      </c>
      <c r="D154" s="192">
        <f t="shared" ref="D154:AI154" si="226">C154+D153</f>
        <v>0</v>
      </c>
      <c r="E154" s="192">
        <f t="shared" si="226"/>
        <v>0</v>
      </c>
      <c r="F154" s="192">
        <f t="shared" si="226"/>
        <v>0</v>
      </c>
      <c r="G154" s="192">
        <f t="shared" si="226"/>
        <v>0</v>
      </c>
      <c r="H154" s="192">
        <f t="shared" si="226"/>
        <v>0</v>
      </c>
      <c r="I154" s="192">
        <f t="shared" si="226"/>
        <v>0</v>
      </c>
      <c r="J154" s="192">
        <f t="shared" si="226"/>
        <v>0</v>
      </c>
      <c r="K154" s="192">
        <f t="shared" si="226"/>
        <v>0</v>
      </c>
      <c r="L154" s="192">
        <f t="shared" si="226"/>
        <v>0</v>
      </c>
      <c r="M154" s="192">
        <f t="shared" si="226"/>
        <v>0</v>
      </c>
      <c r="N154" s="192">
        <f t="shared" si="226"/>
        <v>0</v>
      </c>
      <c r="O154" s="192">
        <f t="shared" si="226"/>
        <v>0</v>
      </c>
      <c r="P154" s="192">
        <f t="shared" si="226"/>
        <v>0</v>
      </c>
      <c r="Q154" s="192">
        <f t="shared" si="226"/>
        <v>0</v>
      </c>
      <c r="R154" s="192">
        <f t="shared" si="226"/>
        <v>0</v>
      </c>
      <c r="S154" s="192">
        <f t="shared" si="226"/>
        <v>0</v>
      </c>
      <c r="T154" s="192">
        <f t="shared" si="226"/>
        <v>0</v>
      </c>
      <c r="U154" s="192">
        <f t="shared" si="226"/>
        <v>0</v>
      </c>
      <c r="V154" s="192">
        <f t="shared" si="226"/>
        <v>0</v>
      </c>
      <c r="W154" s="192">
        <f t="shared" si="226"/>
        <v>0</v>
      </c>
      <c r="X154" s="192">
        <f t="shared" si="226"/>
        <v>0</v>
      </c>
      <c r="Y154" s="192">
        <f t="shared" si="226"/>
        <v>0</v>
      </c>
      <c r="Z154" s="192">
        <f t="shared" si="226"/>
        <v>0</v>
      </c>
      <c r="AA154" s="192">
        <f t="shared" si="226"/>
        <v>0</v>
      </c>
      <c r="AB154" s="192">
        <f t="shared" si="226"/>
        <v>0</v>
      </c>
      <c r="AC154" s="192">
        <f t="shared" si="226"/>
        <v>0</v>
      </c>
      <c r="AD154" s="192">
        <f t="shared" si="226"/>
        <v>0</v>
      </c>
      <c r="AE154" s="192">
        <f t="shared" si="226"/>
        <v>0</v>
      </c>
      <c r="AF154" s="192">
        <f t="shared" si="226"/>
        <v>0</v>
      </c>
      <c r="AG154" s="192">
        <f t="shared" si="226"/>
        <v>0</v>
      </c>
      <c r="AH154" s="192">
        <f t="shared" si="226"/>
        <v>0</v>
      </c>
      <c r="AI154" s="192">
        <f t="shared" si="226"/>
        <v>0</v>
      </c>
      <c r="AJ154" s="192">
        <f t="shared" ref="AJ154:BO154" si="227">AI154+AJ153</f>
        <v>0</v>
      </c>
      <c r="AK154" s="192">
        <f t="shared" si="227"/>
        <v>0</v>
      </c>
      <c r="AL154" s="192">
        <f t="shared" si="227"/>
        <v>0</v>
      </c>
      <c r="AM154" s="192">
        <f t="shared" si="227"/>
        <v>0</v>
      </c>
      <c r="AN154" s="192">
        <f t="shared" si="227"/>
        <v>0</v>
      </c>
      <c r="AO154" s="192">
        <f t="shared" si="227"/>
        <v>0</v>
      </c>
      <c r="AP154" s="192">
        <f t="shared" si="227"/>
        <v>0</v>
      </c>
      <c r="AQ154" s="192">
        <f t="shared" si="227"/>
        <v>0</v>
      </c>
      <c r="AR154" s="192">
        <f t="shared" si="227"/>
        <v>0</v>
      </c>
      <c r="AS154" s="192">
        <f t="shared" si="227"/>
        <v>0</v>
      </c>
      <c r="AT154" s="192">
        <f t="shared" si="227"/>
        <v>0</v>
      </c>
      <c r="AU154" s="192">
        <f t="shared" si="227"/>
        <v>0</v>
      </c>
      <c r="AV154" s="192">
        <f t="shared" si="227"/>
        <v>0</v>
      </c>
      <c r="AW154" s="192">
        <f t="shared" si="227"/>
        <v>0</v>
      </c>
      <c r="AX154" s="192">
        <f t="shared" si="227"/>
        <v>0</v>
      </c>
      <c r="AY154" s="192">
        <f t="shared" si="227"/>
        <v>0</v>
      </c>
      <c r="AZ154" s="192">
        <f t="shared" si="227"/>
        <v>0</v>
      </c>
      <c r="BA154" s="192">
        <f t="shared" si="227"/>
        <v>0</v>
      </c>
      <c r="BB154" s="192">
        <f t="shared" si="227"/>
        <v>25520.833333333336</v>
      </c>
      <c r="BC154" s="192">
        <f t="shared" si="227"/>
        <v>54687.500000000007</v>
      </c>
      <c r="BD154" s="192">
        <f t="shared" si="227"/>
        <v>87500</v>
      </c>
      <c r="BE154" s="192">
        <f t="shared" si="227"/>
        <v>123958.33333333333</v>
      </c>
      <c r="BF154" s="192">
        <f t="shared" si="227"/>
        <v>164062.5</v>
      </c>
      <c r="BG154" s="192">
        <f t="shared" si="227"/>
        <v>207812.5</v>
      </c>
      <c r="BH154" s="192">
        <f t="shared" si="227"/>
        <v>280729.16666666663</v>
      </c>
      <c r="BI154" s="192">
        <f t="shared" si="227"/>
        <v>360937.49999999994</v>
      </c>
      <c r="BJ154" s="192">
        <f t="shared" si="227"/>
        <v>448437.49999999988</v>
      </c>
      <c r="BK154" s="192">
        <f t="shared" si="227"/>
        <v>543229.16666666651</v>
      </c>
      <c r="BL154" s="192">
        <f t="shared" si="227"/>
        <v>645312.49999999977</v>
      </c>
      <c r="BM154" s="192">
        <f t="shared" si="227"/>
        <v>754687.49999999977</v>
      </c>
      <c r="BN154" s="192">
        <f t="shared" si="227"/>
        <v>893229.1666666664</v>
      </c>
      <c r="BO154" s="192">
        <f t="shared" si="227"/>
        <v>1039062.4999999998</v>
      </c>
      <c r="BP154" s="192">
        <f t="shared" ref="BP154:CU154" si="228">BO154+BP153</f>
        <v>1192187.4999999998</v>
      </c>
      <c r="BQ154" s="192">
        <f t="shared" si="228"/>
        <v>1352604.1666666665</v>
      </c>
      <c r="BR154" s="192">
        <f t="shared" si="228"/>
        <v>1520312.4999999998</v>
      </c>
      <c r="BS154" s="192">
        <f t="shared" si="228"/>
        <v>1695312.4999999998</v>
      </c>
      <c r="BT154" s="192">
        <f t="shared" si="228"/>
        <v>1899479.1666666665</v>
      </c>
      <c r="BU154" s="192">
        <f t="shared" si="228"/>
        <v>2110937.5</v>
      </c>
      <c r="BV154" s="192">
        <f t="shared" si="228"/>
        <v>2329687.5</v>
      </c>
      <c r="BW154" s="192">
        <f t="shared" si="228"/>
        <v>2555729.1666666665</v>
      </c>
      <c r="BX154" s="192">
        <f t="shared" si="228"/>
        <v>2789062.5</v>
      </c>
      <c r="BY154" s="192">
        <f t="shared" si="228"/>
        <v>3029687.5</v>
      </c>
      <c r="BZ154" s="192">
        <f t="shared" si="228"/>
        <v>3299479.1666666665</v>
      </c>
      <c r="CA154" s="192">
        <f t="shared" si="228"/>
        <v>3576562.5</v>
      </c>
      <c r="CB154" s="192">
        <f t="shared" si="228"/>
        <v>3860937.5</v>
      </c>
      <c r="CC154" s="192">
        <f t="shared" si="228"/>
        <v>4152604.1666666665</v>
      </c>
      <c r="CD154" s="192">
        <f t="shared" si="228"/>
        <v>4451562.5</v>
      </c>
      <c r="CE154" s="192">
        <f t="shared" si="228"/>
        <v>4757812.5</v>
      </c>
      <c r="CF154" s="192">
        <f t="shared" si="228"/>
        <v>5067708.333333333</v>
      </c>
      <c r="CG154" s="192">
        <f t="shared" si="228"/>
        <v>5381250</v>
      </c>
      <c r="CH154" s="192">
        <f t="shared" si="228"/>
        <v>5698437.5</v>
      </c>
      <c r="CI154" s="192">
        <f t="shared" si="228"/>
        <v>6019270.833333333</v>
      </c>
      <c r="CJ154" s="192">
        <f t="shared" si="228"/>
        <v>6343750</v>
      </c>
      <c r="CK154" s="192">
        <f t="shared" si="228"/>
        <v>6671875</v>
      </c>
      <c r="CL154" s="192">
        <f t="shared" si="228"/>
        <v>7000000</v>
      </c>
      <c r="CM154" s="192">
        <f t="shared" si="228"/>
        <v>7328125</v>
      </c>
      <c r="CN154" s="192">
        <f t="shared" si="228"/>
        <v>7656250</v>
      </c>
      <c r="CO154" s="192">
        <f t="shared" si="228"/>
        <v>7984375</v>
      </c>
      <c r="CP154" s="192">
        <f t="shared" si="228"/>
        <v>8312500</v>
      </c>
      <c r="CQ154" s="192">
        <f t="shared" si="228"/>
        <v>8640625</v>
      </c>
      <c r="CR154" s="192">
        <f t="shared" si="228"/>
        <v>8968750</v>
      </c>
      <c r="CS154" s="192">
        <f t="shared" si="228"/>
        <v>9296875</v>
      </c>
      <c r="CT154" s="192">
        <f t="shared" si="228"/>
        <v>9625000</v>
      </c>
      <c r="CU154" s="192">
        <f t="shared" si="228"/>
        <v>9953125</v>
      </c>
      <c r="CV154" s="192">
        <f t="shared" ref="CV154:DR154" si="229">CU154+CV153</f>
        <v>10281250</v>
      </c>
      <c r="CW154" s="192">
        <f t="shared" si="229"/>
        <v>10609375</v>
      </c>
      <c r="CX154" s="192">
        <f t="shared" si="229"/>
        <v>10937500</v>
      </c>
      <c r="CY154" s="192">
        <f t="shared" si="229"/>
        <v>11265625</v>
      </c>
      <c r="CZ154" s="192">
        <f t="shared" si="229"/>
        <v>11593750</v>
      </c>
      <c r="DA154" s="192">
        <f t="shared" si="229"/>
        <v>11921875</v>
      </c>
      <c r="DB154" s="192">
        <f t="shared" si="229"/>
        <v>12250000</v>
      </c>
      <c r="DC154" s="192">
        <f t="shared" si="229"/>
        <v>12578125</v>
      </c>
      <c r="DD154" s="192">
        <f t="shared" si="229"/>
        <v>12906250</v>
      </c>
      <c r="DE154" s="192">
        <f t="shared" si="229"/>
        <v>13234375</v>
      </c>
      <c r="DF154" s="192">
        <f t="shared" si="229"/>
        <v>13562500</v>
      </c>
      <c r="DG154" s="192">
        <f t="shared" si="229"/>
        <v>13890625</v>
      </c>
      <c r="DH154" s="192">
        <f t="shared" si="229"/>
        <v>14218750</v>
      </c>
      <c r="DI154" s="192">
        <f t="shared" si="229"/>
        <v>14546875</v>
      </c>
      <c r="DJ154" s="192">
        <f t="shared" si="229"/>
        <v>14875000</v>
      </c>
      <c r="DK154" s="192">
        <f t="shared" si="229"/>
        <v>15203125</v>
      </c>
      <c r="DL154" s="192">
        <f t="shared" si="229"/>
        <v>15531250</v>
      </c>
      <c r="DM154" s="192">
        <f t="shared" si="229"/>
        <v>15859375</v>
      </c>
      <c r="DN154" s="192">
        <f t="shared" si="229"/>
        <v>16187500</v>
      </c>
      <c r="DO154" s="192">
        <f t="shared" si="229"/>
        <v>16515625</v>
      </c>
      <c r="DP154" s="192">
        <f t="shared" si="229"/>
        <v>16843750</v>
      </c>
      <c r="DQ154" s="192">
        <f t="shared" si="229"/>
        <v>17171875</v>
      </c>
      <c r="DR154" s="192">
        <f t="shared" si="229"/>
        <v>17500000</v>
      </c>
    </row>
  </sheetData>
  <mergeCells count="4">
    <mergeCell ref="A82:N82"/>
    <mergeCell ref="A88:N88"/>
    <mergeCell ref="A130:N130"/>
    <mergeCell ref="A1:H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I79"/>
  <sheetViews>
    <sheetView workbookViewId="0">
      <selection activeCell="AA33" sqref="AA33"/>
    </sheetView>
  </sheetViews>
  <sheetFormatPr baseColWidth="10" defaultColWidth="8.796875" defaultRowHeight="15.6"/>
  <cols>
    <col min="1" max="1" width="29.5" customWidth="1"/>
    <col min="2" max="2" width="18" customWidth="1"/>
    <col min="3" max="3" width="18.296875" customWidth="1"/>
    <col min="4" max="4" width="18.8984375" customWidth="1"/>
    <col min="5" max="5" width="20.3984375" customWidth="1"/>
    <col min="6" max="6" width="19.8984375" customWidth="1"/>
    <col min="7" max="7" width="23.19921875" customWidth="1"/>
    <col min="8" max="8" width="16" customWidth="1"/>
    <col min="9" max="9" width="21.59765625" bestFit="1" customWidth="1"/>
    <col min="10" max="26" width="16" customWidth="1"/>
    <col min="27" max="27" width="28" customWidth="1"/>
    <col min="28" max="28" width="12" customWidth="1"/>
    <col min="29" max="35" width="14" customWidth="1"/>
  </cols>
  <sheetData>
    <row r="1" spans="1:11" ht="23.4" customHeight="1">
      <c r="A1" s="199" t="s">
        <v>428</v>
      </c>
      <c r="B1" s="198"/>
      <c r="C1" s="198"/>
      <c r="D1" s="198"/>
      <c r="E1" s="198"/>
      <c r="F1" s="198"/>
      <c r="G1" s="198"/>
      <c r="H1" s="198"/>
      <c r="I1" s="198"/>
      <c r="J1" s="198"/>
      <c r="K1" s="198"/>
    </row>
    <row r="2" spans="1:11">
      <c r="A2" s="248"/>
      <c r="B2" s="198"/>
      <c r="C2" s="198"/>
      <c r="D2" s="198"/>
      <c r="E2" s="198"/>
      <c r="F2" s="198"/>
      <c r="G2" s="198"/>
      <c r="H2" s="198"/>
      <c r="I2" s="198"/>
      <c r="J2" s="198"/>
      <c r="K2" s="198"/>
    </row>
    <row r="4" spans="1:11">
      <c r="A4" s="197" t="s">
        <v>429</v>
      </c>
      <c r="B4" s="198"/>
      <c r="C4" s="198"/>
      <c r="D4" s="198"/>
      <c r="E4" s="198"/>
      <c r="F4" s="198"/>
      <c r="G4" s="198"/>
      <c r="H4" s="198"/>
      <c r="I4" s="198"/>
      <c r="J4" s="198"/>
      <c r="K4" s="198"/>
    </row>
    <row r="5" spans="1:11">
      <c r="A5" s="150" t="s">
        <v>430</v>
      </c>
      <c r="B5" s="150" t="s">
        <v>431</v>
      </c>
      <c r="C5" s="247" t="s">
        <v>432</v>
      </c>
      <c r="D5" s="245"/>
      <c r="E5" s="245"/>
      <c r="F5" s="245"/>
      <c r="G5" s="245"/>
      <c r="H5" s="245"/>
      <c r="I5" s="245"/>
      <c r="J5" s="245"/>
      <c r="K5" s="246"/>
    </row>
    <row r="6" spans="1:11">
      <c r="A6" s="151" t="s">
        <v>433</v>
      </c>
      <c r="B6" s="152">
        <f>'Single Project Assumptions'!D6</f>
        <v>46387</v>
      </c>
      <c r="C6" s="202" t="s">
        <v>434</v>
      </c>
      <c r="D6" s="245"/>
      <c r="E6" s="245"/>
      <c r="F6" s="245"/>
      <c r="G6" s="245"/>
      <c r="H6" s="245"/>
      <c r="I6" s="245"/>
      <c r="J6" s="245"/>
      <c r="K6" s="246"/>
    </row>
    <row r="7" spans="1:11">
      <c r="A7" s="151" t="s">
        <v>435</v>
      </c>
      <c r="B7" s="154">
        <f>MAX('Platform Assumptions'!B6:B15)</f>
        <v>10</v>
      </c>
      <c r="C7" s="202" t="s">
        <v>436</v>
      </c>
      <c r="D7" s="245"/>
      <c r="E7" s="245"/>
      <c r="F7" s="245"/>
      <c r="G7" s="245"/>
      <c r="H7" s="245"/>
      <c r="I7" s="245"/>
      <c r="J7" s="245"/>
      <c r="K7" s="246"/>
    </row>
    <row r="8" spans="1:11">
      <c r="A8" s="151" t="s">
        <v>437</v>
      </c>
      <c r="B8" s="154">
        <f>'Single Project Assumptions'!D21</f>
        <v>150</v>
      </c>
      <c r="C8" s="202" t="s">
        <v>438</v>
      </c>
      <c r="D8" s="245"/>
      <c r="E8" s="245"/>
      <c r="F8" s="245"/>
      <c r="G8" s="245"/>
      <c r="H8" s="245"/>
      <c r="I8" s="245"/>
      <c r="J8" s="245"/>
      <c r="K8" s="246"/>
    </row>
    <row r="9" spans="1:11" ht="6" customHeight="1"/>
    <row r="10" spans="1:11">
      <c r="A10" s="249" t="s">
        <v>439</v>
      </c>
      <c r="B10" s="245"/>
      <c r="C10" s="245"/>
      <c r="D10" s="245"/>
      <c r="E10" s="245"/>
      <c r="F10" s="245"/>
      <c r="G10" s="245"/>
      <c r="H10" s="245"/>
      <c r="I10" s="245"/>
      <c r="J10" s="245"/>
      <c r="K10" s="246"/>
    </row>
    <row r="11" spans="1:11">
      <c r="A11" s="151" t="s">
        <v>440</v>
      </c>
      <c r="B11" s="156">
        <v>0.05</v>
      </c>
      <c r="C11" s="202" t="s">
        <v>441</v>
      </c>
      <c r="D11" s="245"/>
      <c r="E11" s="245"/>
      <c r="F11" s="245"/>
      <c r="G11" s="245"/>
      <c r="H11" s="245"/>
      <c r="I11" s="245"/>
      <c r="J11" s="245"/>
      <c r="K11" s="246"/>
    </row>
    <row r="12" spans="1:11">
      <c r="A12" s="151" t="s">
        <v>442</v>
      </c>
      <c r="B12" s="157" t="s">
        <v>443</v>
      </c>
      <c r="C12" s="202" t="s">
        <v>444</v>
      </c>
      <c r="D12" s="245"/>
      <c r="E12" s="245"/>
      <c r="F12" s="245"/>
      <c r="G12" s="245"/>
      <c r="H12" s="245"/>
      <c r="I12" s="245"/>
      <c r="J12" s="245"/>
      <c r="K12" s="246"/>
    </row>
    <row r="13" spans="1:11">
      <c r="A13" s="249" t="s">
        <v>445</v>
      </c>
      <c r="B13" s="245"/>
      <c r="C13" s="245"/>
      <c r="D13" s="245"/>
      <c r="E13" s="245"/>
      <c r="F13" s="245"/>
      <c r="G13" s="245"/>
      <c r="H13" s="245"/>
      <c r="I13" s="245"/>
      <c r="J13" s="245"/>
      <c r="K13" s="246"/>
    </row>
    <row r="14" spans="1:11">
      <c r="A14" s="151" t="s">
        <v>446</v>
      </c>
      <c r="B14" s="156">
        <v>0.05</v>
      </c>
      <c r="C14" s="202" t="s">
        <v>447</v>
      </c>
      <c r="D14" s="245"/>
      <c r="E14" s="245"/>
      <c r="F14" s="245"/>
      <c r="G14" s="245"/>
      <c r="H14" s="245"/>
      <c r="I14" s="245"/>
      <c r="J14" s="245"/>
      <c r="K14" s="246"/>
    </row>
    <row r="15" spans="1:11">
      <c r="A15" s="151" t="s">
        <v>448</v>
      </c>
      <c r="B15" s="157" t="s">
        <v>449</v>
      </c>
      <c r="C15" s="202" t="s">
        <v>450</v>
      </c>
      <c r="D15" s="245"/>
      <c r="E15" s="245"/>
      <c r="F15" s="245"/>
      <c r="G15" s="245"/>
      <c r="H15" s="245"/>
      <c r="I15" s="245"/>
      <c r="J15" s="245"/>
      <c r="K15" s="246"/>
    </row>
    <row r="16" spans="1:11" ht="27.6" customHeight="1">
      <c r="A16" s="153" t="s">
        <v>451</v>
      </c>
      <c r="B16" s="150" t="s">
        <v>452</v>
      </c>
      <c r="C16" s="150" t="s">
        <v>453</v>
      </c>
      <c r="D16" s="150" t="s">
        <v>454</v>
      </c>
      <c r="E16" s="150" t="s">
        <v>455</v>
      </c>
      <c r="F16" s="150" t="s">
        <v>456</v>
      </c>
      <c r="G16" s="150" t="s">
        <v>457</v>
      </c>
      <c r="H16" s="150" t="s">
        <v>458</v>
      </c>
      <c r="I16" s="150" t="s">
        <v>459</v>
      </c>
      <c r="J16" s="150" t="s">
        <v>460</v>
      </c>
      <c r="K16" s="150" t="s">
        <v>461</v>
      </c>
    </row>
    <row r="17" spans="1:35">
      <c r="A17" s="158"/>
      <c r="B17" s="159" t="s">
        <v>67</v>
      </c>
      <c r="C17" s="159" t="s">
        <v>65</v>
      </c>
      <c r="D17" s="159" t="s">
        <v>65</v>
      </c>
      <c r="E17" s="159" t="s">
        <v>65</v>
      </c>
      <c r="F17" s="159" t="s">
        <v>65</v>
      </c>
      <c r="G17" s="159" t="s">
        <v>65</v>
      </c>
      <c r="H17" s="159" t="s">
        <v>65</v>
      </c>
      <c r="I17" s="159" t="s">
        <v>65</v>
      </c>
      <c r="J17" s="159" t="s">
        <v>65</v>
      </c>
      <c r="K17" s="159" t="s">
        <v>65</v>
      </c>
    </row>
    <row r="18" spans="1:35">
      <c r="A18" s="249" t="s">
        <v>462</v>
      </c>
      <c r="B18" s="245"/>
      <c r="C18" s="245"/>
      <c r="D18" s="245"/>
      <c r="E18" s="245"/>
      <c r="F18" s="245"/>
      <c r="G18" s="245"/>
      <c r="H18" s="245"/>
      <c r="I18" s="245"/>
      <c r="J18" s="245"/>
      <c r="K18" s="246"/>
    </row>
    <row r="19" spans="1:35">
      <c r="A19" s="151" t="s">
        <v>463</v>
      </c>
      <c r="B19" s="156">
        <f>B11</f>
        <v>0.05</v>
      </c>
      <c r="C19" s="202" t="s">
        <v>464</v>
      </c>
      <c r="D19" s="245"/>
      <c r="E19" s="245"/>
      <c r="F19" s="245"/>
      <c r="G19" s="245"/>
      <c r="H19" s="245"/>
      <c r="I19" s="245"/>
      <c r="J19" s="245"/>
      <c r="K19" s="246"/>
    </row>
    <row r="20" spans="1:35">
      <c r="A20" s="151" t="s">
        <v>465</v>
      </c>
      <c r="B20" s="157"/>
      <c r="C20" s="202" t="s">
        <v>466</v>
      </c>
      <c r="D20" s="245"/>
      <c r="E20" s="245"/>
      <c r="F20" s="245"/>
      <c r="G20" s="245"/>
      <c r="H20" s="245"/>
      <c r="I20" s="245"/>
      <c r="J20" s="245"/>
      <c r="K20" s="246"/>
    </row>
    <row r="21" spans="1:35">
      <c r="A21" s="151" t="s">
        <v>467</v>
      </c>
      <c r="B21" s="160">
        <v>52</v>
      </c>
      <c r="C21" s="202" t="s">
        <v>468</v>
      </c>
      <c r="D21" s="245"/>
      <c r="E21" s="245"/>
      <c r="F21" s="245"/>
      <c r="G21" s="245"/>
      <c r="H21" s="245"/>
      <c r="I21" s="245"/>
      <c r="J21" s="245"/>
      <c r="K21" s="246"/>
    </row>
    <row r="22" spans="1:35">
      <c r="A22" s="151" t="s">
        <v>469</v>
      </c>
      <c r="B22" s="156">
        <v>0.6</v>
      </c>
      <c r="C22" s="202" t="s">
        <v>470</v>
      </c>
      <c r="D22" s="245"/>
      <c r="E22" s="245"/>
      <c r="F22" s="245"/>
      <c r="G22" s="245"/>
      <c r="H22" s="245"/>
      <c r="I22" s="245"/>
      <c r="J22" s="245"/>
      <c r="K22" s="246"/>
    </row>
    <row r="23" spans="1:35">
      <c r="A23" s="151" t="s">
        <v>471</v>
      </c>
      <c r="B23" s="161">
        <v>4000</v>
      </c>
      <c r="C23" s="202" t="s">
        <v>472</v>
      </c>
      <c r="D23" s="245"/>
      <c r="E23" s="245"/>
      <c r="F23" s="245"/>
      <c r="G23" s="245"/>
      <c r="H23" s="245"/>
      <c r="I23" s="245"/>
      <c r="J23" s="245"/>
      <c r="K23" s="246"/>
    </row>
    <row r="24" spans="1:35">
      <c r="A24" s="151" t="s">
        <v>473</v>
      </c>
      <c r="B24" s="156">
        <v>0.05</v>
      </c>
      <c r="C24" s="202" t="s">
        <v>474</v>
      </c>
      <c r="D24" s="245"/>
      <c r="E24" s="245"/>
      <c r="F24" s="245"/>
      <c r="G24" s="245"/>
      <c r="H24" s="245"/>
      <c r="I24" s="245"/>
      <c r="J24" s="245"/>
      <c r="K24" s="246"/>
    </row>
    <row r="25" spans="1:35">
      <c r="A25" s="151" t="s">
        <v>475</v>
      </c>
      <c r="B25" s="160">
        <v>2</v>
      </c>
      <c r="C25" s="202" t="s">
        <v>476</v>
      </c>
      <c r="D25" s="245"/>
      <c r="E25" s="245"/>
      <c r="F25" s="245"/>
      <c r="G25" s="245"/>
      <c r="H25" s="245"/>
      <c r="I25" s="245"/>
      <c r="J25" s="245"/>
      <c r="K25" s="246"/>
    </row>
    <row r="26" spans="1:35">
      <c r="A26" s="151" t="s">
        <v>477</v>
      </c>
      <c r="B26" s="156">
        <v>0.1</v>
      </c>
      <c r="C26" s="202" t="s">
        <v>478</v>
      </c>
      <c r="D26" s="245"/>
      <c r="E26" s="245"/>
      <c r="F26" s="245"/>
      <c r="G26" s="245"/>
      <c r="H26" s="245"/>
      <c r="I26" s="245"/>
      <c r="J26" s="245"/>
      <c r="K26" s="246"/>
    </row>
    <row r="27" spans="1:35">
      <c r="A27" s="249" t="s">
        <v>479</v>
      </c>
      <c r="B27" s="245"/>
      <c r="C27" s="245"/>
      <c r="D27" s="245"/>
      <c r="E27" s="245"/>
      <c r="F27" s="245"/>
      <c r="G27" s="245"/>
      <c r="H27" s="245"/>
      <c r="I27" s="245"/>
      <c r="J27" s="245"/>
      <c r="K27" s="246"/>
      <c r="AA27" s="249" t="s">
        <v>480</v>
      </c>
      <c r="AB27" s="245"/>
      <c r="AC27" s="245"/>
      <c r="AD27" s="245"/>
      <c r="AE27" s="245"/>
      <c r="AF27" s="245"/>
      <c r="AG27" s="245"/>
      <c r="AH27" s="245"/>
      <c r="AI27" s="246"/>
    </row>
    <row r="28" spans="1:35">
      <c r="A28" s="151" t="s">
        <v>481</v>
      </c>
      <c r="B28" s="160">
        <v>10</v>
      </c>
      <c r="C28" s="202" t="s">
        <v>482</v>
      </c>
      <c r="D28" s="245"/>
      <c r="E28" s="245"/>
      <c r="F28" s="245"/>
      <c r="G28" s="245"/>
      <c r="H28" s="245"/>
      <c r="I28" s="245"/>
      <c r="J28" s="245"/>
      <c r="K28" s="246"/>
      <c r="AA28" s="151" t="s">
        <v>483</v>
      </c>
      <c r="AB28" s="161">
        <v>15000</v>
      </c>
      <c r="AC28" s="202" t="s">
        <v>484</v>
      </c>
      <c r="AD28" s="245"/>
      <c r="AE28" s="245"/>
      <c r="AF28" s="245"/>
      <c r="AG28" s="245"/>
      <c r="AH28" s="245"/>
      <c r="AI28" s="246"/>
    </row>
    <row r="29" spans="1:35">
      <c r="A29" s="151" t="s">
        <v>485</v>
      </c>
      <c r="B29" s="156">
        <v>0.09</v>
      </c>
      <c r="C29" s="202" t="s">
        <v>486</v>
      </c>
      <c r="D29" s="245"/>
      <c r="E29" s="245"/>
      <c r="F29" s="245"/>
      <c r="G29" s="245"/>
      <c r="H29" s="245"/>
      <c r="I29" s="245"/>
      <c r="J29" s="245"/>
      <c r="K29" s="246"/>
      <c r="AA29" s="151" t="s">
        <v>487</v>
      </c>
      <c r="AB29" s="156">
        <v>0.35</v>
      </c>
      <c r="AC29" s="202" t="s">
        <v>488</v>
      </c>
      <c r="AD29" s="245"/>
      <c r="AE29" s="245"/>
      <c r="AF29" s="245"/>
      <c r="AG29" s="245"/>
      <c r="AH29" s="245"/>
      <c r="AI29" s="246"/>
    </row>
    <row r="30" spans="1:35" ht="27.6" customHeight="1">
      <c r="A30" s="151" t="s">
        <v>489</v>
      </c>
      <c r="B30" s="156">
        <v>0.8</v>
      </c>
      <c r="C30" s="202" t="s">
        <v>490</v>
      </c>
      <c r="D30" s="245"/>
      <c r="E30" s="245"/>
      <c r="F30" s="245"/>
      <c r="G30" s="245"/>
      <c r="H30" s="245"/>
      <c r="I30" s="245"/>
      <c r="J30" s="245"/>
      <c r="K30" s="246"/>
      <c r="AA30" s="151" t="s">
        <v>491</v>
      </c>
      <c r="AB30" s="157" t="s">
        <v>492</v>
      </c>
      <c r="AC30" s="202" t="s">
        <v>493</v>
      </c>
      <c r="AD30" s="245"/>
      <c r="AE30" s="245"/>
      <c r="AF30" s="245"/>
      <c r="AG30" s="245"/>
      <c r="AH30" s="245"/>
      <c r="AI30" s="246"/>
    </row>
    <row r="31" spans="1:35">
      <c r="A31" s="151" t="s">
        <v>494</v>
      </c>
      <c r="B31" s="156">
        <v>0.5</v>
      </c>
      <c r="C31" s="202" t="s">
        <v>495</v>
      </c>
      <c r="D31" s="245"/>
      <c r="E31" s="245"/>
      <c r="F31" s="245"/>
      <c r="G31" s="245"/>
      <c r="H31" s="245"/>
      <c r="I31" s="245"/>
      <c r="J31" s="245"/>
      <c r="K31" s="246"/>
    </row>
    <row r="32" spans="1:35">
      <c r="A32" s="151" t="s">
        <v>496</v>
      </c>
      <c r="B32" s="156">
        <v>0.01</v>
      </c>
      <c r="C32" s="202" t="s">
        <v>497</v>
      </c>
      <c r="D32" s="245"/>
      <c r="E32" s="245"/>
      <c r="F32" s="245"/>
      <c r="G32" s="245"/>
      <c r="H32" s="245"/>
      <c r="I32" s="245"/>
      <c r="J32" s="245"/>
      <c r="K32" s="246"/>
    </row>
    <row r="33" spans="1:11">
      <c r="A33" s="151" t="s">
        <v>498</v>
      </c>
      <c r="B33" s="156">
        <v>0</v>
      </c>
      <c r="C33" s="202" t="s">
        <v>499</v>
      </c>
      <c r="D33" s="245"/>
      <c r="E33" s="245"/>
      <c r="F33" s="245"/>
      <c r="G33" s="245"/>
      <c r="H33" s="245"/>
      <c r="I33" s="245"/>
      <c r="J33" s="245"/>
      <c r="K33" s="246"/>
    </row>
    <row r="34" spans="1:11">
      <c r="A34" s="151" t="s">
        <v>500</v>
      </c>
      <c r="B34" s="156">
        <v>0</v>
      </c>
      <c r="C34" s="202" t="s">
        <v>501</v>
      </c>
      <c r="D34" s="245"/>
      <c r="E34" s="245"/>
      <c r="F34" s="245"/>
      <c r="G34" s="245"/>
      <c r="H34" s="245"/>
      <c r="I34" s="245"/>
      <c r="J34" s="245"/>
      <c r="K34" s="246"/>
    </row>
    <row r="35" spans="1:11">
      <c r="A35" s="151" t="s">
        <v>502</v>
      </c>
      <c r="B35" s="157" t="s">
        <v>443</v>
      </c>
      <c r="C35" s="202" t="s">
        <v>503</v>
      </c>
      <c r="D35" s="245"/>
      <c r="E35" s="245"/>
      <c r="F35" s="245"/>
      <c r="G35" s="245"/>
      <c r="H35" s="245"/>
      <c r="I35" s="245"/>
      <c r="J35" s="245"/>
      <c r="K35" s="246"/>
    </row>
    <row r="36" spans="1:11" ht="27.6" customHeight="1">
      <c r="A36" s="151" t="s">
        <v>504</v>
      </c>
      <c r="B36" s="156">
        <v>1</v>
      </c>
      <c r="C36" s="202" t="s">
        <v>505</v>
      </c>
      <c r="D36" s="245"/>
      <c r="E36" s="245"/>
      <c r="F36" s="245"/>
      <c r="G36" s="245"/>
      <c r="H36" s="245"/>
      <c r="I36" s="245"/>
      <c r="J36" s="245"/>
      <c r="K36" s="246"/>
    </row>
    <row r="37" spans="1:11">
      <c r="A37" s="249" t="s">
        <v>506</v>
      </c>
      <c r="B37" s="245"/>
      <c r="C37" s="245"/>
      <c r="D37" s="245"/>
      <c r="E37" s="245"/>
      <c r="F37" s="245"/>
      <c r="G37" s="245"/>
      <c r="H37" s="245"/>
      <c r="I37" s="245"/>
      <c r="J37" s="245"/>
      <c r="K37" s="246"/>
    </row>
    <row r="38" spans="1:11" ht="27.6" customHeight="1">
      <c r="A38" s="151" t="s">
        <v>507</v>
      </c>
      <c r="B38" s="156">
        <v>0.1</v>
      </c>
      <c r="C38" s="202" t="s">
        <v>508</v>
      </c>
      <c r="D38" s="245"/>
      <c r="E38" s="245"/>
      <c r="F38" s="245"/>
      <c r="G38" s="245"/>
      <c r="H38" s="245"/>
      <c r="I38" s="245"/>
      <c r="J38" s="245"/>
      <c r="K38" s="246"/>
    </row>
    <row r="39" spans="1:11" ht="27.6" customHeight="1">
      <c r="A39" s="151" t="s">
        <v>509</v>
      </c>
      <c r="B39" s="156">
        <v>0.1</v>
      </c>
      <c r="C39" s="202" t="s">
        <v>510</v>
      </c>
      <c r="D39" s="245"/>
      <c r="E39" s="245"/>
      <c r="F39" s="245"/>
      <c r="G39" s="245"/>
      <c r="H39" s="245"/>
      <c r="I39" s="245"/>
      <c r="J39" s="245"/>
      <c r="K39" s="246"/>
    </row>
    <row r="40" spans="1:11" hidden="1">
      <c r="A40" t="s">
        <v>511</v>
      </c>
      <c r="B40" s="156" t="s">
        <v>67</v>
      </c>
      <c r="C40" t="s">
        <v>512</v>
      </c>
    </row>
    <row r="42" spans="1:11" ht="15.6" customHeight="1">
      <c r="A42" s="200" t="s">
        <v>513</v>
      </c>
      <c r="B42" s="201"/>
      <c r="C42" s="201"/>
      <c r="D42" s="201"/>
      <c r="E42" s="201"/>
      <c r="F42" s="201"/>
      <c r="G42" s="201"/>
      <c r="H42" s="201"/>
      <c r="I42" s="201"/>
    </row>
    <row r="43" spans="1:11" ht="15.6" customHeight="1">
      <c r="A43" s="178"/>
      <c r="B43" s="180" t="s">
        <v>514</v>
      </c>
      <c r="C43" s="180" t="s">
        <v>515</v>
      </c>
      <c r="D43" s="180" t="s">
        <v>516</v>
      </c>
      <c r="E43" s="180" t="s">
        <v>517</v>
      </c>
      <c r="F43" s="181" t="s">
        <v>518</v>
      </c>
      <c r="G43" s="181" t="s">
        <v>519</v>
      </c>
      <c r="H43" s="182" t="s">
        <v>520</v>
      </c>
      <c r="I43" s="182" t="s">
        <v>521</v>
      </c>
      <c r="J43" s="169"/>
      <c r="K43" s="170"/>
    </row>
    <row r="44" spans="1:11" ht="55.2" customHeight="1">
      <c r="A44" s="178" t="s">
        <v>522</v>
      </c>
      <c r="B44" s="179" t="s">
        <v>523</v>
      </c>
      <c r="C44" s="179" t="s">
        <v>524</v>
      </c>
      <c r="D44" s="179" t="s">
        <v>525</v>
      </c>
      <c r="E44" s="179" t="s">
        <v>526</v>
      </c>
      <c r="F44" s="179" t="s">
        <v>527</v>
      </c>
      <c r="G44" s="179" t="s">
        <v>528</v>
      </c>
      <c r="H44" s="179" t="s">
        <v>529</v>
      </c>
      <c r="I44" s="179" t="s">
        <v>530</v>
      </c>
    </row>
    <row r="45" spans="1:11">
      <c r="A45" s="183" t="s">
        <v>531</v>
      </c>
      <c r="B45" s="185">
        <f>+B64</f>
        <v>56250000</v>
      </c>
      <c r="C45" s="186">
        <f>+F64</f>
        <v>211199973.55430186</v>
      </c>
      <c r="D45" s="185">
        <f>+J64</f>
        <v>45000000</v>
      </c>
      <c r="E45" s="187">
        <f>+N64</f>
        <v>1055999867.7715093</v>
      </c>
      <c r="F45" s="185">
        <f>+R64</f>
        <v>108369074.13273703</v>
      </c>
      <c r="G45" s="187">
        <f>+V64</f>
        <v>623884376.66115022</v>
      </c>
      <c r="H45" s="186">
        <f>SUM('The Commons Platform CF'!E17:DT17)</f>
        <v>17310509.972232006</v>
      </c>
      <c r="I45" s="186">
        <f>SUM(Calc_Helper!C151:DR151)</f>
        <v>50000000</v>
      </c>
    </row>
    <row r="46" spans="1:11">
      <c r="A46" s="183" t="s">
        <v>532</v>
      </c>
      <c r="B46" s="185">
        <f>+-C64</f>
        <v>-5625000</v>
      </c>
      <c r="C46" s="186">
        <f>+-G64</f>
        <v>-154859516.60569465</v>
      </c>
      <c r="D46" s="185">
        <f>+-K64</f>
        <v>-4500000</v>
      </c>
      <c r="E46" s="187">
        <f>+-O64</f>
        <v>-774297583.02847326</v>
      </c>
      <c r="F46" s="185">
        <f>+-S64</f>
        <v>-10836907.413273703</v>
      </c>
      <c r="G46" s="187">
        <f>+-W64</f>
        <v>-450000000</v>
      </c>
      <c r="H46" s="186">
        <f>SUM('The Commons Platform CF'!E19:DT19)</f>
        <v>-5000000</v>
      </c>
      <c r="I46" s="186">
        <f>SUM(Calc_Helper!C152:DR152)</f>
        <v>-32500000</v>
      </c>
    </row>
    <row r="47" spans="1:11">
      <c r="A47" s="183" t="s">
        <v>533</v>
      </c>
      <c r="B47" s="185">
        <f>+D64</f>
        <v>50625000</v>
      </c>
      <c r="C47" s="186">
        <f>+H64</f>
        <v>56340456.948607199</v>
      </c>
      <c r="D47" s="185">
        <f>+L64</f>
        <v>40500000</v>
      </c>
      <c r="E47" s="187">
        <f>+P64</f>
        <v>281702284.74303591</v>
      </c>
      <c r="F47" s="185">
        <f>+T64</f>
        <v>97532166.719463333</v>
      </c>
      <c r="G47" s="187">
        <f>+X64</f>
        <v>173884376.66115022</v>
      </c>
      <c r="H47" s="186">
        <f>SUM('The Commons Platform CF'!E21:DT21)</f>
        <v>12310509.97223204</v>
      </c>
      <c r="I47" s="186">
        <f>SUM(Calc_Helper!C153:DR153)</f>
        <v>17500000</v>
      </c>
    </row>
    <row r="48" spans="1:11">
      <c r="A48" s="183" t="s">
        <v>534</v>
      </c>
      <c r="B48" s="185">
        <f>+MIN(E54:E63)</f>
        <v>0</v>
      </c>
      <c r="C48" s="186">
        <f>+MIN(I54:I63)</f>
        <v>-140665419.43565983</v>
      </c>
      <c r="D48" s="185">
        <f>+MIN(M54:M63)</f>
        <v>0</v>
      </c>
      <c r="E48" s="187">
        <f>+MIN(Q54:Q63)</f>
        <v>-350129692.98335028</v>
      </c>
      <c r="F48" s="185">
        <f>+MIN(U54:U63)</f>
        <v>0</v>
      </c>
      <c r="G48" s="187">
        <f>+MIN(Y54:Y63)</f>
        <v>-297423823.12777615</v>
      </c>
      <c r="H48" s="186">
        <f>MIN('The Commons Platform CF'!E23:DT23)</f>
        <v>-374999.99999999977</v>
      </c>
      <c r="I48" s="186">
        <f>MIN(0,MIN(Calc_Helper!C154:DR154))</f>
        <v>0</v>
      </c>
    </row>
    <row r="49" spans="1:25" ht="27.6" customHeight="1">
      <c r="A49" s="183" t="s">
        <v>535</v>
      </c>
      <c r="B49" s="188" t="s">
        <v>536</v>
      </c>
      <c r="C49" s="189" t="s">
        <v>537</v>
      </c>
      <c r="D49" s="188" t="s">
        <v>536</v>
      </c>
      <c r="E49" s="190" t="s">
        <v>538</v>
      </c>
      <c r="F49" s="188" t="s">
        <v>536</v>
      </c>
      <c r="G49" s="190" t="s">
        <v>539</v>
      </c>
      <c r="H49" s="189" t="s">
        <v>540</v>
      </c>
      <c r="I49" s="189" t="str">
        <f>IF(MIN(Calc_Helper!C154:DR154)&gt;=0,"Cash-positive (no drawdown)","Beyond Year 10")</f>
        <v>Cash-positive (no drawdown)</v>
      </c>
    </row>
    <row r="51" spans="1:25">
      <c r="A51" s="197" t="s">
        <v>541</v>
      </c>
      <c r="B51" s="198"/>
      <c r="C51" s="198"/>
      <c r="D51" s="198"/>
      <c r="E51" s="198"/>
      <c r="F51" s="198"/>
      <c r="G51" s="198"/>
      <c r="H51" s="198"/>
      <c r="I51" s="198"/>
      <c r="J51" s="198"/>
      <c r="K51" s="198"/>
      <c r="L51" s="198"/>
      <c r="M51" s="198"/>
      <c r="N51" s="198"/>
      <c r="O51" s="198"/>
      <c r="P51" s="198"/>
      <c r="Q51" s="198"/>
      <c r="R51" s="198"/>
      <c r="S51" s="198"/>
      <c r="T51" s="198"/>
      <c r="U51" s="198"/>
      <c r="V51" s="198"/>
      <c r="W51" s="198"/>
      <c r="X51" s="198"/>
      <c r="Y51" s="198"/>
    </row>
    <row r="52" spans="1:25">
      <c r="A52" s="162"/>
      <c r="B52" s="247" t="s">
        <v>514</v>
      </c>
      <c r="C52" s="245"/>
      <c r="D52" s="245"/>
      <c r="E52" s="246"/>
      <c r="F52" s="247" t="s">
        <v>515</v>
      </c>
      <c r="G52" s="245"/>
      <c r="H52" s="245"/>
      <c r="I52" s="246"/>
      <c r="J52" s="247" t="s">
        <v>516</v>
      </c>
      <c r="K52" s="245"/>
      <c r="L52" s="245"/>
      <c r="M52" s="246"/>
      <c r="N52" s="247" t="s">
        <v>517</v>
      </c>
      <c r="O52" s="245"/>
      <c r="P52" s="245"/>
      <c r="Q52" s="246"/>
      <c r="R52" s="247" t="s">
        <v>518</v>
      </c>
      <c r="S52" s="245"/>
      <c r="T52" s="245"/>
      <c r="U52" s="246"/>
      <c r="V52" s="247" t="s">
        <v>519</v>
      </c>
      <c r="W52" s="245"/>
      <c r="X52" s="245"/>
      <c r="Y52" s="246"/>
    </row>
    <row r="53" spans="1:25">
      <c r="A53" s="163" t="s">
        <v>83</v>
      </c>
      <c r="B53" s="163" t="s">
        <v>542</v>
      </c>
      <c r="C53" s="163" t="s">
        <v>543</v>
      </c>
      <c r="D53" s="163" t="s">
        <v>544</v>
      </c>
      <c r="E53" s="163" t="s">
        <v>545</v>
      </c>
      <c r="F53" s="163" t="s">
        <v>542</v>
      </c>
      <c r="G53" s="163" t="s">
        <v>543</v>
      </c>
      <c r="H53" s="163" t="s">
        <v>544</v>
      </c>
      <c r="I53" s="163" t="s">
        <v>545</v>
      </c>
      <c r="J53" s="163" t="s">
        <v>542</v>
      </c>
      <c r="K53" s="163" t="s">
        <v>543</v>
      </c>
      <c r="L53" s="163" t="s">
        <v>544</v>
      </c>
      <c r="M53" s="163" t="s">
        <v>545</v>
      </c>
      <c r="N53" s="163" t="s">
        <v>542</v>
      </c>
      <c r="O53" s="163" t="s">
        <v>543</v>
      </c>
      <c r="P53" s="163" t="s">
        <v>544</v>
      </c>
      <c r="Q53" s="163" t="s">
        <v>545</v>
      </c>
      <c r="R53" s="163" t="s">
        <v>542</v>
      </c>
      <c r="S53" s="163" t="s">
        <v>543</v>
      </c>
      <c r="T53" s="163" t="s">
        <v>544</v>
      </c>
      <c r="U53" s="163" t="s">
        <v>545</v>
      </c>
      <c r="V53" s="163" t="s">
        <v>542</v>
      </c>
      <c r="W53" s="163" t="s">
        <v>543</v>
      </c>
      <c r="X53" s="163" t="s">
        <v>544</v>
      </c>
      <c r="Y53" s="163" t="s">
        <v>545</v>
      </c>
    </row>
    <row r="54" spans="1:25">
      <c r="A54" s="164">
        <v>1</v>
      </c>
      <c r="B54" s="165">
        <f>Results_10yr!$B$11*SUM(INDEX(Sales_BrokerSelected_120,1,1):INDEX(Sales_BrokerSelected_120,1,12))</f>
        <v>0</v>
      </c>
      <c r="C54" s="165">
        <f>Results_10yr!$B$38*B54</f>
        <v>0</v>
      </c>
      <c r="D54" s="165">
        <f t="shared" ref="D54:D63" si="0">B54-C54</f>
        <v>0</v>
      </c>
      <c r="E54" s="165">
        <f>D54</f>
        <v>0</v>
      </c>
      <c r="F54" s="165">
        <f>SUMIF(INDEX(DevCF_P1_120,1,1):INDEX(DevCF_P1_120,1,12),"&gt;0")</f>
        <v>0</v>
      </c>
      <c r="G54" s="165">
        <f>-SUMIF(INDEX(DevCF_P1_120,1,1):INDEX(DevCF_P1_120,1,12),"&lt;0")</f>
        <v>0</v>
      </c>
      <c r="H54" s="165">
        <f>SUM(INDEX(DevCF_P1_120,1,1):INDEX(DevCF_P1_120,1,12))</f>
        <v>0</v>
      </c>
      <c r="I54" s="165">
        <f>H54</f>
        <v>0</v>
      </c>
      <c r="J54" s="165">
        <f>Results_10yr!B14*SUM(INDEX(Sales_Selected_120,1,1):INDEX(Sales_Selected_120,1,12))</f>
        <v>0</v>
      </c>
      <c r="K54" s="165">
        <f>Results_10yr!B39*J54</f>
        <v>0</v>
      </c>
      <c r="L54" s="165">
        <f t="shared" ref="L54:L63" si="1">J54-K54</f>
        <v>0</v>
      </c>
      <c r="M54" s="165">
        <f>L54</f>
        <v>0</v>
      </c>
      <c r="N54" s="165">
        <f>SUM(INDEX(DevCF_All_Pos_120,1,1):INDEX(DevCF_All_Pos_120,1,12))</f>
        <v>0</v>
      </c>
      <c r="O54" s="165">
        <f>SUM(INDEX(DevCF_All_Neg_120,1,1):INDEX(DevCF_All_Neg_120,1,12))</f>
        <v>0</v>
      </c>
      <c r="P54" s="165">
        <f>SUM(INDEX(DevCF_All_120,1,1):INDEX(DevCF_All_120,1,12))</f>
        <v>0</v>
      </c>
      <c r="Q54" s="165">
        <f>P54</f>
        <v>0</v>
      </c>
      <c r="R54" s="165">
        <f>IF(A54&lt;Results_10yr!B25,0,(Results_10yr!B19*(IF(Results_10yr!B20="",Units_Per_Project*MAX('Platform Assumptions'!B6:B15),Results_10yr!B20)))*Results_10yr!B21*Results_10yr!B22*Results_10yr!B23*(1+Results_10yr!B24)^(A54-1))</f>
        <v>0</v>
      </c>
      <c r="S54" s="165">
        <f>R54*Results_10yr!B26</f>
        <v>0</v>
      </c>
      <c r="T54" s="165">
        <f t="shared" ref="T54:T63" si="2">R54-S54</f>
        <v>0</v>
      </c>
      <c r="U54" s="165">
        <f>T54</f>
        <v>0</v>
      </c>
      <c r="V54" s="165">
        <f>Calc_Helper!C135+Calc_Helper!C86</f>
        <v>0</v>
      </c>
      <c r="W54" s="165">
        <f>Calc_Helper!C85+Calc_Helper!C136</f>
        <v>0</v>
      </c>
      <c r="X54" s="165">
        <f>Calc_Helper!C137</f>
        <v>0</v>
      </c>
      <c r="Y54" s="165">
        <f>X54</f>
        <v>0</v>
      </c>
    </row>
    <row r="55" spans="1:25">
      <c r="A55" s="164">
        <v>2</v>
      </c>
      <c r="B55" s="165">
        <f>Results_10yr!$B$11*SUM(INDEX(Sales_BrokerSelected_120,1,13):INDEX(Sales_BrokerSelected_120,1,24))</f>
        <v>0</v>
      </c>
      <c r="C55" s="165">
        <f>Results_10yr!$B$38*B55</f>
        <v>0</v>
      </c>
      <c r="D55" s="165">
        <f t="shared" si="0"/>
        <v>0</v>
      </c>
      <c r="E55" s="165">
        <f t="shared" ref="E55:E63" si="3">E54+D55</f>
        <v>0</v>
      </c>
      <c r="F55" s="165">
        <f>SUMIF(INDEX(DevCF_P1_120,1,13):INDEX(DevCF_P1_120,1,24),"&gt;0")</f>
        <v>0</v>
      </c>
      <c r="G55" s="165">
        <f>-SUMIF(INDEX(DevCF_P1_120,1,13):INDEX(DevCF_P1_120,1,24),"&lt;0")</f>
        <v>0</v>
      </c>
      <c r="H55" s="165">
        <f>SUM(INDEX(DevCF_P1_120,1,13):INDEX(DevCF_P1_120,1,24))</f>
        <v>0</v>
      </c>
      <c r="I55" s="165">
        <f t="shared" ref="I55:I63" si="4">I54+H55</f>
        <v>0</v>
      </c>
      <c r="J55" s="165">
        <f>Results_10yr!B14*SUM(INDEX(Sales_Selected_120,1,13):INDEX(Sales_Selected_120,1,24))</f>
        <v>0</v>
      </c>
      <c r="K55" s="165">
        <f>Results_10yr!B39*J55</f>
        <v>0</v>
      </c>
      <c r="L55" s="165">
        <f t="shared" si="1"/>
        <v>0</v>
      </c>
      <c r="M55" s="165">
        <f t="shared" ref="M55:M63" si="5">M54+L55</f>
        <v>0</v>
      </c>
      <c r="N55" s="165">
        <f>SUM(INDEX(DevCF_All_Pos_120,1,13):INDEX(DevCF_All_Pos_120,1,24))</f>
        <v>0</v>
      </c>
      <c r="O55" s="165">
        <f>SUM(INDEX(DevCF_All_Neg_120,1,13):INDEX(DevCF_All_Neg_120,1,24))</f>
        <v>0</v>
      </c>
      <c r="P55" s="165">
        <f>SUM(INDEX(DevCF_All_120,1,13):INDEX(DevCF_All_120,1,24))</f>
        <v>0</v>
      </c>
      <c r="Q55" s="165">
        <f t="shared" ref="Q55:Q63" si="6">Q54+P55</f>
        <v>0</v>
      </c>
      <c r="R55" s="165">
        <f>IF(A55&lt;Results_10yr!B25,0,(Results_10yr!B19*(IF(Results_10yr!B20="",Units_Per_Project*MAX('Platform Assumptions'!B6:B15),Results_10yr!B20)))*Results_10yr!B21*Results_10yr!B22*Results_10yr!B23*(1+Results_10yr!B24)^(A55-1))</f>
        <v>9828000</v>
      </c>
      <c r="S55" s="165">
        <f>R55*Results_10yr!B26</f>
        <v>982800</v>
      </c>
      <c r="T55" s="165">
        <f t="shared" si="2"/>
        <v>8845200</v>
      </c>
      <c r="U55" s="165">
        <f t="shared" ref="U55:U63" si="7">U54+T55</f>
        <v>8845200</v>
      </c>
      <c r="V55" s="165">
        <f>Calc_Helper!D135+Calc_Helper!D86</f>
        <v>0</v>
      </c>
      <c r="W55" s="165">
        <f>Calc_Helper!D85+Calc_Helper!D136</f>
        <v>0</v>
      </c>
      <c r="X55" s="165">
        <f>Calc_Helper!D137</f>
        <v>0</v>
      </c>
      <c r="Y55" s="165">
        <f t="shared" ref="Y55:Y63" si="8">Y54+X55</f>
        <v>0</v>
      </c>
    </row>
    <row r="56" spans="1:25">
      <c r="A56" s="164">
        <v>3</v>
      </c>
      <c r="B56" s="165">
        <f>Results_10yr!$B$11*SUM(INDEX(Sales_BrokerSelected_120,1,25):INDEX(Sales_BrokerSelected_120,1,36))</f>
        <v>0</v>
      </c>
      <c r="C56" s="165">
        <f>Results_10yr!$B$38*B56</f>
        <v>0</v>
      </c>
      <c r="D56" s="165">
        <f t="shared" si="0"/>
        <v>0</v>
      </c>
      <c r="E56" s="165">
        <f t="shared" si="3"/>
        <v>0</v>
      </c>
      <c r="F56" s="165">
        <f>SUMIF(INDEX(DevCF_P1_120,1,25):INDEX(DevCF_P1_120,1,36),"&gt;0")</f>
        <v>0</v>
      </c>
      <c r="G56" s="165">
        <f>-SUMIF(INDEX(DevCF_P1_120,1,25):INDEX(DevCF_P1_120,1,36),"&lt;0")</f>
        <v>67215348.6328125</v>
      </c>
      <c r="H56" s="165">
        <f>SUM(INDEX(DevCF_P1_120,1,25):INDEX(DevCF_P1_120,1,36))</f>
        <v>-67215348.6328125</v>
      </c>
      <c r="I56" s="165">
        <f t="shared" si="4"/>
        <v>-67215348.6328125</v>
      </c>
      <c r="J56" s="165">
        <f>Results_10yr!B14*SUM(INDEX(Sales_Selected_120,1,25):INDEX(Sales_Selected_120,1,36))</f>
        <v>0</v>
      </c>
      <c r="K56" s="165">
        <f>Results_10yr!B39*J56</f>
        <v>0</v>
      </c>
      <c r="L56" s="165">
        <f t="shared" si="1"/>
        <v>0</v>
      </c>
      <c r="M56" s="165">
        <f t="shared" si="5"/>
        <v>0</v>
      </c>
      <c r="N56" s="165">
        <f>SUM(INDEX(DevCF_All_Pos_120,1,25):INDEX(DevCF_All_Pos_120,1,36))</f>
        <v>0</v>
      </c>
      <c r="O56" s="165">
        <f>SUM(INDEX(DevCF_All_Neg_120,1,25):INDEX(DevCF_All_Neg_120,1,36))</f>
        <v>94926714.84375</v>
      </c>
      <c r="P56" s="165">
        <f>SUM(INDEX(DevCF_All_120,1,25):INDEX(DevCF_All_120,1,36))</f>
        <v>-94926714.84375</v>
      </c>
      <c r="Q56" s="165">
        <f t="shared" si="6"/>
        <v>-94926714.84375</v>
      </c>
      <c r="R56" s="165">
        <f>IF(A56&lt;Results_10yr!B25,0,(Results_10yr!B19*(IF(Results_10yr!B20="",Units_Per_Project*MAX('Platform Assumptions'!B6:B15),Results_10yr!B20)))*Results_10yr!B21*Results_10yr!B22*Results_10yr!B23*(1+Results_10yr!B24)^(A56-1))</f>
        <v>10319400</v>
      </c>
      <c r="S56" s="165">
        <f>R56*Results_10yr!B26</f>
        <v>1031940</v>
      </c>
      <c r="T56" s="165">
        <f t="shared" si="2"/>
        <v>9287460</v>
      </c>
      <c r="U56" s="165">
        <f t="shared" si="7"/>
        <v>18132660</v>
      </c>
      <c r="V56" s="165">
        <f>Calc_Helper!E135+Calc_Helper!E86</f>
        <v>0</v>
      </c>
      <c r="W56" s="165">
        <f>Calc_Helper!E85+Calc_Helper!E136</f>
        <v>0</v>
      </c>
      <c r="X56" s="165">
        <f>Calc_Helper!E137</f>
        <v>0</v>
      </c>
      <c r="Y56" s="165">
        <f t="shared" si="8"/>
        <v>0</v>
      </c>
    </row>
    <row r="57" spans="1:25">
      <c r="A57" s="164">
        <v>4</v>
      </c>
      <c r="B57" s="165">
        <f>Results_10yr!$B$11*SUM(INDEX(Sales_BrokerSelected_120,1,37):INDEX(Sales_BrokerSelected_120,1,48))</f>
        <v>281250.00000000006</v>
      </c>
      <c r="C57" s="165">
        <f>Results_10yr!$B$38*B57</f>
        <v>28125.000000000007</v>
      </c>
      <c r="D57" s="165">
        <f t="shared" si="0"/>
        <v>253125.00000000006</v>
      </c>
      <c r="E57" s="165">
        <f t="shared" si="3"/>
        <v>253125.00000000006</v>
      </c>
      <c r="F57" s="165">
        <f>SUMIF(INDEX(DevCF_P1_120,1,37):INDEX(DevCF_P1_120,1,48),"&gt;0")</f>
        <v>0</v>
      </c>
      <c r="G57" s="165">
        <f>-SUMIF(INDEX(DevCF_P1_120,1,37):INDEX(DevCF_P1_120,1,48),"&lt;0")</f>
        <v>73450070.802847311</v>
      </c>
      <c r="H57" s="165">
        <f>SUM(INDEX(DevCF_P1_120,1,37):INDEX(DevCF_P1_120,1,48))</f>
        <v>-73450070.802847311</v>
      </c>
      <c r="I57" s="165">
        <f t="shared" si="4"/>
        <v>-140665419.43565983</v>
      </c>
      <c r="J57" s="165">
        <f>Results_10yr!B14*SUM(INDEX(Sales_Selected_120,1,37):INDEX(Sales_Selected_120,1,48))</f>
        <v>0</v>
      </c>
      <c r="K57" s="165">
        <f>Results_10yr!B39*J57</f>
        <v>0</v>
      </c>
      <c r="L57" s="165">
        <f t="shared" si="1"/>
        <v>0</v>
      </c>
      <c r="M57" s="165">
        <f t="shared" si="5"/>
        <v>0</v>
      </c>
      <c r="N57" s="165">
        <f>SUM(INDEX(DevCF_All_Pos_120,1,37):INDEX(DevCF_All_Pos_120,1,48))</f>
        <v>0</v>
      </c>
      <c r="O57" s="165">
        <f>SUM(INDEX(DevCF_All_Neg_120,1,37):INDEX(DevCF_All_Neg_120,1,48))</f>
        <v>247384750.49034736</v>
      </c>
      <c r="P57" s="165">
        <f>SUM(INDEX(DevCF_All_120,1,37):INDEX(DevCF_All_120,1,48))</f>
        <v>-247384750.49034736</v>
      </c>
      <c r="Q57" s="165">
        <f t="shared" si="6"/>
        <v>-342311465.33409739</v>
      </c>
      <c r="R57" s="165">
        <f>IF(A57&lt;Results_10yr!B25,0,(Results_10yr!B19*(IF(Results_10yr!B20="",Units_Per_Project*MAX('Platform Assumptions'!B6:B15),Results_10yr!B20)))*Results_10yr!B21*Results_10yr!B22*Results_10yr!B23*(1+Results_10yr!B24)^(A57-1))</f>
        <v>10835370.000000002</v>
      </c>
      <c r="S57" s="165">
        <f>R57*Results_10yr!B26</f>
        <v>1083537.0000000002</v>
      </c>
      <c r="T57" s="165">
        <f t="shared" si="2"/>
        <v>9751833.0000000019</v>
      </c>
      <c r="U57" s="165">
        <f t="shared" si="7"/>
        <v>27884493</v>
      </c>
      <c r="V57" s="165">
        <f>Calc_Helper!F135+Calc_Helper!F86</f>
        <v>0</v>
      </c>
      <c r="W57" s="165">
        <f>Calc_Helper!F85+Calc_Helper!F136</f>
        <v>0</v>
      </c>
      <c r="X57" s="165">
        <f>Calc_Helper!F137</f>
        <v>0</v>
      </c>
      <c r="Y57" s="165">
        <f t="shared" si="8"/>
        <v>0</v>
      </c>
    </row>
    <row r="58" spans="1:25">
      <c r="A58" s="164">
        <v>5</v>
      </c>
      <c r="B58" s="165">
        <f>Results_10yr!$B$11*SUM(INDEX(Sales_BrokerSelected_120,1,49):INDEX(Sales_BrokerSelected_120,1,60))</f>
        <v>15000000</v>
      </c>
      <c r="C58" s="165">
        <f>Results_10yr!$B$38*B58</f>
        <v>1500000</v>
      </c>
      <c r="D58" s="165">
        <f t="shared" si="0"/>
        <v>13500000</v>
      </c>
      <c r="E58" s="165">
        <f t="shared" si="3"/>
        <v>13753125</v>
      </c>
      <c r="F58" s="165">
        <f>SUMIF(INDEX(DevCF_P1_120,1,49):INDEX(DevCF_P1_120,1,60),"&gt;0")</f>
        <v>174147346.61495066</v>
      </c>
      <c r="G58" s="165">
        <f>-SUMIF(INDEX(DevCF_P1_120,1,49):INDEX(DevCF_P1_120,1,60),"&lt;0")</f>
        <v>14194097.170034818</v>
      </c>
      <c r="H58" s="165">
        <f>SUM(INDEX(DevCF_P1_120,1,49):INDEX(DevCF_P1_120,1,60))</f>
        <v>159953249.44491583</v>
      </c>
      <c r="I58" s="165">
        <f t="shared" si="4"/>
        <v>19287830.009256005</v>
      </c>
      <c r="J58" s="165">
        <f>Results_10yr!B14*SUM(INDEX(Sales_Selected_120,1,49):INDEX(Sales_Selected_120,1,60))</f>
        <v>5906250.0000000009</v>
      </c>
      <c r="K58" s="165">
        <f>Results_10yr!B39*J58</f>
        <v>590625.00000000012</v>
      </c>
      <c r="L58" s="165">
        <f t="shared" si="1"/>
        <v>5315625.0000000009</v>
      </c>
      <c r="M58" s="165">
        <f t="shared" si="5"/>
        <v>5315625.0000000009</v>
      </c>
      <c r="N58" s="165">
        <f>SUM(INDEX(DevCF_All_Pos_120,1,49):INDEX(DevCF_All_Pos_120,1,60))</f>
        <v>274189439.35119891</v>
      </c>
      <c r="O58" s="165">
        <f>SUM(INDEX(DevCF_All_Neg_120,1,49):INDEX(DevCF_All_Neg_120,1,60))</f>
        <v>282007667.00045186</v>
      </c>
      <c r="P58" s="165">
        <f>SUM(INDEX(DevCF_All_120,1,49):INDEX(DevCF_All_120,1,60))</f>
        <v>-7818227.6492528617</v>
      </c>
      <c r="Q58" s="165">
        <f t="shared" si="6"/>
        <v>-350129692.98335028</v>
      </c>
      <c r="R58" s="165">
        <f>IF(A58&lt;Results_10yr!B25,0,(Results_10yr!B19*(IF(Results_10yr!B20="",Units_Per_Project*MAX('Platform Assumptions'!B6:B15),Results_10yr!B20)))*Results_10yr!B21*Results_10yr!B22*Results_10yr!B23*(1+Results_10yr!B24)^(A58-1))</f>
        <v>11377138.5</v>
      </c>
      <c r="S58" s="165">
        <f>R58*Results_10yr!B26</f>
        <v>1137713.8500000001</v>
      </c>
      <c r="T58" s="165">
        <f t="shared" si="2"/>
        <v>10239424.65</v>
      </c>
      <c r="U58" s="165">
        <f t="shared" si="7"/>
        <v>38123917.649999999</v>
      </c>
      <c r="V58" s="165">
        <f>Calc_Helper!G135+Calc_Helper!G86</f>
        <v>19898410.789084058</v>
      </c>
      <c r="W58" s="165">
        <f>Calc_Helper!G85+Calc_Helper!G136</f>
        <v>120000000.00000003</v>
      </c>
      <c r="X58" s="165">
        <f>Calc_Helper!G137</f>
        <v>-100101589.21091597</v>
      </c>
      <c r="Y58" s="165">
        <f t="shared" si="8"/>
        <v>-100101589.21091597</v>
      </c>
    </row>
    <row r="59" spans="1:25">
      <c r="A59" s="164">
        <v>6</v>
      </c>
      <c r="B59" s="165">
        <f>Results_10yr!$B$11*SUM(INDEX(Sales_BrokerSelected_120,1,61):INDEX(Sales_BrokerSelected_120,1,72))</f>
        <v>22500000</v>
      </c>
      <c r="C59" s="165">
        <f>Results_10yr!$B$38*B59</f>
        <v>2250000</v>
      </c>
      <c r="D59" s="165">
        <f t="shared" si="0"/>
        <v>20250000</v>
      </c>
      <c r="E59" s="165">
        <f t="shared" si="3"/>
        <v>34003125</v>
      </c>
      <c r="F59" s="165">
        <f>SUMIF(INDEX(DevCF_P1_120,1,61):INDEX(DevCF_P1_120,1,72),"&gt;0")</f>
        <v>37052626.939351194</v>
      </c>
      <c r="G59" s="165">
        <f>-SUMIF(INDEX(DevCF_P1_120,1,61):INDEX(DevCF_P1_120,1,72),"&lt;0")</f>
        <v>0</v>
      </c>
      <c r="H59" s="165">
        <f>SUM(INDEX(DevCF_P1_120,1,61):INDEX(DevCF_P1_120,1,72))</f>
        <v>37052626.939351194</v>
      </c>
      <c r="I59" s="165">
        <f t="shared" si="4"/>
        <v>56340456.948607199</v>
      </c>
      <c r="J59" s="165">
        <f>Results_10yr!B14*SUM(INDEX(Sales_Selected_120,1,61):INDEX(Sales_Selected_120,1,72))</f>
        <v>20625000</v>
      </c>
      <c r="K59" s="165">
        <f>Results_10yr!B39*J59</f>
        <v>2062500</v>
      </c>
      <c r="L59" s="165">
        <f t="shared" si="1"/>
        <v>18562500</v>
      </c>
      <c r="M59" s="165">
        <f t="shared" si="5"/>
        <v>23878125</v>
      </c>
      <c r="N59" s="165">
        <f>SUM(INDEX(DevCF_All_Pos_120,1,61):INDEX(DevCF_All_Pos_120,1,72))</f>
        <v>422399947.10860372</v>
      </c>
      <c r="O59" s="165">
        <f>SUM(INDEX(DevCF_All_Neg_120,1,61):INDEX(DevCF_All_Neg_120,1,72))</f>
        <v>135784353.52388927</v>
      </c>
      <c r="P59" s="165">
        <f>SUM(INDEX(DevCF_All_120,1,61):INDEX(DevCF_All_120,1,72))</f>
        <v>286615593.58471435</v>
      </c>
      <c r="Q59" s="165">
        <f t="shared" si="6"/>
        <v>-63514099.398635924</v>
      </c>
      <c r="R59" s="165">
        <f>IF(A59&lt;Results_10yr!B25,0,(Results_10yr!B19*(IF(Results_10yr!B20="",Units_Per_Project*MAX('Platform Assumptions'!B6:B15),Results_10yr!B20)))*Results_10yr!B21*Results_10yr!B22*Results_10yr!B23*(1+Results_10yr!B24)^(A59-1))</f>
        <v>11945995.425000001</v>
      </c>
      <c r="S59" s="165">
        <f>R59*Results_10yr!B26</f>
        <v>1194599.5425000002</v>
      </c>
      <c r="T59" s="165">
        <f t="shared" si="2"/>
        <v>10751395.8825</v>
      </c>
      <c r="U59" s="165">
        <f t="shared" si="7"/>
        <v>48875313.532499999</v>
      </c>
      <c r="V59" s="165">
        <f>Calc_Helper!H135+Calc_Helper!H86</f>
        <v>48546026.97271014</v>
      </c>
      <c r="W59" s="165">
        <f>Calc_Helper!H85+Calc_Helper!H136</f>
        <v>180000000</v>
      </c>
      <c r="X59" s="165">
        <f>Calc_Helper!H137</f>
        <v>-131453973.02728987</v>
      </c>
      <c r="Y59" s="165">
        <f t="shared" si="8"/>
        <v>-231555562.23820585</v>
      </c>
    </row>
    <row r="60" spans="1:25">
      <c r="A60" s="164">
        <v>7</v>
      </c>
      <c r="B60" s="165">
        <f>Results_10yr!$B$11*SUM(INDEX(Sales_BrokerSelected_120,1,73):INDEX(Sales_BrokerSelected_120,1,84))</f>
        <v>16593750</v>
      </c>
      <c r="C60" s="165">
        <f>Results_10yr!$B$38*B60</f>
        <v>1659375</v>
      </c>
      <c r="D60" s="165">
        <f t="shared" si="0"/>
        <v>14934375</v>
      </c>
      <c r="E60" s="165">
        <f t="shared" si="3"/>
        <v>48937500</v>
      </c>
      <c r="F60" s="165">
        <f>SUMIF(INDEX(DevCF_P1_120,1,73):INDEX(DevCF_P1_120,1,84),"&gt;0")</f>
        <v>0</v>
      </c>
      <c r="G60" s="165">
        <f>-SUMIF(INDEX(DevCF_P1_120,1,73):INDEX(DevCF_P1_120,1,84),"&lt;0")</f>
        <v>0</v>
      </c>
      <c r="H60" s="165">
        <f>SUM(INDEX(DevCF_P1_120,1,73):INDEX(DevCF_P1_120,1,84))</f>
        <v>0</v>
      </c>
      <c r="I60" s="165">
        <f t="shared" si="4"/>
        <v>56340456.948607199</v>
      </c>
      <c r="J60" s="165">
        <f>Results_10yr!B14*SUM(INDEX(Sales_Selected_120,1,73):INDEX(Sales_Selected_120,1,84))</f>
        <v>16593750</v>
      </c>
      <c r="K60" s="165">
        <f>Results_10yr!B39*J60</f>
        <v>1659375</v>
      </c>
      <c r="L60" s="165">
        <f t="shared" si="1"/>
        <v>14934375</v>
      </c>
      <c r="M60" s="165">
        <f t="shared" si="5"/>
        <v>38812500</v>
      </c>
      <c r="N60" s="165">
        <f>SUM(INDEX(DevCF_All_Pos_120,1,73):INDEX(DevCF_All_Pos_120,1,84))</f>
        <v>322357854.37235546</v>
      </c>
      <c r="O60" s="165">
        <f>SUM(INDEX(DevCF_All_Neg_120,1,73):INDEX(DevCF_All_Neg_120,1,84))</f>
        <v>14194097.170034818</v>
      </c>
      <c r="P60" s="165">
        <f>SUM(INDEX(DevCF_All_120,1,73):INDEX(DevCF_All_120,1,84))</f>
        <v>308163757.20232064</v>
      </c>
      <c r="Q60" s="165">
        <f t="shared" si="6"/>
        <v>244649657.80368471</v>
      </c>
      <c r="R60" s="165">
        <f>IF(A60&lt;Results_10yr!B25,0,(Results_10yr!B19*(IF(Results_10yr!B20="",Units_Per_Project*MAX('Platform Assumptions'!B6:B15),Results_10yr!B20)))*Results_10yr!B21*Results_10yr!B22*Results_10yr!B23*(1+Results_10yr!B24)^(A60-1))</f>
        <v>12543295.196249999</v>
      </c>
      <c r="S60" s="165">
        <f>R60*Results_10yr!B26</f>
        <v>1254329.519625</v>
      </c>
      <c r="T60" s="165">
        <f t="shared" si="2"/>
        <v>11288965.676624998</v>
      </c>
      <c r="U60" s="165">
        <f t="shared" si="7"/>
        <v>60164279.209124997</v>
      </c>
      <c r="V60" s="165">
        <f>Calc_Helper!I135+Calc_Helper!I86</f>
        <v>69131739.110429704</v>
      </c>
      <c r="W60" s="165">
        <f>Calc_Helper!I85+Calc_Helper!I136</f>
        <v>135000000</v>
      </c>
      <c r="X60" s="165">
        <f>Calc_Helper!I137</f>
        <v>-65868260.889570296</v>
      </c>
      <c r="Y60" s="165">
        <f t="shared" si="8"/>
        <v>-297423823.12777615</v>
      </c>
    </row>
    <row r="61" spans="1:25">
      <c r="A61" s="164">
        <v>8</v>
      </c>
      <c r="B61" s="165">
        <f>Results_10yr!$B$11*SUM(INDEX(Sales_BrokerSelected_120,1,85):INDEX(Sales_BrokerSelected_120,1,96))</f>
        <v>1875000</v>
      </c>
      <c r="C61" s="165">
        <f>Results_10yr!$B$38*B61</f>
        <v>187500</v>
      </c>
      <c r="D61" s="165">
        <f t="shared" si="0"/>
        <v>1687500</v>
      </c>
      <c r="E61" s="165">
        <f t="shared" si="3"/>
        <v>50625000</v>
      </c>
      <c r="F61" s="165">
        <f>SUMIF(INDEX(DevCF_P1_120,1,85):INDEX(DevCF_P1_120,1,96),"&gt;0")</f>
        <v>0</v>
      </c>
      <c r="G61" s="165">
        <f>-SUMIF(INDEX(DevCF_P1_120,1,85):INDEX(DevCF_P1_120,1,96),"&lt;0")</f>
        <v>0</v>
      </c>
      <c r="H61" s="165">
        <f>SUM(INDEX(DevCF_P1_120,1,85):INDEX(DevCF_P1_120,1,96))</f>
        <v>0</v>
      </c>
      <c r="I61" s="165">
        <f t="shared" si="4"/>
        <v>56340456.948607199</v>
      </c>
      <c r="J61" s="165">
        <f>Results_10yr!B14*SUM(INDEX(Sales_Selected_120,1,85):INDEX(Sales_Selected_120,1,96))</f>
        <v>1875000</v>
      </c>
      <c r="K61" s="165">
        <f>Results_10yr!B39*J61</f>
        <v>187500</v>
      </c>
      <c r="L61" s="165">
        <f t="shared" si="1"/>
        <v>1687500</v>
      </c>
      <c r="M61" s="165">
        <f t="shared" si="5"/>
        <v>40500000</v>
      </c>
      <c r="N61" s="165">
        <f>SUM(INDEX(DevCF_All_Pos_120,1,85):INDEX(DevCF_All_Pos_120,1,96))</f>
        <v>37052626.939351194</v>
      </c>
      <c r="O61" s="165">
        <f>SUM(INDEX(DevCF_All_Neg_120,1,85):INDEX(DevCF_All_Neg_120,1,96))</f>
        <v>0</v>
      </c>
      <c r="P61" s="165">
        <f>SUM(INDEX(DevCF_All_120,1,85):INDEX(DevCF_All_120,1,96))</f>
        <v>37052626.939351194</v>
      </c>
      <c r="Q61" s="165">
        <f t="shared" si="6"/>
        <v>281702284.74303591</v>
      </c>
      <c r="R61" s="165">
        <f>IF(A61&lt;Results_10yr!B25,0,(Results_10yr!B19*(IF(Results_10yr!B20="",Units_Per_Project*MAX('Platform Assumptions'!B6:B15),Results_10yr!B20)))*Results_10yr!B21*Results_10yr!B22*Results_10yr!B23*(1+Results_10yr!B24)^(A61-1))</f>
        <v>13170459.956062503</v>
      </c>
      <c r="S61" s="165">
        <f>R61*Results_10yr!B26</f>
        <v>1317045.9956062504</v>
      </c>
      <c r="T61" s="165">
        <f t="shared" si="2"/>
        <v>11853413.960456252</v>
      </c>
      <c r="U61" s="165">
        <f t="shared" si="7"/>
        <v>72017693.169581249</v>
      </c>
      <c r="V61" s="165">
        <f>Calc_Helper!J135+Calc_Helper!J86</f>
        <v>70269040.459065199</v>
      </c>
      <c r="W61" s="165">
        <f>Calc_Helper!J85+Calc_Helper!J136</f>
        <v>15000000</v>
      </c>
      <c r="X61" s="165">
        <f>Calc_Helper!J137</f>
        <v>55269040.459065199</v>
      </c>
      <c r="Y61" s="165">
        <f t="shared" si="8"/>
        <v>-242154782.66871095</v>
      </c>
    </row>
    <row r="62" spans="1:25">
      <c r="A62" s="164">
        <v>9</v>
      </c>
      <c r="B62" s="165">
        <f>Results_10yr!$B$11*SUM(INDEX(Sales_BrokerSelected_120,1,97):INDEX(Sales_BrokerSelected_120,1,108))</f>
        <v>0</v>
      </c>
      <c r="C62" s="165">
        <f>Results_10yr!$B$38*B62</f>
        <v>0</v>
      </c>
      <c r="D62" s="165">
        <f t="shared" si="0"/>
        <v>0</v>
      </c>
      <c r="E62" s="165">
        <f t="shared" si="3"/>
        <v>50625000</v>
      </c>
      <c r="F62" s="165">
        <f>SUMIF(INDEX(DevCF_P1_120,1,97):INDEX(DevCF_P1_120,1,108),"&gt;0")</f>
        <v>0</v>
      </c>
      <c r="G62" s="165">
        <f>-SUMIF(INDEX(DevCF_P1_120,1,97):INDEX(DevCF_P1_120,1,108),"&lt;0")</f>
        <v>0</v>
      </c>
      <c r="H62" s="165">
        <f>SUM(INDEX(DevCF_P1_120,1,97):INDEX(DevCF_P1_120,1,108))</f>
        <v>0</v>
      </c>
      <c r="I62" s="165">
        <f t="shared" si="4"/>
        <v>56340456.948607199</v>
      </c>
      <c r="J62" s="165">
        <f>Results_10yr!B14*SUM(INDEX(Sales_Selected_120,1,97):INDEX(Sales_Selected_120,1,108))</f>
        <v>0</v>
      </c>
      <c r="K62" s="165">
        <f>Results_10yr!B39*J62</f>
        <v>0</v>
      </c>
      <c r="L62" s="165">
        <f t="shared" si="1"/>
        <v>0</v>
      </c>
      <c r="M62" s="165">
        <f t="shared" si="5"/>
        <v>40500000</v>
      </c>
      <c r="N62" s="165">
        <f>SUM(INDEX(DevCF_All_Pos_120,1,97):INDEX(DevCF_All_Pos_120,1,108))</f>
        <v>0</v>
      </c>
      <c r="O62" s="165">
        <f>SUM(INDEX(DevCF_All_Neg_120,1,97):INDEX(DevCF_All_Neg_120,1,108))</f>
        <v>0</v>
      </c>
      <c r="P62" s="165">
        <f>SUM(INDEX(DevCF_All_120,1,97):INDEX(DevCF_All_120,1,108))</f>
        <v>0</v>
      </c>
      <c r="Q62" s="165">
        <f t="shared" si="6"/>
        <v>281702284.74303591</v>
      </c>
      <c r="R62" s="165">
        <f>IF(A62&lt;Results_10yr!B25,0,(Results_10yr!B19*(IF(Results_10yr!B20="",Units_Per_Project*MAX('Platform Assumptions'!B6:B15),Results_10yr!B20)))*Results_10yr!B21*Results_10yr!B22*Results_10yr!B23*(1+Results_10yr!B24)^(A62-1))</f>
        <v>13828982.953865625</v>
      </c>
      <c r="S62" s="165">
        <f>R62*Results_10yr!B26</f>
        <v>1382898.2953865626</v>
      </c>
      <c r="T62" s="165">
        <f t="shared" si="2"/>
        <v>12446084.658479063</v>
      </c>
      <c r="U62" s="165">
        <f t="shared" si="7"/>
        <v>84463777.828060314</v>
      </c>
      <c r="V62" s="165">
        <f>Calc_Helper!K135+Calc_Helper!K86</f>
        <v>70119040.459065199</v>
      </c>
      <c r="W62" s="165">
        <f>Calc_Helper!K85+Calc_Helper!K136</f>
        <v>0</v>
      </c>
      <c r="X62" s="165">
        <f>Calc_Helper!K137</f>
        <v>70119040.459065199</v>
      </c>
      <c r="Y62" s="165">
        <f t="shared" si="8"/>
        <v>-172035742.20964575</v>
      </c>
    </row>
    <row r="63" spans="1:25">
      <c r="A63" s="164">
        <v>10</v>
      </c>
      <c r="B63" s="165">
        <f>Results_10yr!$B$11*SUM(INDEX(Sales_BrokerSelected_120,1,109):INDEX(Sales_BrokerSelected_120,1,120))</f>
        <v>0</v>
      </c>
      <c r="C63" s="165">
        <f>Results_10yr!$B$38*B63</f>
        <v>0</v>
      </c>
      <c r="D63" s="165">
        <f t="shared" si="0"/>
        <v>0</v>
      </c>
      <c r="E63" s="165">
        <f t="shared" si="3"/>
        <v>50625000</v>
      </c>
      <c r="F63" s="165">
        <f>SUMIF(INDEX(DevCF_P1_120,1,109):INDEX(DevCF_P1_120,1,120),"&gt;0")</f>
        <v>0</v>
      </c>
      <c r="G63" s="165">
        <f>-SUMIF(INDEX(DevCF_P1_120,1,109):INDEX(DevCF_P1_120,1,120),"&lt;0")</f>
        <v>0</v>
      </c>
      <c r="H63" s="165">
        <f>SUM(INDEX(DevCF_P1_120,1,109):INDEX(DevCF_P1_120,1,120))</f>
        <v>0</v>
      </c>
      <c r="I63" s="165">
        <f t="shared" si="4"/>
        <v>56340456.948607199</v>
      </c>
      <c r="J63" s="165">
        <f>Results_10yr!B14*SUM(INDEX(Sales_Selected_120,1,109):INDEX(Sales_Selected_120,1,120))</f>
        <v>0</v>
      </c>
      <c r="K63" s="165">
        <f>Results_10yr!B39*J63</f>
        <v>0</v>
      </c>
      <c r="L63" s="165">
        <f t="shared" si="1"/>
        <v>0</v>
      </c>
      <c r="M63" s="165">
        <f t="shared" si="5"/>
        <v>40500000</v>
      </c>
      <c r="N63" s="165">
        <f>SUM(INDEX(DevCF_All_Pos_120,1,109):INDEX(DevCF_All_Pos_120,1,120))</f>
        <v>0</v>
      </c>
      <c r="O63" s="165">
        <f>SUM(INDEX(DevCF_All_Neg_120,1,109):INDEX(DevCF_All_Neg_120,1,120))</f>
        <v>0</v>
      </c>
      <c r="P63" s="165">
        <f>SUM(INDEX(DevCF_All_120,1,109):INDEX(DevCF_All_120,1,120))</f>
        <v>0</v>
      </c>
      <c r="Q63" s="165">
        <f t="shared" si="6"/>
        <v>281702284.74303591</v>
      </c>
      <c r="R63" s="165">
        <f>IF(A63&lt;Results_10yr!B25,0,(Results_10yr!B19*(IF(Results_10yr!B20="",Units_Per_Project*MAX('Platform Assumptions'!B6:B15),Results_10yr!B20)))*Results_10yr!B21*Results_10yr!B22*Results_10yr!B23*(1+Results_10yr!B24)^(A63-1))</f>
        <v>14520432.101558907</v>
      </c>
      <c r="S63" s="165">
        <f>R63*Results_10yr!B26</f>
        <v>1452043.2101558908</v>
      </c>
      <c r="T63" s="165">
        <f t="shared" si="2"/>
        <v>13068388.891403016</v>
      </c>
      <c r="U63" s="165">
        <f t="shared" si="7"/>
        <v>97532166.719463333</v>
      </c>
      <c r="V63" s="165">
        <f>Calc_Helper!L135+Calc_Helper!L86+Results_10yr!$B$36*Calc_Helper!L134</f>
        <v>345920118.87079597</v>
      </c>
      <c r="W63" s="165">
        <f>Calc_Helper!L85+Calc_Helper!L136</f>
        <v>0</v>
      </c>
      <c r="X63" s="165">
        <f>Calc_Helper!L137</f>
        <v>345920118.87079597</v>
      </c>
      <c r="Y63" s="165">
        <f t="shared" si="8"/>
        <v>173884376.66115022</v>
      </c>
    </row>
    <row r="64" spans="1:25">
      <c r="A64" s="155" t="s">
        <v>546</v>
      </c>
      <c r="B64" s="166">
        <f>SUM(B54:B63)</f>
        <v>56250000</v>
      </c>
      <c r="C64" s="166">
        <f>SUM(C54:C63)</f>
        <v>5625000</v>
      </c>
      <c r="D64" s="166">
        <f>SUM(D54:D63)</f>
        <v>50625000</v>
      </c>
      <c r="E64" s="166">
        <f>E63</f>
        <v>50625000</v>
      </c>
      <c r="F64" s="166">
        <f>SUM(F54:F63)</f>
        <v>211199973.55430186</v>
      </c>
      <c r="G64" s="166">
        <f>SUM(G54:G63)</f>
        <v>154859516.60569465</v>
      </c>
      <c r="H64" s="166">
        <f>SUM(H54:H63)</f>
        <v>56340456.948607199</v>
      </c>
      <c r="I64" s="166">
        <f>I63</f>
        <v>56340456.948607199</v>
      </c>
      <c r="J64" s="166">
        <f>SUM(J54:J63)</f>
        <v>45000000</v>
      </c>
      <c r="K64" s="166">
        <f>SUM(K54:K63)</f>
        <v>4500000</v>
      </c>
      <c r="L64" s="166">
        <f>SUM(L54:L63)</f>
        <v>40500000</v>
      </c>
      <c r="M64" s="166">
        <f>M63</f>
        <v>40500000</v>
      </c>
      <c r="N64" s="166">
        <f>SUM(N54:N63)</f>
        <v>1055999867.7715093</v>
      </c>
      <c r="O64" s="166">
        <f>SUM(O54:O63)</f>
        <v>774297583.02847326</v>
      </c>
      <c r="P64" s="166">
        <f>SUM(P54:P63)</f>
        <v>281702284.74303591</v>
      </c>
      <c r="Q64" s="166">
        <f>Q63</f>
        <v>281702284.74303591</v>
      </c>
      <c r="R64" s="166">
        <f>SUM(R54:R63)</f>
        <v>108369074.13273703</v>
      </c>
      <c r="S64" s="166">
        <f>SUM(S54:S63)</f>
        <v>10836907.413273703</v>
      </c>
      <c r="T64" s="166">
        <f>SUM(T54:T63)</f>
        <v>97532166.719463333</v>
      </c>
      <c r="U64" s="166">
        <f>U63</f>
        <v>97532166.719463333</v>
      </c>
      <c r="V64" s="166">
        <f>SUM(V54:V63)</f>
        <v>623884376.66115022</v>
      </c>
      <c r="W64" s="166">
        <f>SUM(W54:W63)</f>
        <v>450000000</v>
      </c>
      <c r="X64" s="166">
        <f>SUM(X54:X63)</f>
        <v>173884376.66115022</v>
      </c>
      <c r="Y64" s="166">
        <f>Y63</f>
        <v>173884376.66115022</v>
      </c>
    </row>
    <row r="67" spans="1:11">
      <c r="A67" s="197" t="s">
        <v>547</v>
      </c>
      <c r="B67" s="198"/>
      <c r="C67" s="198"/>
      <c r="D67" s="198"/>
      <c r="E67" s="198"/>
      <c r="F67" s="198"/>
      <c r="G67" s="198"/>
      <c r="H67" s="198"/>
      <c r="I67" s="198"/>
      <c r="J67" s="198"/>
      <c r="K67" s="198"/>
    </row>
    <row r="68" spans="1:11" ht="41.4" customHeight="1">
      <c r="A68" s="163" t="s">
        <v>83</v>
      </c>
      <c r="B68" s="163" t="s">
        <v>361</v>
      </c>
      <c r="C68" s="163" t="s">
        <v>406</v>
      </c>
      <c r="D68" s="163" t="s">
        <v>548</v>
      </c>
      <c r="E68" s="163" t="s">
        <v>409</v>
      </c>
      <c r="F68" s="163" t="s">
        <v>408</v>
      </c>
      <c r="G68" s="163" t="s">
        <v>549</v>
      </c>
      <c r="H68" s="163" t="s">
        <v>550</v>
      </c>
    </row>
    <row r="69" spans="1:11">
      <c r="A69" s="167">
        <v>1</v>
      </c>
      <c r="B69" s="168">
        <f>Calc_Helper!C85</f>
        <v>0</v>
      </c>
      <c r="C69" s="168">
        <f>Calc_Helper!C132</f>
        <v>0</v>
      </c>
      <c r="D69" s="168">
        <f>Calc_Helper!C86</f>
        <v>0</v>
      </c>
      <c r="E69" s="168">
        <f>Calc_Helper!C135</f>
        <v>0</v>
      </c>
      <c r="F69" s="168">
        <f>Calc_Helper!C134</f>
        <v>0</v>
      </c>
      <c r="G69" s="168">
        <f>Calc_Helper!C136</f>
        <v>0</v>
      </c>
      <c r="H69" s="168">
        <f>Calc_Helper!C137</f>
        <v>0</v>
      </c>
    </row>
    <row r="70" spans="1:11">
      <c r="A70" s="167">
        <v>2</v>
      </c>
      <c r="B70" s="168">
        <f>Calc_Helper!D85</f>
        <v>0</v>
      </c>
      <c r="C70" s="168">
        <f>Calc_Helper!D132</f>
        <v>0</v>
      </c>
      <c r="D70" s="168">
        <f>Calc_Helper!D86</f>
        <v>0</v>
      </c>
      <c r="E70" s="168">
        <f>Calc_Helper!D135</f>
        <v>0</v>
      </c>
      <c r="F70" s="168">
        <f>Calc_Helper!D134</f>
        <v>0</v>
      </c>
      <c r="G70" s="168">
        <f>Calc_Helper!D136</f>
        <v>0</v>
      </c>
      <c r="H70" s="168">
        <f>Calc_Helper!D137</f>
        <v>0</v>
      </c>
    </row>
    <row r="71" spans="1:11">
      <c r="A71" s="167">
        <v>3</v>
      </c>
      <c r="B71" s="168">
        <f>Calc_Helper!E85</f>
        <v>0</v>
      </c>
      <c r="C71" s="168">
        <f>Calc_Helper!E132</f>
        <v>0</v>
      </c>
      <c r="D71" s="168">
        <f>Calc_Helper!E86</f>
        <v>0</v>
      </c>
      <c r="E71" s="168">
        <f>Calc_Helper!E135</f>
        <v>0</v>
      </c>
      <c r="F71" s="168">
        <f>Calc_Helper!E134</f>
        <v>0</v>
      </c>
      <c r="G71" s="168">
        <f>Calc_Helper!E136</f>
        <v>0</v>
      </c>
      <c r="H71" s="168">
        <f>Calc_Helper!E137</f>
        <v>0</v>
      </c>
    </row>
    <row r="72" spans="1:11">
      <c r="A72" s="167">
        <v>4</v>
      </c>
      <c r="B72" s="168">
        <f>Calc_Helper!F85</f>
        <v>0</v>
      </c>
      <c r="C72" s="168">
        <f>Calc_Helper!F132</f>
        <v>0</v>
      </c>
      <c r="D72" s="168">
        <f>Calc_Helper!F86</f>
        <v>0</v>
      </c>
      <c r="E72" s="168">
        <f>Calc_Helper!F135</f>
        <v>0</v>
      </c>
      <c r="F72" s="168">
        <f>Calc_Helper!F134</f>
        <v>0</v>
      </c>
      <c r="G72" s="168">
        <f>Calc_Helper!F136</f>
        <v>0</v>
      </c>
      <c r="H72" s="168">
        <f>Calc_Helper!F137</f>
        <v>0</v>
      </c>
    </row>
    <row r="73" spans="1:11">
      <c r="A73" s="167">
        <v>5</v>
      </c>
      <c r="B73" s="168">
        <f>Calc_Helper!G85</f>
        <v>120000000.00000003</v>
      </c>
      <c r="C73" s="168">
        <f>Calc_Helper!G132</f>
        <v>10800000.000000002</v>
      </c>
      <c r="D73" s="168">
        <f>Calc_Helper!G86</f>
        <v>1200000.0000000002</v>
      </c>
      <c r="E73" s="168">
        <f>Calc_Helper!G135</f>
        <v>18698410.789084058</v>
      </c>
      <c r="F73" s="168">
        <f>Calc_Helper!G134</f>
        <v>112101589.21091597</v>
      </c>
      <c r="G73" s="168">
        <f>Calc_Helper!G136</f>
        <v>0</v>
      </c>
      <c r="H73" s="168">
        <f>Calc_Helper!G137</f>
        <v>-100101589.21091597</v>
      </c>
    </row>
    <row r="74" spans="1:11">
      <c r="A74" s="167">
        <v>6</v>
      </c>
      <c r="B74" s="168">
        <f>Calc_Helper!H85</f>
        <v>180000000</v>
      </c>
      <c r="C74" s="168">
        <f>Calc_Helper!H132</f>
        <v>26289143.028982438</v>
      </c>
      <c r="D74" s="168">
        <f>Calc_Helper!H86</f>
        <v>1800000</v>
      </c>
      <c r="E74" s="168">
        <f>Calc_Helper!H135</f>
        <v>46746026.97271014</v>
      </c>
      <c r="F74" s="168">
        <f>Calc_Helper!H134</f>
        <v>271644705.26718825</v>
      </c>
      <c r="G74" s="168">
        <f>Calc_Helper!H136</f>
        <v>0</v>
      </c>
      <c r="H74" s="168">
        <f>Calc_Helper!H137</f>
        <v>-131453973.02728987</v>
      </c>
    </row>
    <row r="75" spans="1:11">
      <c r="A75" s="167">
        <v>7</v>
      </c>
      <c r="B75" s="168">
        <f>Calc_Helper!I85</f>
        <v>135000000</v>
      </c>
      <c r="C75" s="168">
        <f>Calc_Helper!I132</f>
        <v>36598023.474046946</v>
      </c>
      <c r="D75" s="168">
        <f>Calc_Helper!I86</f>
        <v>1350000</v>
      </c>
      <c r="E75" s="168">
        <f>Calc_Helper!I135</f>
        <v>67781739.110429704</v>
      </c>
      <c r="F75" s="168">
        <f>Calc_Helper!I134</f>
        <v>375460989.63080549</v>
      </c>
      <c r="G75" s="168">
        <f>Calc_Helper!I136</f>
        <v>0</v>
      </c>
      <c r="H75" s="168">
        <f>Calc_Helper!I137</f>
        <v>-65868260.889570296</v>
      </c>
    </row>
    <row r="76" spans="1:11">
      <c r="A76" s="167">
        <v>8</v>
      </c>
      <c r="B76" s="168">
        <f>Calc_Helper!J85</f>
        <v>15000000</v>
      </c>
      <c r="C76" s="168">
        <f>Calc_Helper!J132</f>
        <v>35141489.066772498</v>
      </c>
      <c r="D76" s="168">
        <f>Calc_Helper!J86</f>
        <v>150000</v>
      </c>
      <c r="E76" s="168">
        <f>Calc_Helper!J135</f>
        <v>70119040.459065199</v>
      </c>
      <c r="F76" s="168">
        <f>Calc_Helper!J134</f>
        <v>355483438.23851281</v>
      </c>
      <c r="G76" s="168">
        <f>Calc_Helper!J136</f>
        <v>0</v>
      </c>
      <c r="H76" s="168">
        <f>Calc_Helper!J137</f>
        <v>55269040.459065199</v>
      </c>
    </row>
    <row r="77" spans="1:11">
      <c r="A77" s="167">
        <v>9</v>
      </c>
      <c r="B77" s="168">
        <f>Calc_Helper!K85</f>
        <v>0</v>
      </c>
      <c r="C77" s="168">
        <f>Calc_Helper!K132</f>
        <v>31993509.441466149</v>
      </c>
      <c r="D77" s="168">
        <f>Calc_Helper!K86</f>
        <v>0</v>
      </c>
      <c r="E77" s="168">
        <f>Calc_Helper!K135</f>
        <v>70119040.459065199</v>
      </c>
      <c r="F77" s="168">
        <f>Calc_Helper!K134</f>
        <v>317357907.22091377</v>
      </c>
      <c r="G77" s="168">
        <f>Calc_Helper!K136</f>
        <v>0</v>
      </c>
      <c r="H77" s="168">
        <f>Calc_Helper!K137</f>
        <v>70119040.459065199</v>
      </c>
    </row>
    <row r="78" spans="1:11">
      <c r="A78" s="167">
        <v>10</v>
      </c>
      <c r="B78" s="168">
        <f>Calc_Helper!L85</f>
        <v>0</v>
      </c>
      <c r="C78" s="168">
        <f>Calc_Helper!L132</f>
        <v>28562211.649882235</v>
      </c>
      <c r="D78" s="168">
        <f>Calc_Helper!L86</f>
        <v>0</v>
      </c>
      <c r="E78" s="168">
        <f>Calc_Helper!L135</f>
        <v>70119040.459065199</v>
      </c>
      <c r="F78" s="168">
        <f>Calc_Helper!L134</f>
        <v>275801078.41173077</v>
      </c>
      <c r="G78" s="168">
        <f>Calc_Helper!L136</f>
        <v>0</v>
      </c>
      <c r="H78" s="168">
        <f>Calc_Helper!L137</f>
        <v>345920118.87079597</v>
      </c>
    </row>
    <row r="79" spans="1:11">
      <c r="A79" s="155" t="s">
        <v>551</v>
      </c>
      <c r="B79" s="166">
        <f>SUM(B69:B78)</f>
        <v>450000000</v>
      </c>
      <c r="C79" s="166">
        <f>SUM(C69:C78)</f>
        <v>169384376.66115025</v>
      </c>
      <c r="D79" s="166">
        <f>SUM(D69:D78)</f>
        <v>4500000</v>
      </c>
      <c r="E79" s="166">
        <f>SUM(E69:E78)</f>
        <v>343583298.24941951</v>
      </c>
      <c r="F79" s="166">
        <f>F78</f>
        <v>275801078.41173077</v>
      </c>
      <c r="G79" s="166">
        <f>SUM(G69:G78)</f>
        <v>0</v>
      </c>
      <c r="H79" s="166">
        <f>SUM(H69:H78)</f>
        <v>173884376.66115022</v>
      </c>
    </row>
  </sheetData>
  <mergeCells count="48">
    <mergeCell ref="A67:K67"/>
    <mergeCell ref="C29:K29"/>
    <mergeCell ref="AC29:AI29"/>
    <mergeCell ref="AA27:AI27"/>
    <mergeCell ref="A13:K13"/>
    <mergeCell ref="C35:K35"/>
    <mergeCell ref="C20:K20"/>
    <mergeCell ref="V52:Y52"/>
    <mergeCell ref="AC28:AI28"/>
    <mergeCell ref="C38:K38"/>
    <mergeCell ref="B52:E52"/>
    <mergeCell ref="AC30:AI30"/>
    <mergeCell ref="N52:Q52"/>
    <mergeCell ref="R52:U52"/>
    <mergeCell ref="C32:K32"/>
    <mergeCell ref="C26:K26"/>
    <mergeCell ref="C7:K7"/>
    <mergeCell ref="A18:K18"/>
    <mergeCell ref="A51:Y51"/>
    <mergeCell ref="C19:K19"/>
    <mergeCell ref="C28:K28"/>
    <mergeCell ref="C34:K34"/>
    <mergeCell ref="C24:K24"/>
    <mergeCell ref="C30:K30"/>
    <mergeCell ref="C15:K15"/>
    <mergeCell ref="C33:K33"/>
    <mergeCell ref="A42:I42"/>
    <mergeCell ref="C36:K36"/>
    <mergeCell ref="C23:K23"/>
    <mergeCell ref="C39:K39"/>
    <mergeCell ref="A37:K37"/>
    <mergeCell ref="A27:K27"/>
    <mergeCell ref="C25:K25"/>
    <mergeCell ref="C22:K22"/>
    <mergeCell ref="F52:I52"/>
    <mergeCell ref="C31:K31"/>
    <mergeCell ref="A1:K1"/>
    <mergeCell ref="C12:K12"/>
    <mergeCell ref="C21:K21"/>
    <mergeCell ref="C11:K11"/>
    <mergeCell ref="J52:M52"/>
    <mergeCell ref="C8:K8"/>
    <mergeCell ref="A2:K2"/>
    <mergeCell ref="C6:K6"/>
    <mergeCell ref="A4:K4"/>
    <mergeCell ref="C5:K5"/>
    <mergeCell ref="C14:K14"/>
    <mergeCell ref="A10:K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011E0-E9A0-4627-8435-3CB593D756F2}">
  <dimension ref="A3:J20"/>
  <sheetViews>
    <sheetView topLeftCell="A4" workbookViewId="0">
      <selection activeCell="F11" sqref="F11"/>
    </sheetView>
  </sheetViews>
  <sheetFormatPr baseColWidth="10" defaultRowHeight="15.6"/>
  <cols>
    <col min="1" max="1" width="33" customWidth="1"/>
    <col min="2" max="2" width="10.3984375" bestFit="1" customWidth="1"/>
  </cols>
  <sheetData>
    <row r="3" spans="1:10" ht="15.6" customHeight="1">
      <c r="A3" s="252" t="s">
        <v>429</v>
      </c>
      <c r="B3" s="252"/>
    </row>
    <row r="4" spans="1:10">
      <c r="A4" s="150" t="s">
        <v>430</v>
      </c>
      <c r="B4" s="150" t="s">
        <v>431</v>
      </c>
    </row>
    <row r="5" spans="1:10">
      <c r="A5" s="151" t="s">
        <v>433</v>
      </c>
      <c r="B5" s="152">
        <v>46387</v>
      </c>
    </row>
    <row r="6" spans="1:10">
      <c r="A6" s="151" t="s">
        <v>435</v>
      </c>
      <c r="B6" s="154">
        <v>10</v>
      </c>
    </row>
    <row r="7" spans="1:10">
      <c r="A7" s="151" t="s">
        <v>437</v>
      </c>
      <c r="B7" s="154">
        <v>150</v>
      </c>
    </row>
    <row r="8" spans="1:10" ht="33.6" customHeight="1">
      <c r="A8" s="250" t="s">
        <v>439</v>
      </c>
      <c r="B8" s="251"/>
      <c r="C8" s="169"/>
      <c r="D8" s="169"/>
      <c r="E8" s="169"/>
      <c r="F8" s="169"/>
      <c r="G8" s="169"/>
      <c r="H8" s="169"/>
      <c r="I8" s="169"/>
      <c r="J8" s="170"/>
    </row>
    <row r="9" spans="1:10">
      <c r="A9" s="151" t="s">
        <v>440</v>
      </c>
      <c r="B9" s="156">
        <v>0.05</v>
      </c>
    </row>
    <row r="10" spans="1:10">
      <c r="A10" s="151" t="s">
        <v>442</v>
      </c>
      <c r="B10" s="157" t="s">
        <v>443</v>
      </c>
    </row>
    <row r="11" spans="1:10" ht="15.6" customHeight="1">
      <c r="A11" s="250" t="s">
        <v>445</v>
      </c>
      <c r="B11" s="251"/>
      <c r="C11" s="169"/>
      <c r="D11" s="169"/>
      <c r="E11" s="169"/>
      <c r="F11" s="169"/>
      <c r="G11" s="169"/>
      <c r="H11" s="169"/>
      <c r="I11" s="169"/>
      <c r="J11" s="170"/>
    </row>
    <row r="12" spans="1:10">
      <c r="A12" s="151" t="s">
        <v>446</v>
      </c>
      <c r="B12" s="156">
        <v>0.05</v>
      </c>
    </row>
    <row r="13" spans="1:10">
      <c r="A13" s="151" t="s">
        <v>448</v>
      </c>
      <c r="B13" s="157" t="s">
        <v>449</v>
      </c>
    </row>
    <row r="14" spans="1:10">
      <c r="A14" s="250" t="s">
        <v>506</v>
      </c>
      <c r="B14" s="251"/>
      <c r="C14" s="169"/>
      <c r="D14" s="169"/>
      <c r="E14" s="169"/>
      <c r="F14" s="169"/>
      <c r="G14" s="169"/>
      <c r="H14" s="169"/>
      <c r="I14" s="169"/>
      <c r="J14" s="170"/>
    </row>
    <row r="15" spans="1:10">
      <c r="A15" s="151" t="s">
        <v>507</v>
      </c>
      <c r="B15" s="156">
        <v>0.1</v>
      </c>
    </row>
    <row r="16" spans="1:10">
      <c r="A16" s="151" t="s">
        <v>509</v>
      </c>
      <c r="B16" s="156">
        <v>0.1</v>
      </c>
    </row>
    <row r="17" spans="1:8" ht="15.6" customHeight="1">
      <c r="A17" s="250" t="s">
        <v>480</v>
      </c>
      <c r="B17" s="251"/>
      <c r="C17" s="169"/>
      <c r="D17" s="169"/>
      <c r="E17" s="169"/>
      <c r="F17" s="169"/>
      <c r="G17" s="169"/>
      <c r="H17" s="170"/>
    </row>
    <row r="18" spans="1:8">
      <c r="A18" s="151" t="s">
        <v>483</v>
      </c>
      <c r="B18" s="161">
        <v>15000</v>
      </c>
      <c r="C18" s="245"/>
      <c r="D18" s="245"/>
      <c r="E18" s="245"/>
      <c r="F18" s="245"/>
      <c r="G18" s="245"/>
      <c r="H18" s="246"/>
    </row>
    <row r="19" spans="1:8">
      <c r="A19" s="151" t="s">
        <v>487</v>
      </c>
      <c r="B19" s="156">
        <v>0.35</v>
      </c>
      <c r="C19" s="245"/>
      <c r="D19" s="245"/>
      <c r="E19" s="245"/>
      <c r="F19" s="245"/>
      <c r="G19" s="245"/>
      <c r="H19" s="246"/>
    </row>
    <row r="20" spans="1:8" ht="27.6">
      <c r="A20" s="151" t="s">
        <v>491</v>
      </c>
      <c r="B20" s="157" t="s">
        <v>492</v>
      </c>
      <c r="C20" s="245"/>
      <c r="D20" s="245"/>
      <c r="E20" s="245"/>
      <c r="F20" s="245"/>
      <c r="G20" s="245"/>
      <c r="H20" s="246"/>
    </row>
  </sheetData>
  <mergeCells count="8">
    <mergeCell ref="A3:B3"/>
    <mergeCell ref="C18:H18"/>
    <mergeCell ref="C19:H19"/>
    <mergeCell ref="C20:H20"/>
    <mergeCell ref="A8:B8"/>
    <mergeCell ref="A11:B11"/>
    <mergeCell ref="A14:B14"/>
    <mergeCell ref="A17:B1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38"/>
  <sheetViews>
    <sheetView tabSelected="1" topLeftCell="A3" zoomScale="80" zoomScaleNormal="80" workbookViewId="0">
      <selection activeCell="A9" sqref="A9"/>
    </sheetView>
  </sheetViews>
  <sheetFormatPr baseColWidth="10" defaultColWidth="8.796875" defaultRowHeight="15.6"/>
  <cols>
    <col min="1" max="1" width="20" customWidth="1"/>
    <col min="2" max="2" width="16" customWidth="1"/>
    <col min="3" max="3" width="42" customWidth="1"/>
    <col min="4" max="6" width="16" customWidth="1"/>
    <col min="7" max="7" width="20" customWidth="1"/>
    <col min="8" max="8" width="21.59765625" bestFit="1" customWidth="1"/>
    <col min="9" max="11" width="16" customWidth="1"/>
    <col min="12" max="12" width="4" customWidth="1"/>
    <col min="13" max="13" width="20" customWidth="1"/>
    <col min="14" max="17" width="16" customWidth="1"/>
  </cols>
  <sheetData>
    <row r="1" spans="1:17" ht="23.4" customHeight="1">
      <c r="A1" s="199" t="s">
        <v>552</v>
      </c>
      <c r="B1" s="198"/>
      <c r="C1" s="198"/>
      <c r="D1" s="198"/>
      <c r="E1" s="198"/>
      <c r="F1" s="198"/>
      <c r="G1" s="198"/>
      <c r="H1" s="198"/>
      <c r="I1" s="198"/>
      <c r="J1" s="198"/>
      <c r="K1" s="198"/>
      <c r="L1" s="198"/>
      <c r="M1" s="198"/>
      <c r="N1" s="198"/>
      <c r="O1" s="198"/>
      <c r="P1" s="198"/>
      <c r="Q1" s="198"/>
    </row>
    <row r="3" spans="1:17">
      <c r="A3" s="200" t="s">
        <v>553</v>
      </c>
      <c r="B3" s="201"/>
      <c r="C3" s="201"/>
      <c r="D3" s="201"/>
      <c r="E3" s="201"/>
      <c r="F3" s="201"/>
      <c r="G3" s="201"/>
      <c r="H3" s="201"/>
    </row>
    <row r="4" spans="1:17">
      <c r="A4" s="193" t="s">
        <v>554</v>
      </c>
      <c r="B4" s="194" t="s">
        <v>555</v>
      </c>
      <c r="C4" s="194" t="s">
        <v>556</v>
      </c>
      <c r="D4" s="194" t="s">
        <v>557</v>
      </c>
      <c r="E4" s="194" t="s">
        <v>558</v>
      </c>
      <c r="F4" s="194" t="s">
        <v>559</v>
      </c>
      <c r="G4" s="194" t="s">
        <v>560</v>
      </c>
      <c r="H4" s="194" t="s">
        <v>561</v>
      </c>
    </row>
    <row r="5" spans="1:17" ht="27.6" customHeight="1">
      <c r="A5" s="179" t="s">
        <v>562</v>
      </c>
      <c r="B5" s="179" t="s">
        <v>563</v>
      </c>
      <c r="C5" s="179" t="s">
        <v>564</v>
      </c>
      <c r="D5" s="185">
        <f>B23</f>
        <v>312449973.55430186</v>
      </c>
      <c r="E5" s="185">
        <f>C23</f>
        <v>164984516.60569465</v>
      </c>
      <c r="F5" s="185">
        <f>D23</f>
        <v>147465456.94860721</v>
      </c>
      <c r="G5" s="185">
        <f>MIN(0,MIN(E13:E22))</f>
        <v>-140412294.43565983</v>
      </c>
      <c r="H5" s="189" t="str">
        <f>IF(MIN(E13:E22)&gt;=0,"Cash-positive (no drawdown)",IF(AND(E14&gt;=0,MIN(E13:E13)&lt;0),"Year 2",IF(AND(E15&gt;=0,MIN(E13:E14)&lt;0),"Year 3",IF(AND(E16&gt;=0,MIN(E13:E15)&lt;0),"Year 4",IF(AND(E17&gt;=0,MIN(E13:E16)&lt;0),"Year 5",IF(AND(E18&gt;=0,MIN(E13:E17)&lt;0),"Year 6",IF(AND(E19&gt;=0,MIN(E13:E18)&lt;0),"Year 7",IF(AND(E20&gt;=0,MIN(E13:E19)&lt;0),"Year 8",IF(AND(E21&gt;=0,MIN(E13:E20)&lt;0),"Year 9",IF(AND(E22&gt;=0,MIN(E13:E21)&lt;0),"Year 10","Beyond Year 10"))))))))))</f>
        <v>Year 5</v>
      </c>
    </row>
    <row r="6" spans="1:17" ht="27.6" customHeight="1">
      <c r="A6" s="179" t="s">
        <v>565</v>
      </c>
      <c r="B6" s="179" t="s">
        <v>566</v>
      </c>
      <c r="C6" s="179" t="s">
        <v>567</v>
      </c>
      <c r="D6" s="185">
        <f>H23</f>
        <v>123560509.97223201</v>
      </c>
      <c r="E6" s="185">
        <f>I23</f>
        <v>43125000</v>
      </c>
      <c r="F6" s="185">
        <f>J23</f>
        <v>80435509.972232014</v>
      </c>
      <c r="G6" s="185">
        <f>MIN(0,MIN(K13:K22))</f>
        <v>-375000</v>
      </c>
      <c r="H6" s="189" t="str">
        <f>IF(MIN(K13:K22)&gt;=0,"Cash-positive (no drawdown)",IF(AND(K14&gt;=0,MIN(K13:K13)&lt;0),"Year 2",IF(AND(K15&gt;=0,MIN(K13:K14)&lt;0),"Year 3",IF(AND(K16&gt;=0,MIN(K13:K15)&lt;0),"Year 4",IF(AND(K17&gt;=0,MIN(K13:K16)&lt;0),"Year 5",IF(AND(K18&gt;=0,MIN(K13:K17)&lt;0),"Year 6",IF(AND(K19&gt;=0,MIN(K13:K18)&lt;0),"Year 7",IF(AND(K20&gt;=0,MIN(K13:K19)&lt;0),"Year 8",IF(AND(K21&gt;=0,MIN(K13:K20)&lt;0),"Year 9",IF(AND(K22&gt;=0,MIN(K13:K21)&lt;0),"Year 10","Beyond Year 10"))))))))))</f>
        <v>Year 3</v>
      </c>
    </row>
    <row r="7" spans="1:17" ht="27.6" customHeight="1">
      <c r="A7" s="179" t="s">
        <v>568</v>
      </c>
      <c r="B7" s="179" t="s">
        <v>569</v>
      </c>
      <c r="C7" s="179" t="s">
        <v>570</v>
      </c>
      <c r="D7" s="185">
        <f>N23</f>
        <v>375819047.68703896</v>
      </c>
      <c r="E7" s="185">
        <f>O23</f>
        <v>171321424.01896834</v>
      </c>
      <c r="F7" s="185">
        <f>P23</f>
        <v>204497623.66807058</v>
      </c>
      <c r="G7" s="185">
        <f>MIN(0,MIN(Q13:Q22))</f>
        <v>-112527801.43565981</v>
      </c>
      <c r="H7" s="189" t="str">
        <f>IF(MIN(Q13:Q22)&gt;=0,"Cash-positive (no drawdown)",IF(AND(Q14&gt;=0,MIN(Q13:Q13)&lt;0),"Year 2",IF(AND(Q15&gt;=0,MIN(Q13:Q14)&lt;0),"Year 3",IF(AND(Q16&gt;=0,MIN(Q13:Q15)&lt;0),"Year 4",IF(AND(Q17&gt;=0,MIN(Q13:Q16)&lt;0),"Year 5",IF(AND(Q18&gt;=0,MIN(Q13:Q17)&lt;0),"Year 6",IF(AND(Q19&gt;=0,MIN(Q13:Q18)&lt;0),"Year 7",IF(AND(Q20&gt;=0,MIN(Q13:Q19)&lt;0),"Year 8",IF(AND(Q21&gt;=0,MIN(Q13:Q20)&lt;0),"Year 9",IF(AND(Q22&gt;=0,MIN(Q13:Q21)&lt;0),"Year 10","Beyond Year 10"))))))))))</f>
        <v>Year 5</v>
      </c>
    </row>
    <row r="8" spans="1:17" ht="27.6" customHeight="1">
      <c r="A8" s="179" t="s">
        <v>571</v>
      </c>
      <c r="B8" s="179" t="s">
        <v>572</v>
      </c>
      <c r="C8" s="179" t="s">
        <v>573</v>
      </c>
      <c r="D8" s="185">
        <f>B38</f>
        <v>336879557.65927088</v>
      </c>
      <c r="E8" s="185">
        <f>C38</f>
        <v>170696424.01896834</v>
      </c>
      <c r="F8" s="185">
        <f>D38</f>
        <v>166183133.64030257</v>
      </c>
      <c r="G8" s="185">
        <f>MIN(0,MIN(E28:E37))</f>
        <v>-107637007.83111115</v>
      </c>
      <c r="H8" s="189" t="str">
        <f>IF(MIN(E28:E37)&gt;=0,"Cash-positive (no drawdown)",IF(AND(E29&gt;=0,MIN(E28:E28)&lt;0),"Year 2",IF(AND(E30&gt;=0,MIN(E28:E29)&lt;0),"Year 3",IF(AND(E31&gt;=0,MIN(E28:E30)&lt;0),"Year 4",IF(AND(E32&gt;=0,MIN(E28:E31)&lt;0),"Year 5",IF(AND(E33&gt;=0,MIN(E28:E32)&lt;0),"Year 6",IF(AND(E34&gt;=0,MIN(E28:E33)&lt;0),"Year 7",IF(AND(E35&gt;=0,MIN(E28:E34)&lt;0),"Year 8",IF(AND(E36&gt;=0,MIN(E28:E35)&lt;0),"Year 9",IF(AND(E37&gt;=0,MIN(E28:E36)&lt;0),"Year 10","Beyond Year 10"))))))))))</f>
        <v>Year 2</v>
      </c>
    </row>
    <row r="9" spans="1:17" ht="27.6" customHeight="1">
      <c r="A9" s="179" t="s">
        <v>574</v>
      </c>
      <c r="B9" s="179" t="s">
        <v>575</v>
      </c>
      <c r="C9" s="179" t="s">
        <v>576</v>
      </c>
      <c r="D9" s="185">
        <f>H38</f>
        <v>151250000</v>
      </c>
      <c r="E9" s="185">
        <f>I38</f>
        <v>42625000</v>
      </c>
      <c r="F9" s="185">
        <f>J38</f>
        <v>108625000</v>
      </c>
      <c r="G9" s="185">
        <f>MIN(0,MIN(K28:K37))</f>
        <v>0</v>
      </c>
      <c r="H9" s="189" t="str">
        <f>IF(MIN(K28:K37)&gt;=0,"Cash-positive (no drawdown)",IF(AND(K29&gt;=0,MIN(K28:K28)&lt;0),"Year 2",IF(AND(K30&gt;=0,MIN(K28:K29)&lt;0),"Year 3",IF(AND(K31&gt;=0,MIN(K28:K30)&lt;0),"Year 4",IF(AND(K32&gt;=0,MIN(K28:K31)&lt;0),"Year 5",IF(AND(K33&gt;=0,MIN(K28:K32)&lt;0),"Year 6",IF(AND(K34&gt;=0,MIN(K28:K33)&lt;0),"Year 7",IF(AND(K35&gt;=0,MIN(K28:K34)&lt;0),"Year 8",IF(AND(K36&gt;=0,MIN(K28:K35)&lt;0),"Year 9",IF(AND(K37&gt;=0,MIN(K28:K36)&lt;0),"Year 10","Beyond Year 10"))))))))))</f>
        <v>Cash-positive (no drawdown)</v>
      </c>
    </row>
    <row r="11" spans="1:17">
      <c r="A11" s="197" t="s">
        <v>577</v>
      </c>
      <c r="B11" s="198"/>
      <c r="C11" s="198"/>
      <c r="D11" s="198"/>
      <c r="E11" s="198"/>
      <c r="G11" s="197" t="s">
        <v>578</v>
      </c>
      <c r="H11" s="198"/>
      <c r="I11" s="198"/>
      <c r="J11" s="198"/>
      <c r="K11" s="198"/>
      <c r="M11" s="197" t="s">
        <v>579</v>
      </c>
      <c r="N11" s="198"/>
      <c r="O11" s="198"/>
      <c r="P11" s="198"/>
      <c r="Q11" s="198"/>
    </row>
    <row r="12" spans="1:17">
      <c r="A12" s="163" t="s">
        <v>83</v>
      </c>
      <c r="B12" s="163" t="s">
        <v>542</v>
      </c>
      <c r="C12" s="163" t="s">
        <v>543</v>
      </c>
      <c r="D12" s="163" t="s">
        <v>544</v>
      </c>
      <c r="E12" s="163" t="s">
        <v>545</v>
      </c>
      <c r="G12" s="163" t="s">
        <v>83</v>
      </c>
      <c r="H12" s="163" t="s">
        <v>542</v>
      </c>
      <c r="I12" s="163" t="s">
        <v>543</v>
      </c>
      <c r="J12" s="163" t="s">
        <v>544</v>
      </c>
      <c r="K12" s="163" t="s">
        <v>545</v>
      </c>
      <c r="M12" s="163" t="s">
        <v>83</v>
      </c>
      <c r="N12" s="163" t="s">
        <v>542</v>
      </c>
      <c r="O12" s="163" t="s">
        <v>543</v>
      </c>
      <c r="P12" s="163" t="s">
        <v>544</v>
      </c>
      <c r="Q12" s="163" t="s">
        <v>545</v>
      </c>
    </row>
    <row r="13" spans="1:17">
      <c r="A13" s="163">
        <v>1</v>
      </c>
      <c r="B13" s="165">
        <f>Results_10yr!B54+Results_10yr!F54+Results_10yr!J54</f>
        <v>0</v>
      </c>
      <c r="C13" s="165">
        <f>Results_10yr!C54+Results_10yr!G54+Results_10yr!K54</f>
        <v>0</v>
      </c>
      <c r="D13" s="165">
        <f>Results_10yr!D54+Results_10yr!H54+Results_10yr!L54</f>
        <v>0</v>
      </c>
      <c r="E13" s="165">
        <f>D13</f>
        <v>0</v>
      </c>
      <c r="G13" s="163">
        <v>1</v>
      </c>
      <c r="H13" s="165">
        <f>Results_10yr!B54+SUM(INDEX('The Commons Platform CF'!$E$17:$DT$17,1,1):INDEX('The Commons Platform CF'!$E$17:$DT$17,1,12))+SUM(INDEX(Calc_Helper!$C$151:$DR$151,1,1):INDEX(Calc_Helper!$C$151:$DR$151,1,12))</f>
        <v>186249.99999999997</v>
      </c>
      <c r="I13" s="165">
        <f>Results_10yr!C54+-SUM(INDEX('The Commons Platform CF'!$E$19:$DT$19,1,1):INDEX('The Commons Platform CF'!$E$19:$DT$19,1,12))+-SUM(INDEX(Calc_Helper!$C$152:$DR$152,1,1):INDEX(Calc_Helper!$C$152:$DR$152,1,12))</f>
        <v>500000.00000000006</v>
      </c>
      <c r="J13" s="165">
        <f>Results_10yr!D54+SUM(INDEX('The Commons Platform CF'!$E$21:$DT$21,1,1):INDEX('The Commons Platform CF'!$E$21:$DT$21,1,12))+SUM(INDEX(Calc_Helper!$C$153:$DR$153,1,1):INDEX(Calc_Helper!$C$153:$DR$153,1,12))</f>
        <v>-313750</v>
      </c>
      <c r="K13" s="165">
        <f>J13</f>
        <v>-313750</v>
      </c>
      <c r="M13" s="163">
        <v>1</v>
      </c>
      <c r="N13" s="165">
        <f>Results_10yr!B54+Results_10yr!F54+Results_10yr!R54</f>
        <v>0</v>
      </c>
      <c r="O13" s="165">
        <f>Results_10yr!C54+Results_10yr!G54+Results_10yr!S54</f>
        <v>0</v>
      </c>
      <c r="P13" s="165">
        <f>Results_10yr!D54+Results_10yr!H54+Results_10yr!T54</f>
        <v>0</v>
      </c>
      <c r="Q13" s="165">
        <f>P13</f>
        <v>0</v>
      </c>
    </row>
    <row r="14" spans="1:17">
      <c r="A14" s="163">
        <v>2</v>
      </c>
      <c r="B14" s="165">
        <f>Results_10yr!B55+Results_10yr!F55+Results_10yr!J55</f>
        <v>0</v>
      </c>
      <c r="C14" s="165">
        <f>Results_10yr!C55+Results_10yr!G55+Results_10yr!K55</f>
        <v>0</v>
      </c>
      <c r="D14" s="165">
        <f>Results_10yr!D55+Results_10yr!H55+Results_10yr!L55</f>
        <v>0</v>
      </c>
      <c r="E14" s="165">
        <f t="shared" ref="E14:E22" si="0">E13+D14</f>
        <v>0</v>
      </c>
      <c r="G14" s="163">
        <v>2</v>
      </c>
      <c r="H14" s="165">
        <f>Results_10yr!B55+SUM(INDEX('The Commons Platform CF'!$E$17:$DT$17,1,13):INDEX('The Commons Platform CF'!$E$17:$DT$17,1,24))+SUM(INDEX(Calc_Helper!$C$151:$DR$151,1,13):INDEX(Calc_Helper!$C$151:$DR$151,1,24))</f>
        <v>438749.99999999988</v>
      </c>
      <c r="I14" s="165">
        <f>Results_10yr!C55+-SUM(INDEX('The Commons Platform CF'!$E$19:$DT$19,1,13):INDEX('The Commons Platform CF'!$E$19:$DT$19,1,24))+-SUM(INDEX(Calc_Helper!$C$152:$DR$152,1,13):INDEX(Calc_Helper!$C$152:$DR$152,1,24))</f>
        <v>500000.00000000006</v>
      </c>
      <c r="J14" s="165">
        <f>Results_10yr!D55+SUM(INDEX('The Commons Platform CF'!$E$21:$DT$21,1,13):INDEX('The Commons Platform CF'!$E$21:$DT$21,1,24))+SUM(INDEX(Calc_Helper!$C$153:$DR$153,1,13):INDEX(Calc_Helper!$C$153:$DR$153,1,24))</f>
        <v>-61249.999999999978</v>
      </c>
      <c r="K14" s="165">
        <f t="shared" ref="K14:K22" si="1">K13+J14</f>
        <v>-375000</v>
      </c>
      <c r="M14" s="163">
        <v>2</v>
      </c>
      <c r="N14" s="165">
        <f>Results_10yr!B55+Results_10yr!F55+Results_10yr!R55</f>
        <v>9828000</v>
      </c>
      <c r="O14" s="165">
        <f>Results_10yr!C55+Results_10yr!G55+Results_10yr!S55</f>
        <v>982800</v>
      </c>
      <c r="P14" s="165">
        <f>Results_10yr!D55+Results_10yr!H55+Results_10yr!T55</f>
        <v>8845200</v>
      </c>
      <c r="Q14" s="165">
        <f t="shared" ref="Q14:Q22" si="2">Q13+P14</f>
        <v>8845200</v>
      </c>
    </row>
    <row r="15" spans="1:17">
      <c r="A15" s="163">
        <v>3</v>
      </c>
      <c r="B15" s="165">
        <f>Results_10yr!B56+Results_10yr!F56+Results_10yr!J56</f>
        <v>0</v>
      </c>
      <c r="C15" s="165">
        <f>Results_10yr!C56+Results_10yr!G56+Results_10yr!K56</f>
        <v>67215348.6328125</v>
      </c>
      <c r="D15" s="165">
        <f>Results_10yr!D56+Results_10yr!H56+Results_10yr!L56</f>
        <v>-67215348.6328125</v>
      </c>
      <c r="E15" s="165">
        <f t="shared" si="0"/>
        <v>-67215348.6328125</v>
      </c>
      <c r="G15" s="163">
        <v>3</v>
      </c>
      <c r="H15" s="165">
        <f>Results_10yr!B56+SUM(INDEX('The Commons Platform CF'!$E$17:$DT$17,1,25):INDEX('The Commons Platform CF'!$E$17:$DT$17,1,36))+SUM(INDEX(Calc_Helper!$C$151:$DR$151,1,25):INDEX(Calc_Helper!$C$151:$DR$151,1,36))</f>
        <v>3243216.4062499995</v>
      </c>
      <c r="I15" s="165">
        <f>Results_10yr!C56+-SUM(INDEX('The Commons Platform CF'!$E$19:$DT$19,1,25):INDEX('The Commons Platform CF'!$E$19:$DT$19,1,36))+-SUM(INDEX(Calc_Helper!$C$152:$DR$152,1,25):INDEX(Calc_Helper!$C$152:$DR$152,1,36))</f>
        <v>500000.00000000006</v>
      </c>
      <c r="J15" s="165">
        <f>Results_10yr!D56+SUM(INDEX('The Commons Platform CF'!$E$21:$DT$21,1,25):INDEX('The Commons Platform CF'!$E$21:$DT$21,1,36))+SUM(INDEX(Calc_Helper!$C$153:$DR$153,1,25):INDEX(Calc_Helper!$C$153:$DR$153,1,36))</f>
        <v>2743216.4062500009</v>
      </c>
      <c r="K15" s="165">
        <f t="shared" si="1"/>
        <v>2368216.4062500009</v>
      </c>
      <c r="M15" s="163">
        <v>3</v>
      </c>
      <c r="N15" s="165">
        <f>Results_10yr!B56+Results_10yr!F56+Results_10yr!R56</f>
        <v>10319400</v>
      </c>
      <c r="O15" s="165">
        <f>Results_10yr!C56+Results_10yr!G56+Results_10yr!S56</f>
        <v>68247288.6328125</v>
      </c>
      <c r="P15" s="165">
        <f>Results_10yr!D56+Results_10yr!H56+Results_10yr!T56</f>
        <v>-57927888.6328125</v>
      </c>
      <c r="Q15" s="165">
        <f t="shared" si="2"/>
        <v>-49082688.6328125</v>
      </c>
    </row>
    <row r="16" spans="1:17">
      <c r="A16" s="163">
        <v>4</v>
      </c>
      <c r="B16" s="165">
        <f>Results_10yr!B57+Results_10yr!F57+Results_10yr!J57</f>
        <v>281250.00000000006</v>
      </c>
      <c r="C16" s="165">
        <f>Results_10yr!C57+Results_10yr!G57+Results_10yr!K57</f>
        <v>73478195.802847311</v>
      </c>
      <c r="D16" s="165">
        <f>Results_10yr!D57+Results_10yr!H57+Results_10yr!L57</f>
        <v>-73196945.802847311</v>
      </c>
      <c r="E16" s="165">
        <f t="shared" si="0"/>
        <v>-140412294.43565983</v>
      </c>
      <c r="G16" s="163">
        <v>4</v>
      </c>
      <c r="H16" s="165">
        <f>Results_10yr!B57+SUM(INDEX('The Commons Platform CF'!$E$17:$DT$17,1,37):INDEX('The Commons Platform CF'!$E$17:$DT$17,1,48))+SUM(INDEX(Calc_Helper!$C$151:$DR$151,1,37):INDEX(Calc_Helper!$C$151:$DR$151,1,48))</f>
        <v>3556952.1982986596</v>
      </c>
      <c r="I16" s="165">
        <f>Results_10yr!C57+-SUM(INDEX('The Commons Platform CF'!$E$19:$DT$19,1,37):INDEX('The Commons Platform CF'!$E$19:$DT$19,1,48))+-SUM(INDEX(Calc_Helper!$C$152:$DR$152,1,37):INDEX(Calc_Helper!$C$152:$DR$152,1,48))</f>
        <v>528125.00000000012</v>
      </c>
      <c r="J16" s="165">
        <f>Results_10yr!D57+SUM(INDEX('The Commons Platform CF'!$E$21:$DT$21,1,37):INDEX('The Commons Platform CF'!$E$21:$DT$21,1,48))+SUM(INDEX(Calc_Helper!$C$153:$DR$153,1,37):INDEX(Calc_Helper!$C$153:$DR$153,1,48))</f>
        <v>3028827.1982986601</v>
      </c>
      <c r="K16" s="165">
        <f t="shared" si="1"/>
        <v>5397043.604548661</v>
      </c>
      <c r="M16" s="163">
        <v>4</v>
      </c>
      <c r="N16" s="165">
        <f>Results_10yr!B57+Results_10yr!F57+Results_10yr!R57</f>
        <v>11116620.000000002</v>
      </c>
      <c r="O16" s="165">
        <f>Results_10yr!C57+Results_10yr!G57+Results_10yr!S57</f>
        <v>74561732.802847311</v>
      </c>
      <c r="P16" s="165">
        <f>Results_10yr!D57+Results_10yr!H57+Results_10yr!T57</f>
        <v>-63445112.802847311</v>
      </c>
      <c r="Q16" s="165">
        <f t="shared" si="2"/>
        <v>-112527801.43565981</v>
      </c>
    </row>
    <row r="17" spans="1:17">
      <c r="A17" s="163">
        <v>5</v>
      </c>
      <c r="B17" s="165">
        <f>Results_10yr!B58+Results_10yr!F58+Results_10yr!J58</f>
        <v>195053596.61495066</v>
      </c>
      <c r="C17" s="165">
        <f>Results_10yr!C58+Results_10yr!G58+Results_10yr!K58</f>
        <v>16284722.170034818</v>
      </c>
      <c r="D17" s="165">
        <f>Results_10yr!D58+Results_10yr!H58+Results_10yr!L58</f>
        <v>178768874.44491583</v>
      </c>
      <c r="E17" s="165">
        <f t="shared" si="0"/>
        <v>38356580.009256005</v>
      </c>
      <c r="G17" s="163">
        <v>5</v>
      </c>
      <c r="H17" s="165">
        <f>Results_10yr!B58+SUM(INDEX('The Commons Platform CF'!$E$17:$DT$17,1,49):INDEX('The Commons Platform CF'!$E$17:$DT$17,1,60))+SUM(INDEX(Calc_Helper!$C$151:$DR$151,1,49):INDEX(Calc_Helper!$C$151:$DR$151,1,60))</f>
        <v>19828803.766032703</v>
      </c>
      <c r="I17" s="165">
        <f>Results_10yr!C58+-SUM(INDEX('The Commons Platform CF'!$E$19:$DT$19,1,49):INDEX('The Commons Platform CF'!$E$19:$DT$19,1,60))+-SUM(INDEX(Calc_Helper!$C$152:$DR$152,1,49):INDEX(Calc_Helper!$C$152:$DR$152,1,60))</f>
        <v>2832812.5</v>
      </c>
      <c r="J17" s="165">
        <f>Results_10yr!D58+SUM(INDEX('The Commons Platform CF'!$E$21:$DT$21,1,49):INDEX('The Commons Platform CF'!$E$21:$DT$21,1,60))+SUM(INDEX(Calc_Helper!$C$153:$DR$153,1,49):INDEX(Calc_Helper!$C$153:$DR$153,1,60))</f>
        <v>16995991.266032703</v>
      </c>
      <c r="K17" s="165">
        <f t="shared" si="1"/>
        <v>22393034.870581366</v>
      </c>
      <c r="M17" s="163">
        <v>5</v>
      </c>
      <c r="N17" s="165">
        <f>Results_10yr!B58+Results_10yr!F58+Results_10yr!R58</f>
        <v>200524485.11495066</v>
      </c>
      <c r="O17" s="165">
        <f>Results_10yr!C58+Results_10yr!G58+Results_10yr!S58</f>
        <v>16831811.02003482</v>
      </c>
      <c r="P17" s="165">
        <f>Results_10yr!D58+Results_10yr!H58+Results_10yr!T58</f>
        <v>183692674.09491584</v>
      </c>
      <c r="Q17" s="165">
        <f t="shared" si="2"/>
        <v>71164872.659256026</v>
      </c>
    </row>
    <row r="18" spans="1:17">
      <c r="A18" s="163">
        <v>6</v>
      </c>
      <c r="B18" s="165">
        <f>Results_10yr!B59+Results_10yr!F59+Results_10yr!J59</f>
        <v>80177626.939351201</v>
      </c>
      <c r="C18" s="165">
        <f>Results_10yr!C59+Results_10yr!G59+Results_10yr!K59</f>
        <v>4312500</v>
      </c>
      <c r="D18" s="165">
        <f>Results_10yr!D59+Results_10yr!H59+Results_10yr!L59</f>
        <v>75865126.939351201</v>
      </c>
      <c r="E18" s="165">
        <f t="shared" si="0"/>
        <v>114221706.94860721</v>
      </c>
      <c r="G18" s="163">
        <v>6</v>
      </c>
      <c r="H18" s="165">
        <f>Results_10yr!B59+SUM(INDEX('The Commons Platform CF'!$E$17:$DT$17,1,61):INDEX('The Commons Platform CF'!$E$17:$DT$17,1,72))+SUM(INDEX(Calc_Helper!$C$151:$DR$151,1,61):INDEX(Calc_Helper!$C$151:$DR$151,1,72))</f>
        <v>30873671.176392809</v>
      </c>
      <c r="I18" s="165">
        <f>Results_10yr!C59+-SUM(INDEX('The Commons Platform CF'!$E$19:$DT$19,1,61):INDEX('The Commons Platform CF'!$E$19:$DT$19,1,72))+-SUM(INDEX(Calc_Helper!$C$152:$DR$152,1,61):INDEX(Calc_Helper!$C$152:$DR$152,1,72))</f>
        <v>6243750</v>
      </c>
      <c r="J18" s="165">
        <f>Results_10yr!D59+SUM(INDEX('The Commons Platform CF'!$E$21:$DT$21,1,61):INDEX('The Commons Platform CF'!$E$21:$DT$21,1,72))+SUM(INDEX(Calc_Helper!$C$153:$DR$153,1,61):INDEX(Calc_Helper!$C$153:$DR$153,1,72))</f>
        <v>24629921.176392809</v>
      </c>
      <c r="K18" s="165">
        <f t="shared" si="1"/>
        <v>47022956.046974175</v>
      </c>
      <c r="M18" s="163">
        <v>6</v>
      </c>
      <c r="N18" s="165">
        <f>Results_10yr!B59+Results_10yr!F59+Results_10yr!R59</f>
        <v>71498622.364351198</v>
      </c>
      <c r="O18" s="165">
        <f>Results_10yr!C59+Results_10yr!G59+Results_10yr!S59</f>
        <v>3444599.5425000004</v>
      </c>
      <c r="P18" s="165">
        <f>Results_10yr!D59+Results_10yr!H59+Results_10yr!T59</f>
        <v>68054022.821851194</v>
      </c>
      <c r="Q18" s="165">
        <f t="shared" si="2"/>
        <v>139218895.48110723</v>
      </c>
    </row>
    <row r="19" spans="1:17">
      <c r="A19" s="163">
        <v>7</v>
      </c>
      <c r="B19" s="165">
        <f>Results_10yr!B60+Results_10yr!F60+Results_10yr!J60</f>
        <v>33187500</v>
      </c>
      <c r="C19" s="165">
        <f>Results_10yr!C60+Results_10yr!G60+Results_10yr!K60</f>
        <v>3318750</v>
      </c>
      <c r="D19" s="165">
        <f>Results_10yr!D60+Results_10yr!H60+Results_10yr!L60</f>
        <v>29868750</v>
      </c>
      <c r="E19" s="165">
        <f t="shared" si="0"/>
        <v>144090456.94860721</v>
      </c>
      <c r="G19" s="163">
        <v>7</v>
      </c>
      <c r="H19" s="165">
        <f>Results_10yr!B60+SUM(INDEX('The Commons Platform CF'!$E$17:$DT$17,1,73):INDEX('The Commons Platform CF'!$E$17:$DT$17,1,84))+SUM(INDEX(Calc_Helper!$C$151:$DR$151,1,73):INDEX(Calc_Helper!$C$151:$DR$151,1,84))</f>
        <v>28485179.894933444</v>
      </c>
      <c r="I19" s="165">
        <f>Results_10yr!C60+-SUM(INDEX('The Commons Platform CF'!$E$19:$DT$19,1,73):INDEX('The Commons Platform CF'!$E$19:$DT$19,1,84))+-SUM(INDEX(Calc_Helper!$C$152:$DR$152,1,73):INDEX(Calc_Helper!$C$152:$DR$152,1,84))</f>
        <v>8415625</v>
      </c>
      <c r="J19" s="165">
        <f>Results_10yr!D60+SUM(INDEX('The Commons Platform CF'!$E$21:$DT$21,1,73):INDEX('The Commons Platform CF'!$E$21:$DT$21,1,84))+SUM(INDEX(Calc_Helper!$C$153:$DR$153,1,73):INDEX(Calc_Helper!$C$153:$DR$153,1,84))</f>
        <v>20069554.894933444</v>
      </c>
      <c r="K19" s="165">
        <f t="shared" si="1"/>
        <v>67092510.941907614</v>
      </c>
      <c r="M19" s="163">
        <v>7</v>
      </c>
      <c r="N19" s="165">
        <f>Results_10yr!B60+Results_10yr!F60+Results_10yr!R60</f>
        <v>29137045.196249999</v>
      </c>
      <c r="O19" s="165">
        <f>Results_10yr!C60+Results_10yr!G60+Results_10yr!S60</f>
        <v>2913704.5196249997</v>
      </c>
      <c r="P19" s="165">
        <f>Results_10yr!D60+Results_10yr!H60+Results_10yr!T60</f>
        <v>26223340.676624998</v>
      </c>
      <c r="Q19" s="165">
        <f t="shared" si="2"/>
        <v>165442236.15773225</v>
      </c>
    </row>
    <row r="20" spans="1:17">
      <c r="A20" s="163">
        <v>8</v>
      </c>
      <c r="B20" s="165">
        <f>Results_10yr!B61+Results_10yr!F61+Results_10yr!J61</f>
        <v>3750000</v>
      </c>
      <c r="C20" s="165">
        <f>Results_10yr!C61+Results_10yr!G61+Results_10yr!K61</f>
        <v>375000</v>
      </c>
      <c r="D20" s="165">
        <f>Results_10yr!D61+Results_10yr!H61+Results_10yr!L61</f>
        <v>3375000</v>
      </c>
      <c r="E20" s="165">
        <f t="shared" si="0"/>
        <v>147465456.94860721</v>
      </c>
      <c r="G20" s="163">
        <v>8</v>
      </c>
      <c r="H20" s="165">
        <f>Results_10yr!B61+SUM(INDEX('The Commons Platform CF'!$E$17:$DT$17,1,85):INDEX('The Commons Platform CF'!$E$17:$DT$17,1,96))+SUM(INDEX(Calc_Helper!$C$151:$DR$151,1,85):INDEX(Calc_Helper!$C$151:$DR$151,1,96))</f>
        <v>13718686.530324399</v>
      </c>
      <c r="I20" s="165">
        <f>Results_10yr!C61+-SUM(INDEX('The Commons Platform CF'!$E$19:$DT$19,1,85):INDEX('The Commons Platform CF'!$E$19:$DT$19,1,96))+-SUM(INDEX(Calc_Helper!$C$152:$DR$152,1,85):INDEX(Calc_Helper!$C$152:$DR$152,1,96))</f>
        <v>7979687.5</v>
      </c>
      <c r="J20" s="165">
        <f>Results_10yr!D61+SUM(INDEX('The Commons Platform CF'!$E$21:$DT$21,1,85):INDEX('The Commons Platform CF'!$E$21:$DT$21,1,96))+SUM(INDEX(Calc_Helper!$C$153:$DR$153,1,85):INDEX(Calc_Helper!$C$153:$DR$153,1,96))</f>
        <v>5738999.0303244004</v>
      </c>
      <c r="K20" s="165">
        <f t="shared" si="1"/>
        <v>72831509.972232014</v>
      </c>
      <c r="M20" s="163">
        <v>8</v>
      </c>
      <c r="N20" s="165">
        <f>Results_10yr!B61+Results_10yr!F61+Results_10yr!R61</f>
        <v>15045459.956062503</v>
      </c>
      <c r="O20" s="165">
        <f>Results_10yr!C61+Results_10yr!G61+Results_10yr!S61</f>
        <v>1504545.9956062504</v>
      </c>
      <c r="P20" s="165">
        <f>Results_10yr!D61+Results_10yr!H61+Results_10yr!T61</f>
        <v>13540913.960456252</v>
      </c>
      <c r="Q20" s="165">
        <f t="shared" si="2"/>
        <v>178983150.1181885</v>
      </c>
    </row>
    <row r="21" spans="1:17">
      <c r="A21" s="163">
        <v>9</v>
      </c>
      <c r="B21" s="165">
        <f>Results_10yr!B62+Results_10yr!F62+Results_10yr!J62</f>
        <v>0</v>
      </c>
      <c r="C21" s="165">
        <f>Results_10yr!C62+Results_10yr!G62+Results_10yr!K62</f>
        <v>0</v>
      </c>
      <c r="D21" s="165">
        <f>Results_10yr!D62+Results_10yr!H62+Results_10yr!L62</f>
        <v>0</v>
      </c>
      <c r="E21" s="165">
        <f t="shared" si="0"/>
        <v>147465456.94860721</v>
      </c>
      <c r="G21" s="163">
        <v>9</v>
      </c>
      <c r="H21" s="165">
        <f>Results_10yr!B62+SUM(INDEX('The Commons Platform CF'!$E$17:$DT$17,1,97):INDEX('The Commons Platform CF'!$E$17:$DT$17,1,108))+SUM(INDEX(Calc_Helper!$C$151:$DR$151,1,97):INDEX(Calc_Helper!$C$151:$DR$151,1,108))</f>
        <v>11655000</v>
      </c>
      <c r="I21" s="165">
        <f>Results_10yr!C62+-SUM(INDEX('The Commons Platform CF'!$E$19:$DT$19,1,97):INDEX('The Commons Platform CF'!$E$19:$DT$19,1,108))+-SUM(INDEX(Calc_Helper!$C$152:$DR$152,1,97):INDEX(Calc_Helper!$C$152:$DR$152,1,108))</f>
        <v>7812500</v>
      </c>
      <c r="J21" s="165">
        <f>Results_10yr!D62+SUM(INDEX('The Commons Platform CF'!$E$21:$DT$21,1,97):INDEX('The Commons Platform CF'!$E$21:$DT$21,1,108))+SUM(INDEX(Calc_Helper!$C$153:$DR$153,1,97):INDEX(Calc_Helper!$C$153:$DR$153,1,108))</f>
        <v>3842500</v>
      </c>
      <c r="K21" s="165">
        <f t="shared" si="1"/>
        <v>76674009.972232014</v>
      </c>
      <c r="M21" s="163">
        <v>9</v>
      </c>
      <c r="N21" s="165">
        <f>Results_10yr!B62+Results_10yr!F62+Results_10yr!R62</f>
        <v>13828982.953865625</v>
      </c>
      <c r="O21" s="165">
        <f>Results_10yr!C62+Results_10yr!G62+Results_10yr!S62</f>
        <v>1382898.2953865626</v>
      </c>
      <c r="P21" s="165">
        <f>Results_10yr!D62+Results_10yr!H62+Results_10yr!T62</f>
        <v>12446084.658479063</v>
      </c>
      <c r="Q21" s="165">
        <f t="shared" si="2"/>
        <v>191429234.77666757</v>
      </c>
    </row>
    <row r="22" spans="1:17">
      <c r="A22" s="163">
        <v>10</v>
      </c>
      <c r="B22" s="165">
        <f>Results_10yr!B63+Results_10yr!F63+Results_10yr!J63</f>
        <v>0</v>
      </c>
      <c r="C22" s="165">
        <f>Results_10yr!C63+Results_10yr!G63+Results_10yr!K63</f>
        <v>0</v>
      </c>
      <c r="D22" s="165">
        <f>Results_10yr!D63+Results_10yr!H63+Results_10yr!L63</f>
        <v>0</v>
      </c>
      <c r="E22" s="165">
        <f t="shared" si="0"/>
        <v>147465456.94860721</v>
      </c>
      <c r="G22" s="163">
        <v>10</v>
      </c>
      <c r="H22" s="165">
        <f>Results_10yr!B63+SUM(INDEX('The Commons Platform CF'!$E$17:$DT$17,1,109):INDEX('The Commons Platform CF'!$E$17:$DT$17,1,120))+SUM(INDEX(Calc_Helper!$C$151:$DR$151,1,109):INDEX(Calc_Helper!$C$151:$DR$151,1,120))</f>
        <v>11574000</v>
      </c>
      <c r="I22" s="165">
        <f>Results_10yr!C63+-SUM(INDEX('The Commons Platform CF'!$E$19:$DT$19,1,109):INDEX('The Commons Platform CF'!$E$19:$DT$19,1,120))+-SUM(INDEX(Calc_Helper!$C$152:$DR$152,1,109):INDEX(Calc_Helper!$C$152:$DR$152,1,120))</f>
        <v>7812500</v>
      </c>
      <c r="J22" s="165">
        <f>Results_10yr!D63+SUM(INDEX('The Commons Platform CF'!$E$21:$DT$21,1,109):INDEX('The Commons Platform CF'!$E$21:$DT$21,1,120))+SUM(INDEX(Calc_Helper!$C$153:$DR$153,1,109):INDEX(Calc_Helper!$C$153:$DR$153,1,120))</f>
        <v>3761500</v>
      </c>
      <c r="K22" s="165">
        <f t="shared" si="1"/>
        <v>80435509.972232014</v>
      </c>
      <c r="M22" s="163">
        <v>10</v>
      </c>
      <c r="N22" s="165">
        <f>Results_10yr!B63+Results_10yr!F63+Results_10yr!R63</f>
        <v>14520432.101558907</v>
      </c>
      <c r="O22" s="165">
        <f>Results_10yr!C63+Results_10yr!G63+Results_10yr!S63</f>
        <v>1452043.2101558908</v>
      </c>
      <c r="P22" s="165">
        <f>Results_10yr!D63+Results_10yr!H63+Results_10yr!T63</f>
        <v>13068388.891403016</v>
      </c>
      <c r="Q22" s="165">
        <f t="shared" si="2"/>
        <v>204497623.66807058</v>
      </c>
    </row>
    <row r="23" spans="1:17">
      <c r="A23" s="163" t="s">
        <v>546</v>
      </c>
      <c r="B23" s="166">
        <f>SUM(B13:B22)</f>
        <v>312449973.55430186</v>
      </c>
      <c r="C23" s="166">
        <f>SUM(C13:C22)</f>
        <v>164984516.60569465</v>
      </c>
      <c r="D23" s="166">
        <f>SUM(D13:D22)</f>
        <v>147465456.94860721</v>
      </c>
      <c r="E23" s="166">
        <f>E22</f>
        <v>147465456.94860721</v>
      </c>
      <c r="G23" s="163" t="s">
        <v>546</v>
      </c>
      <c r="H23" s="166">
        <f>SUM(H13:H22)</f>
        <v>123560509.97223201</v>
      </c>
      <c r="I23" s="166">
        <f>SUM(I13:I22)</f>
        <v>43125000</v>
      </c>
      <c r="J23" s="166">
        <f>SUM(J13:J22)</f>
        <v>80435509.972232014</v>
      </c>
      <c r="K23" s="166">
        <f>K22</f>
        <v>80435509.972232014</v>
      </c>
      <c r="M23" s="163" t="s">
        <v>546</v>
      </c>
      <c r="N23" s="166">
        <f>SUM(N13:N22)</f>
        <v>375819047.68703896</v>
      </c>
      <c r="O23" s="166">
        <f>SUM(O13:O22)</f>
        <v>171321424.01896834</v>
      </c>
      <c r="P23" s="166">
        <f>SUM(P13:P22)</f>
        <v>204497623.66807058</v>
      </c>
      <c r="Q23" s="166">
        <f>Q22</f>
        <v>204497623.66807058</v>
      </c>
    </row>
    <row r="24" spans="1:17">
      <c r="A24" s="202" t="s">
        <v>580</v>
      </c>
      <c r="B24" s="198"/>
      <c r="C24" s="198"/>
      <c r="D24" s="198"/>
      <c r="E24" s="198"/>
      <c r="F24" s="198"/>
      <c r="G24" s="198"/>
      <c r="H24" s="198"/>
      <c r="I24" s="198"/>
      <c r="J24" s="198"/>
      <c r="K24" s="198"/>
    </row>
    <row r="26" spans="1:17">
      <c r="A26" s="197" t="s">
        <v>581</v>
      </c>
      <c r="B26" s="198"/>
      <c r="C26" s="198"/>
      <c r="D26" s="198"/>
      <c r="E26" s="198"/>
      <c r="G26" s="197" t="s">
        <v>582</v>
      </c>
      <c r="H26" s="198"/>
      <c r="I26" s="198"/>
      <c r="J26" s="198"/>
      <c r="K26" s="198"/>
    </row>
    <row r="27" spans="1:17">
      <c r="A27" s="163" t="s">
        <v>83</v>
      </c>
      <c r="B27" s="163" t="s">
        <v>542</v>
      </c>
      <c r="C27" s="163" t="s">
        <v>543</v>
      </c>
      <c r="D27" s="163" t="s">
        <v>544</v>
      </c>
      <c r="E27" s="163" t="s">
        <v>545</v>
      </c>
      <c r="G27" s="163" t="s">
        <v>83</v>
      </c>
      <c r="H27" s="163" t="s">
        <v>542</v>
      </c>
      <c r="I27" s="163" t="s">
        <v>543</v>
      </c>
      <c r="J27" s="163" t="s">
        <v>544</v>
      </c>
      <c r="K27" s="163" t="s">
        <v>545</v>
      </c>
    </row>
    <row r="28" spans="1:17">
      <c r="A28" s="163">
        <v>1</v>
      </c>
      <c r="B28" s="165">
        <f>Results_10yr!F54+Results_10yr!R54+SUM(INDEX('The Commons Platform CF'!$E$17:$DT$17,1,1):INDEX('The Commons Platform CF'!$E$17:$DT$17,1,12))</f>
        <v>186249.99999999997</v>
      </c>
      <c r="C28" s="165">
        <f>Results_10yr!G54+Results_10yr!S54+-SUM(INDEX('The Commons Platform CF'!$E$19:$DT$19,1,1):INDEX('The Commons Platform CF'!$E$19:$DT$19,1,12))</f>
        <v>500000.00000000006</v>
      </c>
      <c r="D28" s="165">
        <f>Results_10yr!H54+Results_10yr!T54+SUM(INDEX('The Commons Platform CF'!$E$21:$DT$21,1,1):INDEX('The Commons Platform CF'!$E$21:$DT$21,1,12))</f>
        <v>-313750</v>
      </c>
      <c r="E28" s="165">
        <f>D28</f>
        <v>-313750</v>
      </c>
      <c r="G28" s="163">
        <v>1</v>
      </c>
      <c r="H28" s="165">
        <f>Results_10yr!B54+Results_10yr!J54+SUM(INDEX(Calc_Helper!$C$151:$DR$151,1,1):INDEX(Calc_Helper!$C$151:$DR$151,1,12))</f>
        <v>0</v>
      </c>
      <c r="I28" s="165">
        <f>Results_10yr!C54+Results_10yr!K54+-SUM(INDEX(Calc_Helper!$C$152:$DR$152,1,1):INDEX(Calc_Helper!$C$152:$DR$152,1,12))</f>
        <v>0</v>
      </c>
      <c r="J28" s="165">
        <f>Results_10yr!D54+Results_10yr!L54+SUM(INDEX(Calc_Helper!$C$153:$DR$153,1,1):INDEX(Calc_Helper!$C$153:$DR$153,1,12))</f>
        <v>0</v>
      </c>
      <c r="K28" s="165">
        <f>J28</f>
        <v>0</v>
      </c>
    </row>
    <row r="29" spans="1:17">
      <c r="A29" s="163">
        <v>2</v>
      </c>
      <c r="B29" s="165">
        <f>Results_10yr!F55+Results_10yr!R55+SUM(INDEX('The Commons Platform CF'!$E$17:$DT$17,1,13):INDEX('The Commons Platform CF'!$E$17:$DT$17,1,24))</f>
        <v>10266750</v>
      </c>
      <c r="C29" s="165">
        <f>Results_10yr!G55+Results_10yr!S55+-SUM(INDEX('The Commons Platform CF'!$E$19:$DT$19,1,13):INDEX('The Commons Platform CF'!$E$19:$DT$19,1,24))</f>
        <v>1482800</v>
      </c>
      <c r="D29" s="165">
        <f>Results_10yr!H55+Results_10yr!T55+SUM(INDEX('The Commons Platform CF'!$E$21:$DT$21,1,13):INDEX('The Commons Platform CF'!$E$21:$DT$21,1,24))</f>
        <v>8783950</v>
      </c>
      <c r="E29" s="165">
        <f t="shared" ref="E29:E37" si="3">E28+D29</f>
        <v>8470200</v>
      </c>
      <c r="G29" s="163">
        <v>2</v>
      </c>
      <c r="H29" s="165">
        <f>Results_10yr!B55+Results_10yr!J55+SUM(INDEX(Calc_Helper!$C$151:$DR$151,1,13):INDEX(Calc_Helper!$C$151:$DR$151,1,24))</f>
        <v>0</v>
      </c>
      <c r="I29" s="165">
        <f>Results_10yr!C55+Results_10yr!K55+-SUM(INDEX(Calc_Helper!$C$152:$DR$152,1,13):INDEX(Calc_Helper!$C$152:$DR$152,1,24))</f>
        <v>0</v>
      </c>
      <c r="J29" s="165">
        <f>Results_10yr!D55+Results_10yr!L55+SUM(INDEX(Calc_Helper!$C$153:$DR$153,1,13):INDEX(Calc_Helper!$C$153:$DR$153,1,24))</f>
        <v>0</v>
      </c>
      <c r="K29" s="165">
        <f t="shared" ref="K29:K37" si="4">K28+J29</f>
        <v>0</v>
      </c>
    </row>
    <row r="30" spans="1:17">
      <c r="A30" s="163">
        <v>3</v>
      </c>
      <c r="B30" s="165">
        <f>Results_10yr!F56+Results_10yr!R56+SUM(INDEX('The Commons Platform CF'!$E$17:$DT$17,1,25):INDEX('The Commons Platform CF'!$E$17:$DT$17,1,36))</f>
        <v>13562616.40625</v>
      </c>
      <c r="C30" s="165">
        <f>Results_10yr!G56+Results_10yr!S56+-SUM(INDEX('The Commons Platform CF'!$E$19:$DT$19,1,25):INDEX('The Commons Platform CF'!$E$19:$DT$19,1,36))</f>
        <v>68747288.6328125</v>
      </c>
      <c r="D30" s="165">
        <f>Results_10yr!H56+Results_10yr!T56+SUM(INDEX('The Commons Platform CF'!$E$21:$DT$21,1,25):INDEX('The Commons Platform CF'!$E$21:$DT$21,1,36))</f>
        <v>-55184672.2265625</v>
      </c>
      <c r="E30" s="165">
        <f t="shared" si="3"/>
        <v>-46714472.2265625</v>
      </c>
      <c r="G30" s="163">
        <v>3</v>
      </c>
      <c r="H30" s="165">
        <f>Results_10yr!B56+Results_10yr!J56+SUM(INDEX(Calc_Helper!$C$151:$DR$151,1,25):INDEX(Calc_Helper!$C$151:$DR$151,1,36))</f>
        <v>0</v>
      </c>
      <c r="I30" s="165">
        <f>Results_10yr!C56+Results_10yr!K56+-SUM(INDEX(Calc_Helper!$C$152:$DR$152,1,25):INDEX(Calc_Helper!$C$152:$DR$152,1,36))</f>
        <v>0</v>
      </c>
      <c r="J30" s="165">
        <f>Results_10yr!D56+Results_10yr!L56+SUM(INDEX(Calc_Helper!$C$153:$DR$153,1,25):INDEX(Calc_Helper!$C$153:$DR$153,1,36))</f>
        <v>0</v>
      </c>
      <c r="K30" s="165">
        <f t="shared" si="4"/>
        <v>0</v>
      </c>
    </row>
    <row r="31" spans="1:17">
      <c r="A31" s="163">
        <v>4</v>
      </c>
      <c r="B31" s="165">
        <f>Results_10yr!F57+Results_10yr!R57+SUM(INDEX('The Commons Platform CF'!$E$17:$DT$17,1,37):INDEX('The Commons Platform CF'!$E$17:$DT$17,1,48))</f>
        <v>14111072.198298661</v>
      </c>
      <c r="C31" s="165">
        <f>Results_10yr!G57+Results_10yr!S57+-SUM(INDEX('The Commons Platform CF'!$E$19:$DT$19,1,37):INDEX('The Commons Platform CF'!$E$19:$DT$19,1,48))</f>
        <v>75033607.802847311</v>
      </c>
      <c r="D31" s="165">
        <f>Results_10yr!H57+Results_10yr!T57+SUM(INDEX('The Commons Platform CF'!$E$21:$DT$21,1,37):INDEX('The Commons Platform CF'!$E$21:$DT$21,1,48))</f>
        <v>-60922535.604548648</v>
      </c>
      <c r="E31" s="165">
        <f t="shared" si="3"/>
        <v>-107637007.83111115</v>
      </c>
      <c r="G31" s="163">
        <v>4</v>
      </c>
      <c r="H31" s="165">
        <f>Results_10yr!B57+Results_10yr!J57+SUM(INDEX(Calc_Helper!$C$151:$DR$151,1,37):INDEX(Calc_Helper!$C$151:$DR$151,1,48))</f>
        <v>281250.00000000006</v>
      </c>
      <c r="I31" s="165">
        <f>Results_10yr!C57+Results_10yr!K57+-SUM(INDEX(Calc_Helper!$C$152:$DR$152,1,37):INDEX(Calc_Helper!$C$152:$DR$152,1,48))</f>
        <v>28125.000000000007</v>
      </c>
      <c r="J31" s="165">
        <f>Results_10yr!D57+Results_10yr!L57+SUM(INDEX(Calc_Helper!$C$153:$DR$153,1,37):INDEX(Calc_Helper!$C$153:$DR$153,1,48))</f>
        <v>253125.00000000006</v>
      </c>
      <c r="K31" s="165">
        <f t="shared" si="4"/>
        <v>253125.00000000006</v>
      </c>
    </row>
    <row r="32" spans="1:17">
      <c r="A32" s="163">
        <v>5</v>
      </c>
      <c r="B32" s="165">
        <f>Results_10yr!F58+Results_10yr!R58+SUM(INDEX('The Commons Platform CF'!$E$17:$DT$17,1,49):INDEX('The Commons Platform CF'!$E$17:$DT$17,1,60))</f>
        <v>189072038.88098335</v>
      </c>
      <c r="C32" s="165">
        <f>Results_10yr!G58+Results_10yr!S58+-SUM(INDEX('The Commons Platform CF'!$E$19:$DT$19,1,49):INDEX('The Commons Platform CF'!$E$19:$DT$19,1,60))</f>
        <v>15831811.020034818</v>
      </c>
      <c r="D32" s="165">
        <f>Results_10yr!H58+Results_10yr!T58+SUM(INDEX('The Commons Platform CF'!$E$21:$DT$21,1,49):INDEX('The Commons Platform CF'!$E$21:$DT$21,1,60))</f>
        <v>173240227.86094853</v>
      </c>
      <c r="E32" s="165">
        <f t="shared" si="3"/>
        <v>65603220.029837385</v>
      </c>
      <c r="G32" s="163">
        <v>5</v>
      </c>
      <c r="H32" s="165">
        <f>Results_10yr!B58+Results_10yr!J58+SUM(INDEX(Calc_Helper!$C$151:$DR$151,1,49):INDEX(Calc_Helper!$C$151:$DR$151,1,60))</f>
        <v>22187500</v>
      </c>
      <c r="I32" s="165">
        <f>Results_10yr!C58+Results_10yr!K58+-SUM(INDEX(Calc_Helper!$C$152:$DR$152,1,49):INDEX(Calc_Helper!$C$152:$DR$152,1,60))</f>
        <v>2923437.5</v>
      </c>
      <c r="J32" s="165">
        <f>Results_10yr!D58+Results_10yr!L58+SUM(INDEX(Calc_Helper!$C$153:$DR$153,1,49):INDEX(Calc_Helper!$C$153:$DR$153,1,60))</f>
        <v>19264062.5</v>
      </c>
      <c r="K32" s="165">
        <f t="shared" si="4"/>
        <v>19517187.5</v>
      </c>
    </row>
    <row r="33" spans="1:11">
      <c r="A33" s="163">
        <v>6</v>
      </c>
      <c r="B33" s="165">
        <f>Results_10yr!F59+Results_10yr!R59+SUM(INDEX('The Commons Platform CF'!$E$17:$DT$17,1,61):INDEX('The Commons Platform CF'!$E$17:$DT$17,1,72))</f>
        <v>51997293.540744007</v>
      </c>
      <c r="C33" s="165">
        <f>Results_10yr!G59+Results_10yr!S59+-SUM(INDEX('The Commons Platform CF'!$E$19:$DT$19,1,61):INDEX('The Commons Platform CF'!$E$19:$DT$19,1,72))</f>
        <v>1694599.5425000002</v>
      </c>
      <c r="D33" s="165">
        <f>Results_10yr!H59+Results_10yr!T59+SUM(INDEX('The Commons Platform CF'!$E$21:$DT$21,1,61):INDEX('The Commons Platform CF'!$E$21:$DT$21,1,72))</f>
        <v>50302693.998244002</v>
      </c>
      <c r="E33" s="165">
        <f t="shared" si="3"/>
        <v>115905914.02808139</v>
      </c>
      <c r="G33" s="163">
        <v>6</v>
      </c>
      <c r="H33" s="165">
        <f>Results_10yr!B59+Results_10yr!J59+SUM(INDEX(Calc_Helper!$C$151:$DR$151,1,61):INDEX(Calc_Helper!$C$151:$DR$151,1,72))</f>
        <v>48500000</v>
      </c>
      <c r="I33" s="165">
        <f>Results_10yr!C59+Results_10yr!K59+-SUM(INDEX(Calc_Helper!$C$152:$DR$152,1,61):INDEX(Calc_Helper!$C$152:$DR$152,1,72))</f>
        <v>7806250</v>
      </c>
      <c r="J33" s="165">
        <f>Results_10yr!D59+Results_10yr!L59+SUM(INDEX(Calc_Helper!$C$153:$DR$153,1,61):INDEX(Calc_Helper!$C$153:$DR$153,1,72))</f>
        <v>40693750</v>
      </c>
      <c r="K33" s="165">
        <f t="shared" si="4"/>
        <v>60210937.5</v>
      </c>
    </row>
    <row r="34" spans="1:11">
      <c r="A34" s="163">
        <v>7</v>
      </c>
      <c r="B34" s="165">
        <f>Results_10yr!F60+Results_10yr!R60+SUM(INDEX('The Commons Platform CF'!$E$17:$DT$17,1,73):INDEX('The Commons Platform CF'!$E$17:$DT$17,1,84))</f>
        <v>14809725.091183444</v>
      </c>
      <c r="C34" s="165">
        <f>Results_10yr!G60+Results_10yr!S60+-SUM(INDEX('The Commons Platform CF'!$E$19:$DT$19,1,73):INDEX('The Commons Platform CF'!$E$19:$DT$19,1,84))</f>
        <v>1754329.519625</v>
      </c>
      <c r="D34" s="165">
        <f>Results_10yr!H60+Results_10yr!T60+SUM(INDEX('The Commons Platform CF'!$E$21:$DT$21,1,73):INDEX('The Commons Platform CF'!$E$21:$DT$21,1,84))</f>
        <v>13055395.571558444</v>
      </c>
      <c r="E34" s="165">
        <f t="shared" si="3"/>
        <v>128961309.59963983</v>
      </c>
      <c r="G34" s="163">
        <v>7</v>
      </c>
      <c r="H34" s="165">
        <f>Results_10yr!B60+Results_10yr!J60+SUM(INDEX(Calc_Helper!$C$151:$DR$151,1,73):INDEX(Calc_Helper!$C$151:$DR$151,1,84))</f>
        <v>42812500</v>
      </c>
      <c r="I34" s="165">
        <f>Results_10yr!C60+Results_10yr!K60+-SUM(INDEX(Calc_Helper!$C$152:$DR$152,1,73):INDEX(Calc_Helper!$C$152:$DR$152,1,84))</f>
        <v>9575000</v>
      </c>
      <c r="J34" s="165">
        <f>Results_10yr!D60+Results_10yr!L60+SUM(INDEX(Calc_Helper!$C$153:$DR$153,1,73):INDEX(Calc_Helper!$C$153:$DR$153,1,84))</f>
        <v>33237500</v>
      </c>
      <c r="K34" s="165">
        <f t="shared" si="4"/>
        <v>93448437.5</v>
      </c>
    </row>
    <row r="35" spans="1:11">
      <c r="A35" s="163">
        <v>8</v>
      </c>
      <c r="B35" s="165">
        <f>Results_10yr!F61+Results_10yr!R61+SUM(INDEX('The Commons Platform CF'!$E$17:$DT$17,1,85):INDEX('The Commons Platform CF'!$E$17:$DT$17,1,96))</f>
        <v>13795396.486386904</v>
      </c>
      <c r="C35" s="165">
        <f>Results_10yr!G61+Results_10yr!S61+-SUM(INDEX('The Commons Platform CF'!$E$19:$DT$19,1,85):INDEX('The Commons Platform CF'!$E$19:$DT$19,1,96))</f>
        <v>1817045.9956062504</v>
      </c>
      <c r="D35" s="165">
        <f>Results_10yr!H61+Results_10yr!T61+SUM(INDEX('The Commons Platform CF'!$E$21:$DT$21,1,85):INDEX('The Commons Platform CF'!$E$21:$DT$21,1,96))</f>
        <v>11978350.490780653</v>
      </c>
      <c r="E35" s="165">
        <f t="shared" si="3"/>
        <v>140939660.09042048</v>
      </c>
      <c r="G35" s="163">
        <v>8</v>
      </c>
      <c r="H35" s="165">
        <f>Results_10yr!B61+Results_10yr!J61+SUM(INDEX(Calc_Helper!$C$151:$DR$151,1,85):INDEX(Calc_Helper!$C$151:$DR$151,1,96))</f>
        <v>14968750</v>
      </c>
      <c r="I35" s="165">
        <f>Results_10yr!C61+Results_10yr!K61+-SUM(INDEX(Calc_Helper!$C$152:$DR$152,1,85):INDEX(Calc_Helper!$C$152:$DR$152,1,96))</f>
        <v>7667187.5</v>
      </c>
      <c r="J35" s="165">
        <f>Results_10yr!D61+Results_10yr!L61+SUM(INDEX(Calc_Helper!$C$153:$DR$153,1,85):INDEX(Calc_Helper!$C$153:$DR$153,1,96))</f>
        <v>7301562.5</v>
      </c>
      <c r="K35" s="165">
        <f t="shared" si="4"/>
        <v>100750000</v>
      </c>
    </row>
    <row r="36" spans="1:11">
      <c r="A36" s="163">
        <v>9</v>
      </c>
      <c r="B36" s="165">
        <f>Results_10yr!F62+Results_10yr!R62+SUM(INDEX('The Commons Platform CF'!$E$17:$DT$17,1,97):INDEX('The Commons Platform CF'!$E$17:$DT$17,1,108))</f>
        <v>14233982.953865625</v>
      </c>
      <c r="C36" s="165">
        <f>Results_10yr!G62+Results_10yr!S62+-SUM(INDEX('The Commons Platform CF'!$E$19:$DT$19,1,97):INDEX('The Commons Platform CF'!$E$19:$DT$19,1,108))</f>
        <v>1882898.2953865626</v>
      </c>
      <c r="D36" s="165">
        <f>Results_10yr!H62+Results_10yr!T62+SUM(INDEX('The Commons Platform CF'!$E$21:$DT$21,1,97):INDEX('The Commons Platform CF'!$E$21:$DT$21,1,108))</f>
        <v>12351084.658479063</v>
      </c>
      <c r="E36" s="165">
        <f t="shared" si="3"/>
        <v>153290744.74889955</v>
      </c>
      <c r="G36" s="163">
        <v>9</v>
      </c>
      <c r="H36" s="165">
        <f>Results_10yr!B62+Results_10yr!J62+SUM(INDEX(Calc_Helper!$C$151:$DR$151,1,97):INDEX(Calc_Helper!$C$151:$DR$151,1,108))</f>
        <v>11250000</v>
      </c>
      <c r="I36" s="165">
        <f>Results_10yr!C62+Results_10yr!K62+-SUM(INDEX(Calc_Helper!$C$152:$DR$152,1,97):INDEX(Calc_Helper!$C$152:$DR$152,1,108))</f>
        <v>7312500</v>
      </c>
      <c r="J36" s="165">
        <f>Results_10yr!D62+Results_10yr!L62+SUM(INDEX(Calc_Helper!$C$153:$DR$153,1,97):INDEX(Calc_Helper!$C$153:$DR$153,1,108))</f>
        <v>3937500</v>
      </c>
      <c r="K36" s="165">
        <f t="shared" si="4"/>
        <v>104687500</v>
      </c>
    </row>
    <row r="37" spans="1:11">
      <c r="A37" s="163">
        <v>10</v>
      </c>
      <c r="B37" s="165">
        <f>Results_10yr!F63+Results_10yr!R63+SUM(INDEX('The Commons Platform CF'!$E$17:$DT$17,1,109):INDEX('The Commons Platform CF'!$E$17:$DT$17,1,120))</f>
        <v>14844432.101558907</v>
      </c>
      <c r="C37" s="165">
        <f>Results_10yr!G63+Results_10yr!S63+-SUM(INDEX('The Commons Platform CF'!$E$19:$DT$19,1,109):INDEX('The Commons Platform CF'!$E$19:$DT$19,1,120))</f>
        <v>1952043.2101558908</v>
      </c>
      <c r="D37" s="165">
        <f>Results_10yr!H63+Results_10yr!T63+SUM(INDEX('The Commons Platform CF'!$E$21:$DT$21,1,109):INDEX('The Commons Platform CF'!$E$21:$DT$21,1,120))</f>
        <v>12892388.891403016</v>
      </c>
      <c r="E37" s="165">
        <f t="shared" si="3"/>
        <v>166183133.64030257</v>
      </c>
      <c r="G37" s="163">
        <v>10</v>
      </c>
      <c r="H37" s="165">
        <f>Results_10yr!B63+Results_10yr!J63+SUM(INDEX(Calc_Helper!$C$151:$DR$151,1,109):INDEX(Calc_Helper!$C$151:$DR$151,1,120))</f>
        <v>11250000</v>
      </c>
      <c r="I37" s="165">
        <f>Results_10yr!C63+Results_10yr!K63+-SUM(INDEX(Calc_Helper!$C$152:$DR$152,1,109):INDEX(Calc_Helper!$C$152:$DR$152,1,120))</f>
        <v>7312500</v>
      </c>
      <c r="J37" s="165">
        <f>Results_10yr!D63+Results_10yr!L63+SUM(INDEX(Calc_Helper!$C$153:$DR$153,1,109):INDEX(Calc_Helper!$C$153:$DR$153,1,120))</f>
        <v>3937500</v>
      </c>
      <c r="K37" s="165">
        <f t="shared" si="4"/>
        <v>108625000</v>
      </c>
    </row>
    <row r="38" spans="1:11">
      <c r="A38" s="163" t="s">
        <v>546</v>
      </c>
      <c r="B38" s="166">
        <f>SUM(B28:B37)</f>
        <v>336879557.65927088</v>
      </c>
      <c r="C38" s="166">
        <f>SUM(C28:C37)</f>
        <v>170696424.01896834</v>
      </c>
      <c r="D38" s="166">
        <f>SUM(D28:D37)</f>
        <v>166183133.64030257</v>
      </c>
      <c r="E38" s="166">
        <f>E37</f>
        <v>166183133.64030257</v>
      </c>
      <c r="G38" s="163" t="s">
        <v>546</v>
      </c>
      <c r="H38" s="166">
        <f>SUM(H28:H37)</f>
        <v>151250000</v>
      </c>
      <c r="I38" s="166">
        <f>SUM(I28:I37)</f>
        <v>42625000</v>
      </c>
      <c r="J38" s="166">
        <f>SUM(J28:J37)</f>
        <v>108625000</v>
      </c>
      <c r="K38" s="166">
        <f>K37</f>
        <v>108625000</v>
      </c>
    </row>
  </sheetData>
  <mergeCells count="8">
    <mergeCell ref="M11:Q11"/>
    <mergeCell ref="G26:K26"/>
    <mergeCell ref="A1:Q1"/>
    <mergeCell ref="A3:H3"/>
    <mergeCell ref="A24:K24"/>
    <mergeCell ref="A11:E11"/>
    <mergeCell ref="A26:E26"/>
    <mergeCell ref="G11:K11"/>
  </mergeCells>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117"/>
  <sheetViews>
    <sheetView topLeftCell="A99" workbookViewId="0">
      <selection activeCell="A117" sqref="A117"/>
    </sheetView>
  </sheetViews>
  <sheetFormatPr baseColWidth="10" defaultRowHeight="15.6"/>
  <cols>
    <col min="1" max="3" width="11.19921875" style="172" customWidth="1"/>
    <col min="4" max="16384" width="11.19921875" style="172"/>
  </cols>
  <sheetData>
    <row r="1" spans="1:1" ht="23.4" customHeight="1">
      <c r="A1" s="171" t="s">
        <v>583</v>
      </c>
    </row>
    <row r="3" spans="1:1">
      <c r="A3" s="173" t="s">
        <v>584</v>
      </c>
    </row>
    <row r="4" spans="1:1">
      <c r="A4" s="174"/>
    </row>
    <row r="5" spans="1:1">
      <c r="A5" s="175" t="s">
        <v>585</v>
      </c>
    </row>
    <row r="6" spans="1:1">
      <c r="A6" s="175" t="s">
        <v>586</v>
      </c>
    </row>
    <row r="7" spans="1:1">
      <c r="A7" s="175" t="s">
        <v>587</v>
      </c>
    </row>
    <row r="8" spans="1:1">
      <c r="A8" s="175" t="s">
        <v>588</v>
      </c>
    </row>
    <row r="10" spans="1:1" ht="23.4" customHeight="1">
      <c r="A10" s="171" t="s">
        <v>589</v>
      </c>
    </row>
    <row r="12" spans="1:1">
      <c r="A12" s="172" t="s">
        <v>655</v>
      </c>
    </row>
    <row r="14" spans="1:1">
      <c r="A14" s="173" t="s">
        <v>590</v>
      </c>
    </row>
    <row r="15" spans="1:1">
      <c r="A15" s="175" t="s">
        <v>591</v>
      </c>
    </row>
    <row r="16" spans="1:1">
      <c r="A16" s="175" t="s">
        <v>592</v>
      </c>
    </row>
    <row r="17" spans="1:1">
      <c r="A17" s="174" t="s">
        <v>593</v>
      </c>
    </row>
    <row r="18" spans="1:1">
      <c r="A18" s="173" t="s">
        <v>594</v>
      </c>
    </row>
    <row r="19" spans="1:1">
      <c r="A19" s="172" t="s">
        <v>595</v>
      </c>
    </row>
    <row r="21" spans="1:1" ht="23.4" customHeight="1">
      <c r="A21" s="171" t="s">
        <v>596</v>
      </c>
    </row>
    <row r="23" spans="1:1">
      <c r="A23" s="172" t="s">
        <v>597</v>
      </c>
    </row>
    <row r="25" spans="1:1">
      <c r="A25" s="173" t="s">
        <v>590</v>
      </c>
    </row>
    <row r="26" spans="1:1">
      <c r="A26" s="174" t="s">
        <v>598</v>
      </c>
    </row>
    <row r="27" spans="1:1">
      <c r="A27" s="174" t="s">
        <v>599</v>
      </c>
    </row>
    <row r="28" spans="1:1">
      <c r="A28" s="174" t="s">
        <v>600</v>
      </c>
    </row>
    <row r="29" spans="1:1">
      <c r="A29" s="174" t="s">
        <v>601</v>
      </c>
    </row>
    <row r="30" spans="1:1">
      <c r="A30" s="173" t="s">
        <v>594</v>
      </c>
    </row>
    <row r="31" spans="1:1">
      <c r="A31" s="172" t="s">
        <v>602</v>
      </c>
    </row>
    <row r="33" spans="1:1" ht="23.4" customHeight="1">
      <c r="A33" s="171" t="s">
        <v>603</v>
      </c>
    </row>
    <row r="35" spans="1:1">
      <c r="A35" s="172" t="s">
        <v>604</v>
      </c>
    </row>
    <row r="37" spans="1:1">
      <c r="A37" s="173" t="s">
        <v>590</v>
      </c>
    </row>
    <row r="38" spans="1:1">
      <c r="A38" s="175" t="s">
        <v>605</v>
      </c>
    </row>
    <row r="39" spans="1:1">
      <c r="A39" s="175" t="s">
        <v>606</v>
      </c>
    </row>
    <row r="40" spans="1:1">
      <c r="A40" s="175" t="s">
        <v>607</v>
      </c>
    </row>
    <row r="41" spans="1:1">
      <c r="A41" s="173" t="s">
        <v>594</v>
      </c>
    </row>
    <row r="42" spans="1:1">
      <c r="A42" s="172" t="s">
        <v>608</v>
      </c>
    </row>
    <row r="44" spans="1:1" ht="23.4" customHeight="1">
      <c r="A44" s="171" t="s">
        <v>609</v>
      </c>
    </row>
    <row r="46" spans="1:1">
      <c r="A46" s="172" t="s">
        <v>610</v>
      </c>
    </row>
    <row r="48" spans="1:1">
      <c r="A48" s="173" t="s">
        <v>590</v>
      </c>
    </row>
    <row r="49" spans="1:1">
      <c r="A49" s="174" t="s">
        <v>611</v>
      </c>
    </row>
    <row r="50" spans="1:1">
      <c r="A50" s="174" t="s">
        <v>612</v>
      </c>
    </row>
    <row r="51" spans="1:1">
      <c r="A51" s="173" t="s">
        <v>594</v>
      </c>
    </row>
    <row r="52" spans="1:1">
      <c r="A52" s="172" t="s">
        <v>613</v>
      </c>
    </row>
    <row r="54" spans="1:1" ht="23.4" customHeight="1">
      <c r="A54" s="171" t="s">
        <v>614</v>
      </c>
    </row>
    <row r="56" spans="1:1">
      <c r="A56" s="172" t="s">
        <v>615</v>
      </c>
    </row>
    <row r="58" spans="1:1">
      <c r="A58" s="173" t="s">
        <v>616</v>
      </c>
    </row>
    <row r="59" spans="1:1">
      <c r="A59" s="175" t="s">
        <v>617</v>
      </c>
    </row>
    <row r="60" spans="1:1">
      <c r="A60" s="175" t="s">
        <v>618</v>
      </c>
    </row>
    <row r="61" spans="1:1">
      <c r="A61" s="175" t="s">
        <v>619</v>
      </c>
    </row>
    <row r="62" spans="1:1">
      <c r="A62" s="175" t="s">
        <v>620</v>
      </c>
    </row>
    <row r="63" spans="1:1">
      <c r="A63" s="175" t="s">
        <v>621</v>
      </c>
    </row>
    <row r="64" spans="1:1">
      <c r="A64" s="175" t="s">
        <v>622</v>
      </c>
    </row>
    <row r="65" spans="1:1">
      <c r="A65" s="173" t="s">
        <v>623</v>
      </c>
    </row>
    <row r="66" spans="1:1">
      <c r="A66" s="175" t="s">
        <v>624</v>
      </c>
    </row>
    <row r="67" spans="1:1">
      <c r="A67" s="175" t="s">
        <v>625</v>
      </c>
    </row>
    <row r="68" spans="1:1">
      <c r="A68" s="175" t="s">
        <v>626</v>
      </c>
    </row>
    <row r="69" spans="1:1">
      <c r="A69" s="175" t="s">
        <v>627</v>
      </c>
    </row>
    <row r="71" spans="1:1">
      <c r="A71" s="173" t="s">
        <v>594</v>
      </c>
    </row>
    <row r="72" spans="1:1">
      <c r="A72" s="172" t="s">
        <v>628</v>
      </c>
    </row>
    <row r="74" spans="1:1" ht="23.4" customHeight="1">
      <c r="A74" s="171" t="s">
        <v>629</v>
      </c>
    </row>
    <row r="76" spans="1:1">
      <c r="A76" s="172" t="s">
        <v>630</v>
      </c>
    </row>
    <row r="78" spans="1:1">
      <c r="A78" s="173" t="s">
        <v>590</v>
      </c>
    </row>
    <row r="79" spans="1:1">
      <c r="A79" s="175" t="s">
        <v>631</v>
      </c>
    </row>
    <row r="80" spans="1:1">
      <c r="A80" s="176" t="s">
        <v>632</v>
      </c>
    </row>
    <row r="81" spans="1:1">
      <c r="A81" s="175" t="s">
        <v>633</v>
      </c>
    </row>
    <row r="82" spans="1:1">
      <c r="A82" s="177" t="s">
        <v>634</v>
      </c>
    </row>
    <row r="83" spans="1:1">
      <c r="A83" s="177" t="s">
        <v>635</v>
      </c>
    </row>
    <row r="84" spans="1:1">
      <c r="A84" s="175" t="s">
        <v>636</v>
      </c>
    </row>
    <row r="85" spans="1:1">
      <c r="A85" s="174"/>
    </row>
    <row r="86" spans="1:1">
      <c r="A86" s="173" t="s">
        <v>623</v>
      </c>
    </row>
    <row r="87" spans="1:1">
      <c r="A87" s="174"/>
    </row>
    <row r="88" spans="1:1">
      <c r="A88" s="175" t="s">
        <v>637</v>
      </c>
    </row>
    <row r="89" spans="1:1">
      <c r="A89" s="175" t="s">
        <v>638</v>
      </c>
    </row>
    <row r="90" spans="1:1">
      <c r="A90" s="175" t="s">
        <v>639</v>
      </c>
    </row>
    <row r="91" spans="1:1">
      <c r="A91" s="175" t="s">
        <v>640</v>
      </c>
    </row>
    <row r="92" spans="1:1">
      <c r="A92" s="175" t="s">
        <v>641</v>
      </c>
    </row>
    <row r="93" spans="1:1">
      <c r="A93" s="175" t="s">
        <v>642</v>
      </c>
    </row>
    <row r="94" spans="1:1">
      <c r="A94" s="175" t="s">
        <v>643</v>
      </c>
    </row>
    <row r="96" spans="1:1">
      <c r="A96" s="173" t="s">
        <v>594</v>
      </c>
    </row>
    <row r="97" spans="1:1">
      <c r="A97" s="172" t="s">
        <v>644</v>
      </c>
    </row>
    <row r="99" spans="1:1" ht="23.4" customHeight="1">
      <c r="A99" s="171" t="s">
        <v>645</v>
      </c>
    </row>
    <row r="101" spans="1:1">
      <c r="A101" s="195" t="s">
        <v>646</v>
      </c>
    </row>
    <row r="103" spans="1:1">
      <c r="A103" s="173" t="s">
        <v>590</v>
      </c>
    </row>
    <row r="104" spans="1:1">
      <c r="A104" s="175" t="s">
        <v>647</v>
      </c>
    </row>
    <row r="105" spans="1:1">
      <c r="A105" s="196" t="s">
        <v>648</v>
      </c>
    </row>
    <row r="106" spans="1:1">
      <c r="A106" s="173" t="s">
        <v>594</v>
      </c>
    </row>
    <row r="107" spans="1:1">
      <c r="A107" s="195" t="s">
        <v>649</v>
      </c>
    </row>
    <row r="109" spans="1:1" ht="23.4" customHeight="1">
      <c r="A109" s="171" t="s">
        <v>650</v>
      </c>
    </row>
    <row r="111" spans="1:1">
      <c r="A111" s="195" t="s">
        <v>651</v>
      </c>
    </row>
    <row r="113" spans="1:1">
      <c r="A113" s="173" t="s">
        <v>590</v>
      </c>
    </row>
    <row r="114" spans="1:1">
      <c r="A114" s="175" t="s">
        <v>652</v>
      </c>
    </row>
    <row r="115" spans="1:1">
      <c r="A115" s="196" t="s">
        <v>653</v>
      </c>
    </row>
    <row r="116" spans="1:1">
      <c r="A116" s="173" t="s">
        <v>594</v>
      </c>
    </row>
    <row r="117" spans="1:1">
      <c r="A117" s="195" t="s">
        <v>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15</vt:i4>
      </vt:variant>
    </vt:vector>
  </HeadingPairs>
  <TitlesOfParts>
    <vt:vector size="32" baseType="lpstr">
      <vt:lpstr>Title Page</vt:lpstr>
      <vt:lpstr>Dashboard</vt:lpstr>
      <vt:lpstr>Platform Cash Flow---&gt;</vt:lpstr>
      <vt:lpstr>Platform Assumptions</vt:lpstr>
      <vt:lpstr>The Commons Platform CF</vt:lpstr>
      <vt:lpstr>Single Project Cash Flows---&gt;</vt:lpstr>
      <vt:lpstr>Single Project Assumptions</vt:lpstr>
      <vt:lpstr>Rolled Up Cash Flows</vt:lpstr>
      <vt:lpstr>Option Phase</vt:lpstr>
      <vt:lpstr>Entitlement Phase</vt:lpstr>
      <vt:lpstr>Development Phase</vt:lpstr>
      <vt:lpstr>Operational Phase</vt:lpstr>
      <vt:lpstr>Calc_Helper</vt:lpstr>
      <vt:lpstr>Results_10yr</vt:lpstr>
      <vt:lpstr>Hoja1</vt:lpstr>
      <vt:lpstr>Business Alternatives</vt:lpstr>
      <vt:lpstr>Scenarios</vt:lpstr>
      <vt:lpstr>Dashboard!Área_de_impresión</vt:lpstr>
      <vt:lpstr>Avg_Sale_Price</vt:lpstr>
      <vt:lpstr>Base_Dates_120</vt:lpstr>
      <vt:lpstr>Closing_Selected_120</vt:lpstr>
      <vt:lpstr>Deposit_Per_Unit</vt:lpstr>
      <vt:lpstr>DevCF_All_120</vt:lpstr>
      <vt:lpstr>DevCF_All_Neg_120</vt:lpstr>
      <vt:lpstr>DevCF_All_Pos_120</vt:lpstr>
      <vt:lpstr>DevCF_P1_120</vt:lpstr>
      <vt:lpstr>DevCF_P2Plus_120</vt:lpstr>
      <vt:lpstr>DevCF_Selected_120</vt:lpstr>
      <vt:lpstr>Model_StartDate</vt:lpstr>
      <vt:lpstr>Sales_BrokerSelected_120</vt:lpstr>
      <vt:lpstr>Sales_Selected_120</vt:lpstr>
      <vt:lpstr>Units_Per_Project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Vega</cp:lastModifiedBy>
  <dcterms:created xsi:type="dcterms:W3CDTF">2026-01-29T18:45:34Z</dcterms:created>
  <dcterms:modified xsi:type="dcterms:W3CDTF">2026-03-10T03:14:22Z</dcterms:modified>
</cp:coreProperties>
</file>