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8vo semestre\OPU 1\"/>
    </mc:Choice>
  </mc:AlternateContent>
  <xr:revisionPtr revIDLastSave="0" documentId="13_ncr:1_{4DBD80F2-6A86-49CC-8D58-90E2A92E757E}" xr6:coauthVersionLast="47" xr6:coauthVersionMax="47" xr10:uidLastSave="{00000000-0000-0000-0000-000000000000}"/>
  <bookViews>
    <workbookView xWindow="-120" yWindow="-120" windowWidth="20730" windowHeight="11160" xr2:uid="{E54C91A0-F294-4737-B404-9F3FC0AD596D}"/>
  </bookViews>
  <sheets>
    <sheet name="D5(a)" sheetId="5" r:id="rId1"/>
    <sheet name="Data" sheetId="9" r:id="rId2"/>
  </sheets>
  <definedNames>
    <definedName name="solver_adj" localSheetId="0" hidden="1">'D5(a)'!$B$30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'D5(a)'!$B$30</definedName>
    <definedName name="solver_lhs2" localSheetId="0" hidden="1">'D5(a)'!$B$30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'D5(a)'!#REF!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0.799</definedName>
    <definedName name="solver_rhs2" localSheetId="0" hidden="1">0.501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0.0001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5" l="1"/>
  <c r="B30" i="5" s="1"/>
  <c r="B22" i="5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8" i="5" s="1"/>
  <c r="B12" i="9"/>
  <c r="B17" i="5" s="1"/>
  <c r="B11" i="9"/>
  <c r="B16" i="5" s="1"/>
  <c r="B10" i="9"/>
  <c r="B15" i="5" s="1"/>
  <c r="B9" i="9"/>
  <c r="B14" i="5" s="1"/>
  <c r="B8" i="9"/>
  <c r="B13" i="5" s="1"/>
  <c r="B7" i="9"/>
  <c r="B6" i="9"/>
  <c r="B5" i="9"/>
  <c r="B4" i="9"/>
  <c r="B3" i="9"/>
  <c r="B28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8" i="5" s="1"/>
  <c r="A12" i="9"/>
  <c r="A17" i="5" s="1"/>
  <c r="A11" i="9"/>
  <c r="A16" i="5" s="1"/>
  <c r="A10" i="9"/>
  <c r="A15" i="5" s="1"/>
  <c r="A9" i="9"/>
  <c r="A14" i="5" s="1"/>
  <c r="A8" i="9"/>
  <c r="A13" i="5" s="1"/>
  <c r="A7" i="9"/>
  <c r="A6" i="9"/>
  <c r="A5" i="9"/>
  <c r="A4" i="9"/>
  <c r="A3" i="9"/>
  <c r="A2" i="9"/>
  <c r="B31" i="5" l="1"/>
  <c r="B32" i="5" s="1"/>
  <c r="B34" i="5" s="1"/>
  <c r="C13" i="5"/>
  <c r="D13" i="5" s="1"/>
  <c r="C14" i="5"/>
  <c r="D14" i="5"/>
  <c r="C15" i="5"/>
  <c r="D15" i="5" s="1"/>
  <c r="C16" i="5"/>
  <c r="D16" i="5" s="1"/>
  <c r="C17" i="5"/>
  <c r="D17" i="5" s="1"/>
  <c r="C18" i="5"/>
  <c r="D18" i="5" s="1"/>
  <c r="B33" i="5" l="1"/>
</calcChain>
</file>

<file path=xl/sharedStrings.xml><?xml version="1.0" encoding="utf-8"?>
<sst xmlns="http://schemas.openxmlformats.org/spreadsheetml/2006/main" count="26" uniqueCount="24">
  <si>
    <t>xF</t>
  </si>
  <si>
    <t>x</t>
  </si>
  <si>
    <t>y</t>
  </si>
  <si>
    <t>Area</t>
  </si>
  <si>
    <t>xDavg</t>
  </si>
  <si>
    <t>xWf</t>
  </si>
  <si>
    <t>1/(y-x)</t>
  </si>
  <si>
    <t>y-x</t>
  </si>
  <si>
    <t>Datos de equilibrio</t>
  </si>
  <si>
    <t>Datos del problema</t>
  </si>
  <si>
    <t>F (mol)</t>
  </si>
  <si>
    <t>limite superior de la integral</t>
  </si>
  <si>
    <t>W (mol)</t>
  </si>
  <si>
    <t>D (mol)</t>
  </si>
  <si>
    <t>variable manipulada</t>
  </si>
  <si>
    <t>Se define una tolerancia para el error, en este caso 0,01%</t>
  </si>
  <si>
    <t>Método 1: Aproximar la integral por métodos numéricos</t>
  </si>
  <si>
    <t>NOTA: para mejorar la precisión se puede aumentar el grado del polinomio</t>
  </si>
  <si>
    <t>integral definida entre xWf y xF</t>
  </si>
  <si>
    <t>A simple batch distillation is being done to process a feed containing water and n-butanol that is 52 mol% water. The feed to the still pot is 3.0 kmol. The final still pot concentration should be 28 mol% water. Equilibrium data are in Table 8-2.
a. Find Wfinal (final amount in the still pot, kmole), DV,tot (total amount of distillate vapor collected, kmole), and yD,avg (average mole fraction water in the vapor distillate).</t>
  </si>
  <si>
    <t>xWfinal</t>
  </si>
  <si>
    <t>TAREA DESTILACIÓN BATCH EJERCICIO D5(a) WANKAT</t>
  </si>
  <si>
    <t>INTEGRANTES: KELLY BELTRÁN BORBOR, FREDDY CARLOS GARCÍA, LUIS ZAMBRANO CHILIQUINGA</t>
  </si>
  <si>
    <t>Método 2: Integrar la función que aproxima la curva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</si>
</sst>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164" fontId="0" fillId="3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164" fontId="0" fillId="5" borderId="0" xfId="0" applyNumberForma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1/(y-x) vs x sistema agua - nbutanol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Diagrama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865081731891454"/>
                  <c:y val="-1.65930636316036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'D5(a)'!$A$13:$A$18</c:f>
              <c:numCache>
                <c:formatCode>0.000</c:formatCode>
                <c:ptCount val="6"/>
                <c:pt idx="0">
                  <c:v>0.27500000000000002</c:v>
                </c:pt>
                <c:pt idx="1">
                  <c:v>0.29199999999999998</c:v>
                </c:pt>
                <c:pt idx="2">
                  <c:v>0.30499999999999999</c:v>
                </c:pt>
                <c:pt idx="3">
                  <c:v>0.496</c:v>
                </c:pt>
                <c:pt idx="4">
                  <c:v>0.50600000000000001</c:v>
                </c:pt>
                <c:pt idx="5">
                  <c:v>0.55200000000000005</c:v>
                </c:pt>
              </c:numCache>
            </c:numRef>
          </c:xVal>
          <c:yVal>
            <c:numRef>
              <c:f>'D5(a)'!$D$13:$D$18</c:f>
              <c:numCache>
                <c:formatCode>0.000</c:formatCode>
                <c:ptCount val="6"/>
                <c:pt idx="0">
                  <c:v>2.7322404371584708</c:v>
                </c:pt>
                <c:pt idx="1">
                  <c:v>2.7548209366391183</c:v>
                </c:pt>
                <c:pt idx="2">
                  <c:v>2.8011204481792715</c:v>
                </c:pt>
                <c:pt idx="3">
                  <c:v>4.166666666666667</c:v>
                </c:pt>
                <c:pt idx="4">
                  <c:v>4.2735042735042734</c:v>
                </c:pt>
                <c:pt idx="5">
                  <c:v>5.0505050505050519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1-4416-A266-0C3CC79A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55568"/>
        <c:axId val="593149336"/>
      </c:scatterChart>
      <c:valAx>
        <c:axId val="59315556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1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3149336"/>
        <c:crosses val="autoZero"/>
        <c:crossBetween val="midCat"/>
      </c:valAx>
      <c:valAx>
        <c:axId val="59314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100"/>
                  <a:t>1/(y-x)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31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19006</xdr:colOff>
      <xdr:row>2</xdr:row>
      <xdr:rowOff>0</xdr:rowOff>
    </xdr:from>
    <xdr:ext cx="3629025" cy="1125972"/>
    <xdr:pic>
      <xdr:nvPicPr>
        <xdr:cNvPr id="2" name="Imagen 22">
          <a:extLst>
            <a:ext uri="{FF2B5EF4-FFF2-40B4-BE49-F238E27FC236}">
              <a16:creationId xmlns:a16="http://schemas.microsoft.com/office/drawing/2014/main" id="{5956BAA3-7E16-477A-B9FB-C02C8FA62BA0}"/>
            </a:ext>
            <a:ext uri="{147F2762-F138-4A5C-976F-8EAC2B608ADB}">
              <a16:predDERef xmlns:a16="http://schemas.microsoft.com/office/drawing/2014/main" pred="{CD3BAFE9-0588-4731-8F11-E202B0954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2069" y="0"/>
          <a:ext cx="3629025" cy="11259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12</xdr:col>
      <xdr:colOff>70717</xdr:colOff>
      <xdr:row>2</xdr:row>
      <xdr:rowOff>0</xdr:rowOff>
    </xdr:from>
    <xdr:ext cx="2308225" cy="1129393"/>
    <xdr:pic>
      <xdr:nvPicPr>
        <xdr:cNvPr id="3" name="Imagen 24">
          <a:extLst>
            <a:ext uri="{FF2B5EF4-FFF2-40B4-BE49-F238E27FC236}">
              <a16:creationId xmlns:a16="http://schemas.microsoft.com/office/drawing/2014/main" id="{0ACCEEC1-303B-410A-8707-365FAD4E3BC6}"/>
            </a:ext>
            <a:ext uri="{147F2762-F138-4A5C-976F-8EAC2B608ADB}">
              <a16:predDERef xmlns:a16="http://schemas.microsoft.com/office/drawing/2014/main" pred="{A804822F-9C15-437E-A0FF-25A500DD7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4931" y="0"/>
          <a:ext cx="2308225" cy="112939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>
    <xdr:from>
      <xdr:col>5</xdr:col>
      <xdr:colOff>722843</xdr:colOff>
      <xdr:row>9</xdr:row>
      <xdr:rowOff>76730</xdr:rowOff>
    </xdr:from>
    <xdr:to>
      <xdr:col>13</xdr:col>
      <xdr:colOff>118339</xdr:colOff>
      <xdr:row>26</xdr:row>
      <xdr:rowOff>31749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3E377E-3E27-4D79-9F0C-6783D2080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77931</xdr:colOff>
      <xdr:row>35</xdr:row>
      <xdr:rowOff>32038</xdr:rowOff>
    </xdr:from>
    <xdr:ext cx="5711151" cy="6029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F0DC6AA-9B2C-4AD3-BA47-E5513D61D2AC}"/>
                </a:ext>
              </a:extLst>
            </xdr:cNvPr>
            <xdr:cNvSpPr txBox="1"/>
          </xdr:nvSpPr>
          <xdr:spPr>
            <a:xfrm>
              <a:off x="77931" y="6339705"/>
              <a:ext cx="5711151" cy="60296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den>
                    </m:f>
                    <m:r>
                      <a:rPr lang="es-EC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𝒇</m:t>
                    </m:r>
                    <m:d>
                      <m:d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EC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𝟓𝟏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𝟕𝟒𝟏</m:t>
                    </m:r>
                    <m:sSup>
                      <m:sSup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p>
                    <m:r>
                      <a:rPr lang="es-EC" sz="16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𝟑𝟑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𝟗𝟎𝟒</m:t>
                    </m:r>
                    <m:sSup>
                      <m:sSup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s-EC" sz="16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𝟖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𝟖𝟖𝟑𝟐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𝟕𝟕𝟑</m:t>
                    </m:r>
                  </m:oMath>
                </m:oMathPara>
              </a14:m>
              <a:endParaRPr lang="es-EC" sz="1600" b="1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F0DC6AA-9B2C-4AD3-BA47-E5513D61D2AC}"/>
                </a:ext>
              </a:extLst>
            </xdr:cNvPr>
            <xdr:cNvSpPr txBox="1"/>
          </xdr:nvSpPr>
          <xdr:spPr>
            <a:xfrm>
              <a:off x="77931" y="6339705"/>
              <a:ext cx="5711151" cy="60296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EC" sz="1600" b="1" i="0">
                  <a:latin typeface="Cambria Math" panose="02040503050406030204" pitchFamily="18" charset="0"/>
                </a:rPr>
                <a:t>𝟏/(𝒚−𝒙)=𝒇(𝒙)=𝟓𝟏.𝟕𝟒𝟏𝒙^𝟑−𝟑𝟑.𝟗𝟎𝟒𝒙^𝟐+𝟖.𝟖𝟖𝟑𝟐𝒙+𝟏.𝟕𝟕𝟑</a:t>
              </a:r>
              <a:endParaRPr lang="es-EC" sz="16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3C67-13C1-4844-9E9C-CCD32114F600}">
  <dimension ref="A1:X40"/>
  <sheetViews>
    <sheetView tabSelected="1" topLeftCell="A9" zoomScale="90" zoomScaleNormal="90" workbookViewId="0">
      <selection activeCell="D25" sqref="D25"/>
    </sheetView>
  </sheetViews>
  <sheetFormatPr baseColWidth="10" defaultColWidth="9.140625" defaultRowHeight="15" x14ac:dyDescent="0.25"/>
  <cols>
    <col min="1" max="1" width="14.7109375" style="1" customWidth="1"/>
    <col min="2" max="2" width="12.140625" style="1" customWidth="1"/>
    <col min="3" max="3" width="12.42578125" style="1" customWidth="1"/>
    <col min="4" max="4" width="12.7109375" style="1" customWidth="1"/>
    <col min="5" max="5" width="9.140625" style="1"/>
    <col min="6" max="6" width="12.5703125" style="1" customWidth="1"/>
    <col min="7" max="7" width="13.7109375" style="1" customWidth="1"/>
    <col min="8" max="8" width="13.28515625" style="1" customWidth="1"/>
    <col min="9" max="9" width="13.5703125" style="1" customWidth="1"/>
    <col min="10" max="10" width="13.5703125" style="4" customWidth="1"/>
    <col min="11" max="11" width="12.42578125" style="1" customWidth="1"/>
    <col min="12" max="12" width="14" style="1" customWidth="1"/>
    <col min="13" max="13" width="10.85546875" style="1" customWidth="1"/>
    <col min="14" max="15" width="9.140625" style="1" customWidth="1"/>
    <col min="16" max="16" width="9.140625" style="1"/>
    <col min="17" max="18" width="10.85546875" style="1" customWidth="1"/>
    <col min="19" max="20" width="9.140625" style="1"/>
    <col min="21" max="22" width="10.85546875" style="1" customWidth="1"/>
    <col min="23" max="16384" width="9.140625" style="1"/>
  </cols>
  <sheetData>
    <row r="1" spans="1:24" s="4" customFormat="1" ht="15.75" x14ac:dyDescent="0.25">
      <c r="A1" s="21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4" s="4" customFormat="1" ht="15.75" x14ac:dyDescent="0.25">
      <c r="A2" s="22" t="s">
        <v>22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24" s="4" customFormat="1" ht="15" customHeight="1" x14ac:dyDescent="0.25">
      <c r="A3" s="17" t="s">
        <v>19</v>
      </c>
      <c r="B3" s="17"/>
      <c r="C3" s="17"/>
      <c r="D3" s="17"/>
      <c r="E3" s="17"/>
      <c r="F3" s="17"/>
      <c r="G3" s="17"/>
      <c r="H3" s="17"/>
    </row>
    <row r="4" spans="1:24" s="4" customFormat="1" ht="15" customHeight="1" x14ac:dyDescent="0.25">
      <c r="A4" s="17"/>
      <c r="B4" s="17"/>
      <c r="C4" s="17"/>
      <c r="D4" s="17"/>
      <c r="E4" s="17"/>
      <c r="F4" s="17"/>
      <c r="G4" s="17"/>
      <c r="H4" s="17"/>
    </row>
    <row r="5" spans="1:24" s="4" customFormat="1" ht="15" customHeight="1" x14ac:dyDescent="0.25">
      <c r="A5" s="17"/>
      <c r="B5" s="17"/>
      <c r="C5" s="17"/>
      <c r="D5" s="17"/>
      <c r="E5" s="17"/>
      <c r="F5" s="17"/>
      <c r="G5" s="17"/>
      <c r="H5" s="17"/>
    </row>
    <row r="6" spans="1:24" s="4" customFormat="1" ht="15" customHeight="1" x14ac:dyDescent="0.25">
      <c r="A6" s="17"/>
      <c r="B6" s="17"/>
      <c r="C6" s="17"/>
      <c r="D6" s="17"/>
      <c r="E6" s="17"/>
      <c r="F6" s="17"/>
      <c r="G6" s="17"/>
      <c r="H6" s="17"/>
    </row>
    <row r="7" spans="1:24" s="4" customFormat="1" ht="15" customHeight="1" x14ac:dyDescent="0.25">
      <c r="A7" s="17"/>
      <c r="B7" s="17"/>
      <c r="C7" s="17"/>
      <c r="D7" s="17"/>
      <c r="E7" s="17"/>
      <c r="F7" s="17"/>
      <c r="G7" s="17"/>
      <c r="H7" s="17"/>
    </row>
    <row r="8" spans="1:24" s="4" customFormat="1" ht="15" customHeight="1" x14ac:dyDescent="0.25">
      <c r="A8" s="17"/>
      <c r="B8" s="17"/>
      <c r="C8" s="17"/>
      <c r="D8" s="17"/>
      <c r="E8" s="17"/>
      <c r="F8" s="17"/>
      <c r="G8" s="17"/>
      <c r="H8" s="17"/>
    </row>
    <row r="9" spans="1:24" s="4" customFormat="1" ht="15" customHeight="1" x14ac:dyDescent="0.25"/>
    <row r="10" spans="1:24" x14ac:dyDescent="0.25">
      <c r="A10" s="18" t="s">
        <v>16</v>
      </c>
      <c r="B10" s="18"/>
      <c r="C10" s="18"/>
      <c r="D10" s="18"/>
      <c r="E10" s="18"/>
      <c r="F10" s="4"/>
      <c r="G10" s="4"/>
      <c r="H10" s="4"/>
      <c r="I10" s="4"/>
    </row>
    <row r="11" spans="1:24" x14ac:dyDescent="0.25">
      <c r="A11" s="19" t="s">
        <v>8</v>
      </c>
      <c r="B11" s="19"/>
      <c r="C11" s="19"/>
      <c r="D11" s="19"/>
      <c r="F11" s="12"/>
      <c r="G11" s="12"/>
      <c r="H11" s="12"/>
      <c r="I11" s="12"/>
      <c r="J11" s="12"/>
      <c r="K11" s="12"/>
      <c r="L11" s="12"/>
      <c r="M11" s="4"/>
      <c r="N11" s="4"/>
      <c r="O11" s="4"/>
      <c r="P11" s="4"/>
      <c r="Q11" s="4"/>
      <c r="R11" s="4"/>
    </row>
    <row r="12" spans="1:24" x14ac:dyDescent="0.25">
      <c r="A12" s="9" t="s">
        <v>1</v>
      </c>
      <c r="B12" s="9" t="s">
        <v>2</v>
      </c>
      <c r="C12" s="10" t="s">
        <v>7</v>
      </c>
      <c r="D12" s="10" t="s">
        <v>6</v>
      </c>
      <c r="F12" s="4"/>
      <c r="G12" s="4"/>
      <c r="H12" s="4"/>
      <c r="I12" s="4"/>
      <c r="K12" s="4"/>
      <c r="L12" s="4"/>
      <c r="M12" s="4"/>
      <c r="N12" s="4"/>
      <c r="O12" s="4"/>
      <c r="P12" s="4"/>
      <c r="Q12" s="4"/>
      <c r="R12" s="4"/>
    </row>
    <row r="13" spans="1:24" x14ac:dyDescent="0.25">
      <c r="A13" s="14">
        <f>Data!A8</f>
        <v>0.27500000000000002</v>
      </c>
      <c r="B13" s="14">
        <f>Data!B8</f>
        <v>0.6409999999999999</v>
      </c>
      <c r="C13" s="8">
        <f>(B13-A13)</f>
        <v>0.36599999999999988</v>
      </c>
      <c r="D13" s="8">
        <f t="shared" ref="D13:D18" si="0">(1/(C13))</f>
        <v>2.7322404371584708</v>
      </c>
      <c r="F13" s="4"/>
      <c r="G13" s="4"/>
      <c r="H13" s="4"/>
      <c r="I13" s="4"/>
      <c r="K13" s="4"/>
      <c r="L13" s="4"/>
      <c r="M13" s="4"/>
      <c r="N13" s="4"/>
      <c r="O13" s="4"/>
      <c r="P13" s="4"/>
      <c r="Q13" s="4"/>
      <c r="R13" s="4"/>
    </row>
    <row r="14" spans="1:24" x14ac:dyDescent="0.25">
      <c r="A14" s="14">
        <f>Data!A9</f>
        <v>0.29199999999999998</v>
      </c>
      <c r="B14" s="14">
        <f>Data!B9</f>
        <v>0.65500000000000003</v>
      </c>
      <c r="C14" s="6">
        <f t="shared" ref="C14:C18" si="1">(B14-A14)</f>
        <v>0.36300000000000004</v>
      </c>
      <c r="D14" s="6">
        <f t="shared" si="0"/>
        <v>2.7548209366391183</v>
      </c>
      <c r="F14" s="4"/>
      <c r="G14" s="4"/>
      <c r="H14" s="4"/>
      <c r="I14" s="4"/>
      <c r="K14" s="4"/>
      <c r="L14" s="4"/>
      <c r="M14" s="4"/>
      <c r="N14" s="4"/>
      <c r="O14" s="4"/>
      <c r="P14" s="4"/>
      <c r="Q14" s="4"/>
      <c r="R14" s="4"/>
    </row>
    <row r="15" spans="1:24" x14ac:dyDescent="0.25">
      <c r="A15" s="14">
        <f>Data!A10</f>
        <v>0.30499999999999999</v>
      </c>
      <c r="B15" s="14">
        <f>Data!B10</f>
        <v>0.66200000000000003</v>
      </c>
      <c r="C15" s="5">
        <f t="shared" si="1"/>
        <v>0.35700000000000004</v>
      </c>
      <c r="D15" s="5">
        <f t="shared" si="0"/>
        <v>2.8011204481792715</v>
      </c>
      <c r="F15" s="4"/>
      <c r="G15" s="4"/>
      <c r="H15" s="4"/>
      <c r="I15" s="4"/>
      <c r="K15" s="4"/>
      <c r="L15" s="4"/>
      <c r="M15" s="4"/>
      <c r="N15" s="4"/>
      <c r="O15" s="4"/>
      <c r="P15" s="4"/>
      <c r="Q15" s="4"/>
      <c r="R15" s="4"/>
    </row>
    <row r="16" spans="1:24" x14ac:dyDescent="0.25">
      <c r="A16" s="14">
        <f>Data!A11</f>
        <v>0.496</v>
      </c>
      <c r="B16" s="14">
        <f>Data!B11</f>
        <v>0.73599999999999999</v>
      </c>
      <c r="C16" s="6">
        <f t="shared" si="1"/>
        <v>0.24</v>
      </c>
      <c r="D16" s="6">
        <f t="shared" si="0"/>
        <v>4.166666666666667</v>
      </c>
      <c r="F16" s="4"/>
      <c r="G16" s="4"/>
      <c r="H16" s="4"/>
      <c r="I16" s="4"/>
      <c r="K16" s="4"/>
      <c r="L16" s="4"/>
      <c r="M16" s="4"/>
      <c r="N16" s="4"/>
      <c r="O16" s="2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14">
        <f>Data!A12</f>
        <v>0.50600000000000001</v>
      </c>
      <c r="B17" s="14">
        <f>Data!B12</f>
        <v>0.74</v>
      </c>
      <c r="C17" s="5">
        <f t="shared" si="1"/>
        <v>0.23399999999999999</v>
      </c>
      <c r="D17" s="5">
        <f t="shared" si="0"/>
        <v>4.2735042735042734</v>
      </c>
      <c r="F17" s="4"/>
      <c r="G17" s="4"/>
      <c r="H17" s="4"/>
      <c r="I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"/>
    </row>
    <row r="18" spans="1:24" ht="15.75" thickBot="1" x14ac:dyDescent="0.3">
      <c r="A18" s="14">
        <f>Data!A13</f>
        <v>0.55200000000000005</v>
      </c>
      <c r="B18" s="14">
        <f>Data!B13</f>
        <v>0.75</v>
      </c>
      <c r="C18" s="7">
        <f t="shared" si="1"/>
        <v>0.19799999999999995</v>
      </c>
      <c r="D18" s="7">
        <f t="shared" si="0"/>
        <v>5.0505050505050519</v>
      </c>
      <c r="F18" s="4"/>
      <c r="G18" s="4"/>
      <c r="H18" s="4"/>
      <c r="I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"/>
    </row>
    <row r="19" spans="1:24" x14ac:dyDescent="0.25">
      <c r="F19" s="4"/>
      <c r="G19" s="4"/>
      <c r="H19" s="4"/>
      <c r="I19" s="4"/>
      <c r="K19" s="4"/>
      <c r="L19" s="4"/>
      <c r="M19" s="4"/>
      <c r="N19" s="4"/>
      <c r="O19" s="2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20" t="s">
        <v>9</v>
      </c>
      <c r="B20" s="20"/>
      <c r="F20" s="4"/>
      <c r="G20" s="4"/>
      <c r="H20" s="4"/>
      <c r="I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"/>
    </row>
    <row r="21" spans="1:24" x14ac:dyDescent="0.25">
      <c r="A21" s="9" t="s">
        <v>10</v>
      </c>
      <c r="B21" s="16">
        <v>3</v>
      </c>
      <c r="F21" s="4"/>
      <c r="G21" s="4"/>
      <c r="H21" s="4"/>
      <c r="I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5">
      <c r="A22" s="9" t="s">
        <v>0</v>
      </c>
      <c r="B22" s="15">
        <f>0.52</f>
        <v>0.52</v>
      </c>
      <c r="C22" s="1" t="s">
        <v>11</v>
      </c>
      <c r="F22" s="4"/>
      <c r="G22" s="4"/>
      <c r="H22" s="4"/>
      <c r="I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 x14ac:dyDescent="0.25">
      <c r="A23" s="9" t="s">
        <v>20</v>
      </c>
      <c r="B23" s="15">
        <f>0.28</f>
        <v>0.28000000000000003</v>
      </c>
      <c r="F23" s="4"/>
      <c r="G23" s="4"/>
      <c r="H23" s="4"/>
      <c r="I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F24" s="4"/>
      <c r="G24" s="4"/>
      <c r="H24" s="4"/>
      <c r="I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F25" s="4"/>
      <c r="G25" s="4"/>
      <c r="H25" s="4"/>
      <c r="I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5">
      <c r="F26" s="4"/>
      <c r="G26" s="4"/>
      <c r="H26" s="4"/>
      <c r="I26" s="4"/>
      <c r="L26" s="4"/>
      <c r="M26" s="4"/>
      <c r="U26" s="4"/>
      <c r="V26" s="4"/>
      <c r="W26" s="4"/>
      <c r="X26" s="4"/>
    </row>
    <row r="27" spans="1:24" x14ac:dyDescent="0.25">
      <c r="L27" s="4"/>
      <c r="M27" s="4"/>
      <c r="U27" s="4"/>
      <c r="V27" s="4"/>
      <c r="W27" s="4"/>
      <c r="X27" s="4"/>
    </row>
    <row r="28" spans="1:24" x14ac:dyDescent="0.25">
      <c r="A28" s="18" t="s">
        <v>23</v>
      </c>
      <c r="B28" s="18"/>
      <c r="C28" s="18"/>
      <c r="D28" s="18"/>
      <c r="E28" s="18"/>
      <c r="F28" s="12"/>
      <c r="L28" s="4"/>
      <c r="M28" s="4"/>
      <c r="U28" s="4"/>
      <c r="V28" s="4"/>
      <c r="W28" s="4"/>
      <c r="X28" s="4"/>
    </row>
    <row r="29" spans="1:24" x14ac:dyDescent="0.25">
      <c r="A29" s="1" t="s">
        <v>15</v>
      </c>
      <c r="F29" s="3"/>
      <c r="G29" s="3"/>
      <c r="H29" s="3"/>
      <c r="I29" s="4"/>
      <c r="K29" s="4"/>
      <c r="L29" s="4"/>
      <c r="M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5">
      <c r="A30" s="10" t="s">
        <v>5</v>
      </c>
      <c r="B30" s="6">
        <f>B23</f>
        <v>0.28000000000000003</v>
      </c>
      <c r="C30" s="1" t="s">
        <v>14</v>
      </c>
      <c r="E30" s="4"/>
      <c r="F30" s="4"/>
      <c r="H30" s="4"/>
      <c r="I30" s="4"/>
      <c r="K30" s="4"/>
      <c r="L30" s="4"/>
      <c r="M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5">
      <c r="A31" s="10" t="s">
        <v>3</v>
      </c>
      <c r="B31" s="6">
        <f>(51.741*((B22^4)/4) - 33.904*((B22^3)/3) + 8.8832*((B22^2)/2)+1.773*(B22))-(51.741*((B30^4)/4) - 33.904*((B30^3)/3) + 8.8832*((B30^2)/2)+1.773*(B30))</f>
        <v>0.80360471040000003</v>
      </c>
      <c r="C31" s="1" t="s">
        <v>18</v>
      </c>
      <c r="E31" s="4"/>
      <c r="F31" s="4"/>
      <c r="G31" s="4"/>
      <c r="H31" s="4"/>
      <c r="I31" s="4"/>
      <c r="K31" s="4"/>
      <c r="L31" s="4"/>
      <c r="M31" s="4"/>
      <c r="P31" s="4"/>
      <c r="Q31" s="4"/>
      <c r="R31" s="4"/>
      <c r="S31" s="4"/>
      <c r="T31" s="4"/>
      <c r="U31" s="4"/>
      <c r="V31" s="4"/>
      <c r="W31" s="4"/>
      <c r="X31" s="4"/>
    </row>
    <row r="32" spans="1:24" s="4" customFormat="1" x14ac:dyDescent="0.25">
      <c r="A32" s="10" t="s">
        <v>12</v>
      </c>
      <c r="B32" s="11">
        <f>B21*EXP(-B31)</f>
        <v>1.3431365372964961</v>
      </c>
    </row>
    <row r="33" spans="1:24" x14ac:dyDescent="0.25">
      <c r="A33" s="13" t="s">
        <v>13</v>
      </c>
      <c r="B33" s="11">
        <f>B21-B32</f>
        <v>1.6568634627035039</v>
      </c>
      <c r="E33" s="4"/>
      <c r="F33" s="4"/>
      <c r="G33" s="4"/>
      <c r="H33" s="4"/>
      <c r="I33" s="4"/>
      <c r="K33" s="4"/>
      <c r="L33" s="4"/>
      <c r="M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5">
      <c r="A34" s="10" t="s">
        <v>4</v>
      </c>
      <c r="B34" s="6">
        <f>(B21*B22-B32*B30)/(B21-B32)</f>
        <v>0.71455602480676106</v>
      </c>
      <c r="E34" s="4"/>
      <c r="F34" s="4"/>
      <c r="H34" s="4"/>
      <c r="I34" s="4"/>
      <c r="K34" s="4"/>
      <c r="L34" s="4"/>
      <c r="M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5">
      <c r="H35" s="4"/>
      <c r="I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5">
      <c r="H36" s="4"/>
      <c r="I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4" x14ac:dyDescent="0.25">
      <c r="F37" s="4"/>
      <c r="G37" s="4"/>
      <c r="H37" s="4"/>
      <c r="I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4" x14ac:dyDescent="0.25">
      <c r="F38" s="4"/>
      <c r="G38" s="4"/>
      <c r="H38" s="4"/>
      <c r="I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40" spans="1:24" x14ac:dyDescent="0.25">
      <c r="A40" s="18" t="s">
        <v>17</v>
      </c>
      <c r="B40" s="18"/>
      <c r="C40" s="18"/>
      <c r="D40" s="18"/>
      <c r="E40" s="18"/>
      <c r="F40" s="18"/>
    </row>
  </sheetData>
  <mergeCells count="8">
    <mergeCell ref="A1:P1"/>
    <mergeCell ref="A2:P2"/>
    <mergeCell ref="A3:H8"/>
    <mergeCell ref="A40:F40"/>
    <mergeCell ref="A28:E28"/>
    <mergeCell ref="A10:E10"/>
    <mergeCell ref="A11:D11"/>
    <mergeCell ref="A20:B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150F-B8A5-46EF-AE56-466EDDCC6571}">
  <dimension ref="A1:B28"/>
  <sheetViews>
    <sheetView workbookViewId="0">
      <selection activeCell="A8" sqref="A8"/>
    </sheetView>
  </sheetViews>
  <sheetFormatPr baseColWidth="10"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f>0/100</f>
        <v>0</v>
      </c>
      <c r="B2">
        <v>0</v>
      </c>
    </row>
    <row r="3" spans="1:2" x14ac:dyDescent="0.25">
      <c r="A3">
        <f>3.9/100</f>
        <v>3.9E-2</v>
      </c>
      <c r="B3">
        <f>26.7/100</f>
        <v>0.26700000000000002</v>
      </c>
    </row>
    <row r="4" spans="1:2" x14ac:dyDescent="0.25">
      <c r="A4">
        <f>4.7/100</f>
        <v>4.7E-2</v>
      </c>
      <c r="B4">
        <f>29.9/100</f>
        <v>0.29899999999999999</v>
      </c>
    </row>
    <row r="5" spans="1:2" x14ac:dyDescent="0.25">
      <c r="A5">
        <f>5.5/100</f>
        <v>5.5E-2</v>
      </c>
      <c r="B5">
        <f>32.3/100</f>
        <v>0.32299999999999995</v>
      </c>
    </row>
    <row r="6" spans="1:2" x14ac:dyDescent="0.25">
      <c r="A6">
        <f>7/100</f>
        <v>7.0000000000000007E-2</v>
      </c>
      <c r="B6">
        <f>35.2/100</f>
        <v>0.35200000000000004</v>
      </c>
    </row>
    <row r="7" spans="1:2" x14ac:dyDescent="0.25">
      <c r="A7">
        <f>25.7/100</f>
        <v>0.25700000000000001</v>
      </c>
      <c r="B7">
        <f>62.9/100</f>
        <v>0.629</v>
      </c>
    </row>
    <row r="8" spans="1:2" x14ac:dyDescent="0.25">
      <c r="A8">
        <f>27.5/100</f>
        <v>0.27500000000000002</v>
      </c>
      <c r="B8">
        <f>64.1/100</f>
        <v>0.6409999999999999</v>
      </c>
    </row>
    <row r="9" spans="1:2" x14ac:dyDescent="0.25">
      <c r="A9">
        <f>29.2/100</f>
        <v>0.29199999999999998</v>
      </c>
      <c r="B9">
        <f>65.5/100</f>
        <v>0.65500000000000003</v>
      </c>
    </row>
    <row r="10" spans="1:2" x14ac:dyDescent="0.25">
      <c r="A10">
        <f>30.5/100</f>
        <v>0.30499999999999999</v>
      </c>
      <c r="B10">
        <f>66.2/100</f>
        <v>0.66200000000000003</v>
      </c>
    </row>
    <row r="11" spans="1:2" x14ac:dyDescent="0.25">
      <c r="A11">
        <f>49.6/100</f>
        <v>0.496</v>
      </c>
      <c r="B11">
        <f>73.6/100</f>
        <v>0.73599999999999999</v>
      </c>
    </row>
    <row r="12" spans="1:2" x14ac:dyDescent="0.25">
      <c r="A12">
        <f>50.6/100</f>
        <v>0.50600000000000001</v>
      </c>
      <c r="B12">
        <f>74/100</f>
        <v>0.74</v>
      </c>
    </row>
    <row r="13" spans="1:2" x14ac:dyDescent="0.25">
      <c r="A13">
        <f>55.2/100</f>
        <v>0.55200000000000005</v>
      </c>
      <c r="B13">
        <f>75/100</f>
        <v>0.75</v>
      </c>
    </row>
    <row r="14" spans="1:2" x14ac:dyDescent="0.25">
      <c r="A14">
        <f>56.4/100</f>
        <v>0.56399999999999995</v>
      </c>
      <c r="B14">
        <f>75.2/100</f>
        <v>0.752</v>
      </c>
    </row>
    <row r="15" spans="1:2" x14ac:dyDescent="0.25">
      <c r="A15">
        <f>57.1/100</f>
        <v>0.57100000000000006</v>
      </c>
      <c r="B15">
        <f>74.8/100</f>
        <v>0.748</v>
      </c>
    </row>
    <row r="16" spans="1:2" x14ac:dyDescent="0.25">
      <c r="A16">
        <f>57.3/100</f>
        <v>0.57299999999999995</v>
      </c>
      <c r="B16">
        <f>75/100</f>
        <v>0.75</v>
      </c>
    </row>
    <row r="17" spans="1:2" x14ac:dyDescent="0.25">
      <c r="A17">
        <f>97.5/100</f>
        <v>0.97499999999999998</v>
      </c>
      <c r="B17">
        <f>75.2/100</f>
        <v>0.752</v>
      </c>
    </row>
    <row r="18" spans="1:2" x14ac:dyDescent="0.25">
      <c r="A18">
        <f>98/100</f>
        <v>0.98</v>
      </c>
      <c r="B18">
        <f>75.6/100</f>
        <v>0.75599999999999989</v>
      </c>
    </row>
    <row r="19" spans="1:2" x14ac:dyDescent="0.25">
      <c r="A19">
        <f>98.2/100</f>
        <v>0.98199999999999998</v>
      </c>
      <c r="B19">
        <f>75.8/100</f>
        <v>0.75800000000000001</v>
      </c>
    </row>
    <row r="20" spans="1:2" x14ac:dyDescent="0.25">
      <c r="A20">
        <f>98.5/100</f>
        <v>0.98499999999999999</v>
      </c>
      <c r="B20">
        <f>77.5/100</f>
        <v>0.77500000000000002</v>
      </c>
    </row>
    <row r="21" spans="1:2" x14ac:dyDescent="0.25">
      <c r="A21">
        <f>98.6/100</f>
        <v>0.98599999999999999</v>
      </c>
      <c r="B21">
        <f>78.4/100</f>
        <v>0.78400000000000003</v>
      </c>
    </row>
    <row r="22" spans="1:2" x14ac:dyDescent="0.25">
      <c r="A22">
        <f>98.8/100</f>
        <v>0.98799999999999999</v>
      </c>
      <c r="B22">
        <f>80.8/100</f>
        <v>0.80799999999999994</v>
      </c>
    </row>
    <row r="23" spans="1:2" x14ac:dyDescent="0.25">
      <c r="A23">
        <f>99.2/100</f>
        <v>0.99199999999999999</v>
      </c>
      <c r="B23">
        <f>84.3/100</f>
        <v>0.84299999999999997</v>
      </c>
    </row>
    <row r="24" spans="1:2" x14ac:dyDescent="0.25">
      <c r="A24">
        <f>99.4/100</f>
        <v>0.99400000000000011</v>
      </c>
      <c r="B24">
        <f>88.4/100</f>
        <v>0.88400000000000001</v>
      </c>
    </row>
    <row r="25" spans="1:2" x14ac:dyDescent="0.25">
      <c r="A25">
        <f>99.7/100</f>
        <v>0.997</v>
      </c>
      <c r="B25">
        <f>92.9/100</f>
        <v>0.92900000000000005</v>
      </c>
    </row>
    <row r="26" spans="1:2" x14ac:dyDescent="0.25">
      <c r="A26">
        <f>99.8/100</f>
        <v>0.998</v>
      </c>
      <c r="B26">
        <f>95.1/100</f>
        <v>0.95099999999999996</v>
      </c>
    </row>
    <row r="27" spans="1:2" x14ac:dyDescent="0.25">
      <c r="A27">
        <f>99.9/100</f>
        <v>0.99900000000000011</v>
      </c>
      <c r="B27">
        <f>98.1/100</f>
        <v>0.98099999999999998</v>
      </c>
    </row>
    <row r="28" spans="1:2" x14ac:dyDescent="0.25">
      <c r="A28">
        <f>100/100</f>
        <v>1</v>
      </c>
      <c r="B28">
        <f>100/100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E1623B09B9E544A394D9394642F82F" ma:contentTypeVersion="5" ma:contentTypeDescription="Crear nuevo documento." ma:contentTypeScope="" ma:versionID="4f773e4cdffcb6648ce173a468382988">
  <xsd:schema xmlns:xsd="http://www.w3.org/2001/XMLSchema" xmlns:xs="http://www.w3.org/2001/XMLSchema" xmlns:p="http://schemas.microsoft.com/office/2006/metadata/properties" xmlns:ns2="b5ed8410-a5c3-483e-a862-3591c8a9c337" targetNamespace="http://schemas.microsoft.com/office/2006/metadata/properties" ma:root="true" ma:fieldsID="ade812be3defae105b0d014a7fd2df55" ns2:_="">
    <xsd:import namespace="b5ed8410-a5c3-483e-a862-3591c8a9c3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ed8410-a5c3-483e-a862-3591c8a9c3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9540B5-D91F-49FC-9443-BB834ACFB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ed8410-a5c3-483e-a862-3591c8a9c3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E27BB-CFA9-4896-8C60-23822D1D4C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A3D43C-FE7B-45D8-987B-AC574CD093D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D5(a)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baratodo</dc:creator>
  <cp:lastModifiedBy>Usuario de Windows</cp:lastModifiedBy>
  <dcterms:created xsi:type="dcterms:W3CDTF">2020-11-12T21:31:19Z</dcterms:created>
  <dcterms:modified xsi:type="dcterms:W3CDTF">2021-12-19T17:48:14Z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0x0101008DE1623B09B9E544A394D9394642F82F</vt:lpwstr>
  </property>
</Properties>
</file>