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Temporário\Paineis BI\Análise Trimestral de Indicadores\Para Enviar\"/>
    </mc:Choice>
  </mc:AlternateContent>
  <xr:revisionPtr revIDLastSave="0" documentId="8_{91946E01-97D9-437E-8A4F-E32D989C7134}" xr6:coauthVersionLast="36" xr6:coauthVersionMax="36" xr10:uidLastSave="{00000000-0000-0000-0000-000000000000}"/>
  <bookViews>
    <workbookView xWindow="0" yWindow="0" windowWidth="28800" windowHeight="12105" tabRatio="500" xr2:uid="{00000000-000D-0000-FFFF-FFFF00000000}"/>
  </bookViews>
  <sheets>
    <sheet name="TABELA DE UNIDADES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F4" i="1" l="1"/>
  <c r="F5" i="1"/>
  <c r="F3" i="1"/>
  <c r="F2" i="1"/>
  <c r="F25" i="1" l="1"/>
  <c r="F24" i="1" l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E3" i="1"/>
  <c r="E21" i="1"/>
  <c r="D21" i="1"/>
  <c r="H21" i="1"/>
  <c r="P21" i="1" l="1"/>
  <c r="L21" i="1"/>
  <c r="I21" i="1"/>
  <c r="J21" i="1" l="1"/>
  <c r="Q21" i="1"/>
  <c r="M21" i="1"/>
  <c r="E2" i="1"/>
  <c r="K21" i="1" l="1"/>
  <c r="R21" i="1"/>
  <c r="N21" i="1"/>
  <c r="E23" i="1"/>
  <c r="E22" i="1"/>
  <c r="S21" i="1" l="1"/>
  <c r="O21" i="1"/>
  <c r="E24" i="1"/>
  <c r="E16" i="1"/>
  <c r="E25" i="1" s="1"/>
  <c r="E7" i="1"/>
  <c r="E15" i="1"/>
  <c r="E14" i="1"/>
  <c r="E13" i="1"/>
  <c r="E17" i="1"/>
  <c r="E19" i="1"/>
  <c r="E10" i="1"/>
  <c r="E9" i="1"/>
  <c r="E18" i="1"/>
  <c r="E11" i="1"/>
  <c r="E8" i="1"/>
  <c r="E12" i="1"/>
  <c r="E20" i="1"/>
  <c r="E6" i="1"/>
  <c r="E5" i="1"/>
  <c r="E4" i="1"/>
  <c r="D2" i="1"/>
  <c r="D17" i="1" l="1"/>
  <c r="D22" i="1"/>
  <c r="D23" i="1"/>
  <c r="D13" i="1"/>
  <c r="D5" i="1"/>
  <c r="D7" i="1" l="1"/>
  <c r="D25" i="1" s="1"/>
  <c r="D16" i="1"/>
  <c r="D24" i="1"/>
  <c r="D8" i="1"/>
  <c r="D19" i="1"/>
  <c r="D10" i="1"/>
  <c r="D9" i="1"/>
  <c r="D18" i="1"/>
  <c r="D11" i="1"/>
  <c r="D15" i="1"/>
  <c r="D12" i="1"/>
  <c r="D14" i="1"/>
  <c r="D20" i="1"/>
  <c r="D6" i="1"/>
  <c r="D4" i="1"/>
  <c r="D3" i="1"/>
  <c r="B147" i="2" l="1"/>
  <c r="B145" i="2"/>
  <c r="B143" i="2"/>
  <c r="B136" i="2"/>
  <c r="B134" i="2"/>
  <c r="B132" i="2"/>
  <c r="B130" i="2"/>
  <c r="B122" i="2"/>
  <c r="B94" i="2"/>
  <c r="B92" i="2"/>
  <c r="B85" i="2"/>
  <c r="B80" i="2"/>
  <c r="B73" i="2"/>
  <c r="B71" i="2"/>
  <c r="B63" i="2"/>
  <c r="B60" i="2"/>
  <c r="B57" i="2"/>
  <c r="B52" i="2"/>
  <c r="B47" i="2"/>
  <c r="B20" i="2"/>
  <c r="B7" i="2"/>
  <c r="B4" i="2"/>
  <c r="H7" i="1"/>
  <c r="B148" i="2" l="1"/>
  <c r="B149" i="2" s="1"/>
  <c r="L7" i="1"/>
  <c r="I7" i="1"/>
  <c r="P7" i="1"/>
  <c r="H8" i="1"/>
  <c r="I8" i="1" s="1"/>
  <c r="M7" i="1" l="1"/>
  <c r="J7" i="1"/>
  <c r="Q7" i="1"/>
  <c r="J8" i="1"/>
  <c r="Q8" i="1"/>
  <c r="M8" i="1"/>
  <c r="L8" i="1"/>
  <c r="P8" i="1"/>
  <c r="K7" i="1" l="1"/>
  <c r="N7" i="1"/>
  <c r="R7" i="1"/>
  <c r="K8" i="1"/>
  <c r="R8" i="1"/>
  <c r="N8" i="1"/>
  <c r="S7" i="1" l="1"/>
  <c r="O7" i="1"/>
  <c r="S8" i="1"/>
  <c r="O8" i="1"/>
  <c r="H2" i="1" l="1"/>
  <c r="I2" i="1" s="1"/>
  <c r="C25" i="1"/>
  <c r="H24" i="1"/>
  <c r="P24" i="1" s="1"/>
  <c r="H23" i="1"/>
  <c r="L23" i="1" s="1"/>
  <c r="H16" i="1"/>
  <c r="L16" i="1" s="1"/>
  <c r="H13" i="1"/>
  <c r="P13" i="1" s="1"/>
  <c r="H11" i="1"/>
  <c r="L11" i="1" s="1"/>
  <c r="H10" i="1"/>
  <c r="L10" i="1" s="1"/>
  <c r="H6" i="1"/>
  <c r="P6" i="1" s="1"/>
  <c r="H4" i="1"/>
  <c r="P4" i="1" s="1"/>
  <c r="H19" i="1" l="1"/>
  <c r="I19" i="1" s="1"/>
  <c r="H17" i="1"/>
  <c r="L24" i="1"/>
  <c r="H18" i="1"/>
  <c r="P18" i="1" s="1"/>
  <c r="H3" i="1"/>
  <c r="P3" i="1" s="1"/>
  <c r="H12" i="1"/>
  <c r="L12" i="1" s="1"/>
  <c r="H9" i="1"/>
  <c r="L9" i="1" s="1"/>
  <c r="H20" i="1"/>
  <c r="L20" i="1" s="1"/>
  <c r="H5" i="1"/>
  <c r="L5" i="1" s="1"/>
  <c r="H15" i="1"/>
  <c r="L15" i="1" s="1"/>
  <c r="H22" i="1"/>
  <c r="P22" i="1" s="1"/>
  <c r="I24" i="1"/>
  <c r="J24" i="1" s="1"/>
  <c r="N24" i="1" s="1"/>
  <c r="H14" i="1"/>
  <c r="I14" i="1" s="1"/>
  <c r="P10" i="1"/>
  <c r="I16" i="1"/>
  <c r="Q16" i="1" s="1"/>
  <c r="I11" i="1"/>
  <c r="Q11" i="1" s="1"/>
  <c r="P2" i="1"/>
  <c r="L2" i="1"/>
  <c r="I10" i="1"/>
  <c r="P23" i="1"/>
  <c r="L4" i="1"/>
  <c r="L13" i="1"/>
  <c r="I23" i="1"/>
  <c r="I6" i="1"/>
  <c r="L6" i="1"/>
  <c r="I4" i="1"/>
  <c r="P11" i="1"/>
  <c r="P16" i="1"/>
  <c r="R24" i="1" l="1"/>
  <c r="M24" i="1"/>
  <c r="P9" i="1"/>
  <c r="L14" i="1"/>
  <c r="P14" i="1"/>
  <c r="K24" i="1"/>
  <c r="O24" i="1" s="1"/>
  <c r="I5" i="1"/>
  <c r="Q5" i="1" s="1"/>
  <c r="I13" i="1"/>
  <c r="J13" i="1" s="1"/>
  <c r="I9" i="1"/>
  <c r="J9" i="1" s="1"/>
  <c r="P5" i="1"/>
  <c r="I17" i="1"/>
  <c r="Q17" i="1" s="1"/>
  <c r="I12" i="1"/>
  <c r="Q12" i="1" s="1"/>
  <c r="P12" i="1"/>
  <c r="P17" i="1"/>
  <c r="L17" i="1"/>
  <c r="J19" i="1"/>
  <c r="L3" i="1"/>
  <c r="Q24" i="1"/>
  <c r="H25" i="1"/>
  <c r="I22" i="1"/>
  <c r="J22" i="1" s="1"/>
  <c r="L22" i="1"/>
  <c r="P19" i="1"/>
  <c r="P20" i="1"/>
  <c r="L19" i="1"/>
  <c r="I20" i="1"/>
  <c r="J20" i="1" s="1"/>
  <c r="I15" i="1"/>
  <c r="J15" i="1" s="1"/>
  <c r="I18" i="1"/>
  <c r="M18" i="1" s="1"/>
  <c r="L18" i="1"/>
  <c r="P15" i="1"/>
  <c r="I3" i="1"/>
  <c r="Q3" i="1" s="1"/>
  <c r="M16" i="1"/>
  <c r="J16" i="1"/>
  <c r="K16" i="1" s="1"/>
  <c r="M11" i="1"/>
  <c r="J11" i="1"/>
  <c r="K11" i="1" s="1"/>
  <c r="M2" i="1"/>
  <c r="J2" i="1"/>
  <c r="Q2" i="1"/>
  <c r="M6" i="1"/>
  <c r="Q6" i="1"/>
  <c r="J6" i="1"/>
  <c r="J14" i="1"/>
  <c r="M14" i="1"/>
  <c r="Q14" i="1"/>
  <c r="M10" i="1"/>
  <c r="J10" i="1"/>
  <c r="Q10" i="1"/>
  <c r="J23" i="1"/>
  <c r="Q23" i="1"/>
  <c r="M23" i="1"/>
  <c r="M4" i="1"/>
  <c r="J4" i="1"/>
  <c r="Q4" i="1"/>
  <c r="Q19" i="1"/>
  <c r="M19" i="1"/>
  <c r="S24" i="1" l="1"/>
  <c r="M13" i="1"/>
  <c r="Q13" i="1"/>
  <c r="Q9" i="1"/>
  <c r="M5" i="1"/>
  <c r="M17" i="1"/>
  <c r="J17" i="1"/>
  <c r="N17" i="1" s="1"/>
  <c r="J5" i="1"/>
  <c r="K5" i="1" s="1"/>
  <c r="G25" i="1"/>
  <c r="M9" i="1"/>
  <c r="J12" i="1"/>
  <c r="R12" i="1" s="1"/>
  <c r="M12" i="1"/>
  <c r="M20" i="1"/>
  <c r="Q20" i="1"/>
  <c r="P25" i="1"/>
  <c r="M15" i="1"/>
  <c r="L25" i="1"/>
  <c r="Q15" i="1"/>
  <c r="Q22" i="1"/>
  <c r="N19" i="1"/>
  <c r="K19" i="1"/>
  <c r="M22" i="1"/>
  <c r="M3" i="1"/>
  <c r="J3" i="1"/>
  <c r="J18" i="1"/>
  <c r="N18" i="1" s="1"/>
  <c r="I25" i="1"/>
  <c r="Q18" i="1"/>
  <c r="N16" i="1"/>
  <c r="R16" i="1"/>
  <c r="N11" i="1"/>
  <c r="R11" i="1"/>
  <c r="N13" i="1"/>
  <c r="K13" i="1"/>
  <c r="R13" i="1"/>
  <c r="K23" i="1"/>
  <c r="R23" i="1"/>
  <c r="N23" i="1"/>
  <c r="R22" i="1"/>
  <c r="N22" i="1"/>
  <c r="K22" i="1"/>
  <c r="K2" i="1"/>
  <c r="N2" i="1"/>
  <c r="R2" i="1"/>
  <c r="K10" i="1"/>
  <c r="N10" i="1"/>
  <c r="R10" i="1"/>
  <c r="R19" i="1"/>
  <c r="S16" i="1"/>
  <c r="O16" i="1"/>
  <c r="K20" i="1"/>
  <c r="N20" i="1"/>
  <c r="R20" i="1"/>
  <c r="K15" i="1"/>
  <c r="N15" i="1"/>
  <c r="R15" i="1"/>
  <c r="R9" i="1"/>
  <c r="N9" i="1"/>
  <c r="K9" i="1"/>
  <c r="S11" i="1"/>
  <c r="O11" i="1"/>
  <c r="N4" i="1"/>
  <c r="R4" i="1"/>
  <c r="K4" i="1"/>
  <c r="N6" i="1"/>
  <c r="K6" i="1"/>
  <c r="R6" i="1"/>
  <c r="R14" i="1"/>
  <c r="N14" i="1"/>
  <c r="K14" i="1"/>
  <c r="N5" i="1" l="1"/>
  <c r="R5" i="1"/>
  <c r="R17" i="1"/>
  <c r="K17" i="1"/>
  <c r="O17" i="1" s="1"/>
  <c r="M25" i="1"/>
  <c r="K12" i="1"/>
  <c r="S12" i="1" s="1"/>
  <c r="N12" i="1"/>
  <c r="Q25" i="1"/>
  <c r="J25" i="1"/>
  <c r="R18" i="1"/>
  <c r="R3" i="1"/>
  <c r="K3" i="1"/>
  <c r="S3" i="1" s="1"/>
  <c r="N3" i="1"/>
  <c r="K18" i="1"/>
  <c r="S20" i="1"/>
  <c r="O20" i="1"/>
  <c r="O13" i="1"/>
  <c r="S13" i="1"/>
  <c r="S23" i="1"/>
  <c r="O23" i="1"/>
  <c r="O10" i="1"/>
  <c r="S10" i="1"/>
  <c r="O22" i="1"/>
  <c r="S22" i="1"/>
  <c r="S14" i="1"/>
  <c r="O14" i="1"/>
  <c r="O2" i="1"/>
  <c r="S2" i="1"/>
  <c r="S5" i="1"/>
  <c r="O5" i="1"/>
  <c r="S6" i="1"/>
  <c r="O6" i="1"/>
  <c r="S19" i="1"/>
  <c r="O19" i="1"/>
  <c r="O4" i="1"/>
  <c r="S4" i="1"/>
  <c r="O9" i="1"/>
  <c r="S9" i="1"/>
  <c r="O15" i="1"/>
  <c r="S15" i="1"/>
  <c r="O12" i="1" l="1"/>
  <c r="R25" i="1"/>
  <c r="S17" i="1"/>
  <c r="N25" i="1"/>
  <c r="K25" i="1"/>
  <c r="O3" i="1"/>
  <c r="S18" i="1"/>
  <c r="S25" i="1" s="1"/>
  <c r="O18" i="1"/>
  <c r="O25" i="1" l="1"/>
</calcChain>
</file>

<file path=xl/sharedStrings.xml><?xml version="1.0" encoding="utf-8"?>
<sst xmlns="http://schemas.openxmlformats.org/spreadsheetml/2006/main" count="92" uniqueCount="75">
  <si>
    <t>SECRETARIA VINCULADA</t>
  </si>
  <si>
    <t>NOME UG</t>
  </si>
  <si>
    <t>Orçamento Anual</t>
  </si>
  <si>
    <t>Movimentação Liquida Orçamentária 1ºTrimestre</t>
  </si>
  <si>
    <t>Movimentação Liquida Orçamentária 2ºTrimestre</t>
  </si>
  <si>
    <t>Movimentação Liquida Orçamentária 3ºTrimestre</t>
  </si>
  <si>
    <t>Movimentação Liquida Orçamentária 4ºTrimestre</t>
  </si>
  <si>
    <t>Orçamento Ajustado 1º Trimestre</t>
  </si>
  <si>
    <t>Orçamento Ajustado 2º Trimestre</t>
  </si>
  <si>
    <t>Orçamento Ajustado 3º Trimestre</t>
  </si>
  <si>
    <t>Orçamento Ajustado 4º Trimestre</t>
  </si>
  <si>
    <t>Meta Execução do 1º Trimestre</t>
  </si>
  <si>
    <t>Meta Execução do 2º Trimestre</t>
  </si>
  <si>
    <t>Meta Execução do 3º Trimestre</t>
  </si>
  <si>
    <t>Meta Execução do 4º Trimestre</t>
  </si>
  <si>
    <t>Meta de Execução de Pgt. 1º Trimestre</t>
  </si>
  <si>
    <t>Meta de Execução de Pgt. 2º Trimestre</t>
  </si>
  <si>
    <t>Meta de Execução de Pgt. 3º Trimestre</t>
  </si>
  <si>
    <t>Meta de Execução de Pgt. 4º Trimestre</t>
  </si>
  <si>
    <t>EJE</t>
  </si>
  <si>
    <t>ESCOLA JUD. ELEITORAL DE ALAGOAS</t>
  </si>
  <si>
    <t>PRES</t>
  </si>
  <si>
    <t>ASSESS.COMUNICACAO SOCIAL</t>
  </si>
  <si>
    <t>PRESIDENCIA -</t>
  </si>
  <si>
    <t>SAD</t>
  </si>
  <si>
    <t>SECAO DE ADM. PRED. VEIC.</t>
  </si>
  <si>
    <t>SECAO DE ALMOXARIFADO</t>
  </si>
  <si>
    <t>SECAO DE GESTAO FINANCEIRA</t>
  </si>
  <si>
    <t>SECAO DE INSTRUCAO DE CONTRAT</t>
  </si>
  <si>
    <t>COORD. ORCAMENT. E FINANC</t>
  </si>
  <si>
    <t>SECAO DE LICIT. E CONTRATO</t>
  </si>
  <si>
    <t>SECAO DE MANUT. E REPAROS</t>
  </si>
  <si>
    <t>SECAO DE PATRIMONIO</t>
  </si>
  <si>
    <t>SECRET.DE ADMINISTRACAO</t>
  </si>
  <si>
    <t>SECAO DE GESTAO DE CONTRATOS</t>
  </si>
  <si>
    <t>SGP</t>
  </si>
  <si>
    <t>ASSESS. ASSIST. MED. E ODONT.</t>
  </si>
  <si>
    <t>SECAO RECRUT, AVAL E CAPAC FUNC</t>
  </si>
  <si>
    <t>SECAO REG SERV, OF JUS E AUTORID</t>
  </si>
  <si>
    <t>SJ</t>
  </si>
  <si>
    <t>SECAO DE BIBL. EDIT. ARQUIV</t>
  </si>
  <si>
    <t>STI</t>
  </si>
  <si>
    <t>COORD. DE INFRAESTRUTURA</t>
  </si>
  <si>
    <t>COORD. SOLUC. CORPORATIVAS</t>
  </si>
  <si>
    <t>SECRET. TECN.DA INFORMACAO</t>
  </si>
  <si>
    <t>SEC. PROT. ARQUIV. DISTR DE DOC</t>
  </si>
  <si>
    <t>0/70295</t>
  </si>
  <si>
    <t>0/70276</t>
  </si>
  <si>
    <t>UGR</t>
  </si>
  <si>
    <t>VALOR</t>
  </si>
  <si>
    <t>70273 Total</t>
  </si>
  <si>
    <t>70274 Total</t>
  </si>
  <si>
    <t>70276 Total</t>
  </si>
  <si>
    <t>70277 Total</t>
  </si>
  <si>
    <t>70278 Total</t>
  </si>
  <si>
    <t>70279 Total</t>
  </si>
  <si>
    <t>70280 Total</t>
  </si>
  <si>
    <t>70281 Total</t>
  </si>
  <si>
    <t>70282 Total</t>
  </si>
  <si>
    <t>70283 Total</t>
  </si>
  <si>
    <t>70286 Total</t>
  </si>
  <si>
    <t>70289 Total</t>
  </si>
  <si>
    <t>70290 Total</t>
  </si>
  <si>
    <t>70292 Total</t>
  </si>
  <si>
    <t>70295 Total</t>
  </si>
  <si>
    <t>70390 Total</t>
  </si>
  <si>
    <t>70391 Total</t>
  </si>
  <si>
    <t>70392 Total</t>
  </si>
  <si>
    <t>70393 Total</t>
  </si>
  <si>
    <t>70396 Total</t>
  </si>
  <si>
    <t>0/70276 Total</t>
  </si>
  <si>
    <t>0/70295 Total</t>
  </si>
  <si>
    <t>Total Geral</t>
  </si>
  <si>
    <t>ASSESSORIA DE SEGURANÇA INSTITUCIONAL (PRESIDÊNCIA)</t>
  </si>
  <si>
    <t>SECRETARIA JUDICIARIA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</si>
</sst>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;[Red]\-[$R$-416]\ #,##0.00"/>
    <numFmt numFmtId="165" formatCode="_-* #,##0.00_-;\-* #,##0.00_-;_-* \-??_-;_-@_-"/>
  </numFmts>
  <fonts count="10" x14ac:knownFonts="1">
    <font>
      <sz val="10"/>
      <color rgb="FF000000"/>
      <name val="Arial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25396E"/>
      <name val="Arial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</font>
    <font>
      <b/>
      <sz val="8"/>
      <color rgb="FF000000"/>
      <name val="Verdana"/>
    </font>
    <font>
      <b/>
      <sz val="10"/>
      <color rgb="FF000000"/>
      <name val="Arial"/>
      <charset val="1"/>
    </font>
    <font>
      <b/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165" fontId="5" fillId="0" borderId="0" applyBorder="0" applyProtection="0"/>
    <xf numFmtId="0" fontId="6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164" fontId="0" fillId="0" borderId="1" xfId="0" applyNumberFormat="1" applyBorder="1"/>
    <xf numFmtId="164" fontId="0" fillId="3" borderId="1" xfId="0" applyNumberFormat="1" applyFill="1" applyBorder="1" applyProtection="1">
      <protection locked="0"/>
    </xf>
    <xf numFmtId="164" fontId="0" fillId="0" borderId="1" xfId="1" applyNumberFormat="1" applyFont="1" applyBorder="1" applyProtection="1"/>
    <xf numFmtId="164" fontId="4" fillId="0" borderId="1" xfId="0" applyNumberFormat="1" applyFont="1" applyBorder="1"/>
    <xf numFmtId="0" fontId="3" fillId="0" borderId="1" xfId="0" applyFont="1" applyBorder="1" applyAlignment="1">
      <alignment horizontal="left" vertical="center" wrapText="1"/>
    </xf>
    <xf numFmtId="164" fontId="0" fillId="4" borderId="1" xfId="1" applyNumberFormat="1" applyFont="1" applyFill="1" applyBorder="1" applyProtection="1"/>
    <xf numFmtId="0" fontId="2" fillId="5" borderId="0" xfId="0" applyFont="1" applyFill="1" applyAlignment="1">
      <alignment vertical="center" wrapText="1"/>
    </xf>
    <xf numFmtId="164" fontId="0" fillId="0" borderId="0" xfId="0" applyNumberFormat="1"/>
    <xf numFmtId="0" fontId="7" fillId="6" borderId="2" xfId="2" applyFont="1" applyFill="1" applyBorder="1" applyAlignment="1">
      <alignment horizontal="left" vertical="center" wrapText="1"/>
    </xf>
    <xf numFmtId="164" fontId="0" fillId="7" borderId="1" xfId="0" applyNumberFormat="1" applyFill="1" applyBorder="1" applyProtection="1">
      <protection locked="0"/>
    </xf>
    <xf numFmtId="0" fontId="3" fillId="8" borderId="1" xfId="0" applyFont="1" applyFill="1" applyBorder="1" applyAlignment="1">
      <alignment horizontal="left" vertical="center" wrapText="1"/>
    </xf>
    <xf numFmtId="165" fontId="5" fillId="0" borderId="0" xfId="1"/>
    <xf numFmtId="165" fontId="0" fillId="0" borderId="0" xfId="0" applyNumberFormat="1"/>
    <xf numFmtId="0" fontId="8" fillId="0" borderId="0" xfId="0" applyFont="1"/>
    <xf numFmtId="164" fontId="0" fillId="8" borderId="1" xfId="0" applyNumberFormat="1" applyFill="1" applyBorder="1"/>
    <xf numFmtId="0" fontId="9" fillId="9" borderId="2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00000000-0005-0000-0000-00002F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5396E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142" zoomScaleNormal="142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8.7109375" defaultRowHeight="12.75" x14ac:dyDescent="0.2"/>
  <cols>
    <col min="1" max="1" width="16.140625" customWidth="1"/>
    <col min="2" max="2" width="30.28515625" customWidth="1"/>
    <col min="3" max="3" width="20.140625" customWidth="1"/>
    <col min="4" max="4" width="23.28515625" customWidth="1"/>
    <col min="5" max="5" width="18.140625" customWidth="1"/>
    <col min="6" max="8" width="18.7109375" customWidth="1"/>
    <col min="9" max="12" width="27" customWidth="1"/>
    <col min="13" max="14" width="27.85546875" customWidth="1"/>
    <col min="15" max="19" width="34.28515625" customWidth="1"/>
  </cols>
  <sheetData>
    <row r="1" spans="1:23" s="4" customFormat="1" ht="5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/>
      <c r="U1" s="3"/>
      <c r="V1" s="3"/>
      <c r="W1"/>
    </row>
    <row r="2" spans="1:23" x14ac:dyDescent="0.2">
      <c r="A2" s="5" t="s">
        <v>19</v>
      </c>
      <c r="B2" s="11" t="s">
        <v>20</v>
      </c>
      <c r="C2" s="7">
        <v>900536</v>
      </c>
      <c r="D2" s="8">
        <f>856137-C2</f>
        <v>-44399</v>
      </c>
      <c r="E2" s="8">
        <f>856137-(C2+D2)</f>
        <v>0</v>
      </c>
      <c r="F2" s="8">
        <f>855597-(C2+D2+E2)</f>
        <v>-540</v>
      </c>
      <c r="G2" s="16"/>
      <c r="H2" s="7">
        <f>$C2+D2</f>
        <v>856137</v>
      </c>
      <c r="I2" s="7">
        <f>H2+E2</f>
        <v>856137</v>
      </c>
      <c r="J2" s="7">
        <f t="shared" ref="J2:J24" si="0">I2+F2</f>
        <v>855597</v>
      </c>
      <c r="K2" s="7">
        <f t="shared" ref="K2:K24" si="1">J2+G2</f>
        <v>855597</v>
      </c>
      <c r="L2" s="9">
        <f>$H2*35%</f>
        <v>299647.94999999995</v>
      </c>
      <c r="M2" s="12">
        <f t="shared" ref="M2:M24" si="2">I2*60%</f>
        <v>513682.19999999995</v>
      </c>
      <c r="N2" s="9">
        <f t="shared" ref="N2:N24" si="3">J2*85%</f>
        <v>727257.45</v>
      </c>
      <c r="O2" s="9">
        <f t="shared" ref="O2:O24" si="4">K2*100%</f>
        <v>855597</v>
      </c>
      <c r="P2" s="9">
        <f t="shared" ref="P2:P24" si="5">H2*25%</f>
        <v>214034.25</v>
      </c>
      <c r="Q2" s="9">
        <f t="shared" ref="Q2:Q24" si="6">I2*50%</f>
        <v>428068.5</v>
      </c>
      <c r="R2" s="9">
        <f t="shared" ref="R2:R24" si="7">J2*75%</f>
        <v>641697.75</v>
      </c>
      <c r="S2" s="9">
        <f t="shared" ref="S2:S24" si="8">K2*100%</f>
        <v>855597</v>
      </c>
    </row>
    <row r="3" spans="1:23" x14ac:dyDescent="0.2">
      <c r="A3" s="5" t="s">
        <v>21</v>
      </c>
      <c r="B3" s="11" t="s">
        <v>22</v>
      </c>
      <c r="C3" s="7">
        <v>200000</v>
      </c>
      <c r="D3" s="8">
        <f>165502.02-C3</f>
        <v>-34497.98000000001</v>
      </c>
      <c r="E3" s="8">
        <f>173072.21-(C3+D3)</f>
        <v>7570.1900000000023</v>
      </c>
      <c r="F3" s="8">
        <f>186416.67-(C3+D3+E3)</f>
        <v>13344.460000000021</v>
      </c>
      <c r="G3" s="16"/>
      <c r="H3" s="7">
        <f t="shared" ref="H3:H24" si="9">$C3+D3</f>
        <v>165502.01999999999</v>
      </c>
      <c r="I3" s="7">
        <f>H3+E3</f>
        <v>173072.21</v>
      </c>
      <c r="J3" s="7">
        <f t="shared" si="0"/>
        <v>186416.67</v>
      </c>
      <c r="K3" s="7">
        <f t="shared" si="1"/>
        <v>186416.67</v>
      </c>
      <c r="L3" s="9">
        <f t="shared" ref="L3:L24" si="10">H3*35%</f>
        <v>57925.706999999995</v>
      </c>
      <c r="M3" s="12">
        <f t="shared" si="2"/>
        <v>103843.32599999999</v>
      </c>
      <c r="N3" s="9">
        <f t="shared" si="3"/>
        <v>158454.16950000002</v>
      </c>
      <c r="O3" s="9">
        <f t="shared" si="4"/>
        <v>186416.67</v>
      </c>
      <c r="P3" s="9">
        <f t="shared" si="5"/>
        <v>41375.504999999997</v>
      </c>
      <c r="Q3" s="9">
        <f t="shared" si="6"/>
        <v>86536.104999999996</v>
      </c>
      <c r="R3" s="9">
        <f t="shared" si="7"/>
        <v>139812.5025</v>
      </c>
      <c r="S3" s="9">
        <f t="shared" si="8"/>
        <v>186416.67</v>
      </c>
    </row>
    <row r="4" spans="1:23" x14ac:dyDescent="0.2">
      <c r="A4" s="5" t="s">
        <v>21</v>
      </c>
      <c r="B4" s="11" t="s">
        <v>23</v>
      </c>
      <c r="C4" s="7">
        <v>35000</v>
      </c>
      <c r="D4" s="8">
        <f>267100-C4</f>
        <v>232100</v>
      </c>
      <c r="E4" s="8">
        <f>214322.6-(C4+D4)</f>
        <v>-52777.399999999994</v>
      </c>
      <c r="F4" s="8">
        <f>212925.68-(C4+D4+E4)</f>
        <v>-1396.9200000000128</v>
      </c>
      <c r="G4" s="16"/>
      <c r="H4" s="7">
        <f t="shared" si="9"/>
        <v>267100</v>
      </c>
      <c r="I4" s="7">
        <f t="shared" ref="I4:I24" si="11">H4+E4</f>
        <v>214322.6</v>
      </c>
      <c r="J4" s="7">
        <f t="shared" si="0"/>
        <v>212925.68</v>
      </c>
      <c r="K4" s="7">
        <f t="shared" si="1"/>
        <v>212925.68</v>
      </c>
      <c r="L4" s="9">
        <f t="shared" si="10"/>
        <v>93485</v>
      </c>
      <c r="M4" s="12">
        <f t="shared" si="2"/>
        <v>128593.56</v>
      </c>
      <c r="N4" s="9">
        <f t="shared" si="3"/>
        <v>180986.82799999998</v>
      </c>
      <c r="O4" s="9">
        <f t="shared" si="4"/>
        <v>212925.68</v>
      </c>
      <c r="P4" s="9">
        <f t="shared" si="5"/>
        <v>66775</v>
      </c>
      <c r="Q4" s="9">
        <f t="shared" si="6"/>
        <v>107161.3</v>
      </c>
      <c r="R4" s="9">
        <f t="shared" si="7"/>
        <v>159694.26</v>
      </c>
      <c r="S4" s="9">
        <f t="shared" si="8"/>
        <v>212925.68</v>
      </c>
    </row>
    <row r="5" spans="1:23" x14ac:dyDescent="0.2">
      <c r="A5" s="5" t="s">
        <v>24</v>
      </c>
      <c r="B5" s="11" t="s">
        <v>25</v>
      </c>
      <c r="C5" s="7">
        <v>10028069</v>
      </c>
      <c r="D5" s="8">
        <f>9497902.78-C5+500000</f>
        <v>-30166.220000000671</v>
      </c>
      <c r="E5" s="8">
        <f>9446134.85-(C5+D5)</f>
        <v>-551767.9299999997</v>
      </c>
      <c r="F5" s="8">
        <f>9377025.9-(C5+D5+E5)</f>
        <v>-69108.949999999255</v>
      </c>
      <c r="G5" s="16"/>
      <c r="H5" s="7">
        <f t="shared" si="9"/>
        <v>9997902.7799999993</v>
      </c>
      <c r="I5" s="7">
        <f t="shared" si="11"/>
        <v>9446134.8499999996</v>
      </c>
      <c r="J5" s="7">
        <f t="shared" si="0"/>
        <v>9377025.9000000004</v>
      </c>
      <c r="K5" s="7">
        <f t="shared" si="1"/>
        <v>9377025.9000000004</v>
      </c>
      <c r="L5" s="9">
        <f t="shared" si="10"/>
        <v>3499265.9729999998</v>
      </c>
      <c r="M5" s="12">
        <f t="shared" si="2"/>
        <v>5667680.9099999992</v>
      </c>
      <c r="N5" s="9">
        <f t="shared" si="3"/>
        <v>7970472.0149999997</v>
      </c>
      <c r="O5" s="9">
        <f t="shared" si="4"/>
        <v>9377025.9000000004</v>
      </c>
      <c r="P5" s="9">
        <f t="shared" si="5"/>
        <v>2499475.6949999998</v>
      </c>
      <c r="Q5" s="9">
        <f t="shared" si="6"/>
        <v>4723067.4249999998</v>
      </c>
      <c r="R5" s="9">
        <f t="shared" si="7"/>
        <v>7032769.4250000007</v>
      </c>
      <c r="S5" s="9">
        <f t="shared" si="8"/>
        <v>9377025.9000000004</v>
      </c>
    </row>
    <row r="6" spans="1:23" x14ac:dyDescent="0.2">
      <c r="A6" s="5" t="s">
        <v>24</v>
      </c>
      <c r="B6" s="11" t="s">
        <v>26</v>
      </c>
      <c r="C6" s="7">
        <v>527986</v>
      </c>
      <c r="D6" s="8">
        <f>561387.8-C6</f>
        <v>33401.800000000047</v>
      </c>
      <c r="E6" s="8">
        <f>561388.14-(C6+D6)</f>
        <v>0.33999999996740371</v>
      </c>
      <c r="F6" s="8">
        <f>514540.1-(C6+D6+E6)</f>
        <v>-46848.040000000037</v>
      </c>
      <c r="G6" s="16"/>
      <c r="H6" s="7">
        <f t="shared" si="9"/>
        <v>561387.80000000005</v>
      </c>
      <c r="I6" s="7">
        <f t="shared" si="11"/>
        <v>561388.14</v>
      </c>
      <c r="J6" s="7">
        <f t="shared" si="0"/>
        <v>514540.1</v>
      </c>
      <c r="K6" s="7">
        <f t="shared" si="1"/>
        <v>514540.1</v>
      </c>
      <c r="L6" s="9">
        <f t="shared" si="10"/>
        <v>196485.73</v>
      </c>
      <c r="M6" s="12">
        <f t="shared" si="2"/>
        <v>336832.88400000002</v>
      </c>
      <c r="N6" s="9">
        <f t="shared" si="3"/>
        <v>437359.08499999996</v>
      </c>
      <c r="O6" s="9">
        <f t="shared" si="4"/>
        <v>514540.1</v>
      </c>
      <c r="P6" s="9">
        <f t="shared" si="5"/>
        <v>140346.95000000001</v>
      </c>
      <c r="Q6" s="9">
        <f t="shared" si="6"/>
        <v>280694.07</v>
      </c>
      <c r="R6" s="9">
        <f t="shared" si="7"/>
        <v>385905.07499999995</v>
      </c>
      <c r="S6" s="9">
        <f t="shared" si="8"/>
        <v>514540.1</v>
      </c>
    </row>
    <row r="7" spans="1:23" ht="22.5" x14ac:dyDescent="0.2">
      <c r="A7" s="5" t="s">
        <v>21</v>
      </c>
      <c r="B7" s="17" t="s">
        <v>73</v>
      </c>
      <c r="C7" s="7">
        <v>232100</v>
      </c>
      <c r="D7" s="8">
        <f>0-C7</f>
        <v>-232100</v>
      </c>
      <c r="E7" s="8">
        <f>(C7+D7)</f>
        <v>0</v>
      </c>
      <c r="F7" s="8">
        <f>0-(C7+D7+E7)</f>
        <v>0</v>
      </c>
      <c r="G7" s="16"/>
      <c r="H7" s="7">
        <f t="shared" ref="H7" si="12">$C7+D7</f>
        <v>0</v>
      </c>
      <c r="I7" s="7">
        <f>H7+E7</f>
        <v>0</v>
      </c>
      <c r="J7" s="7">
        <f t="shared" ref="J7" si="13">I7+F7</f>
        <v>0</v>
      </c>
      <c r="K7" s="7">
        <f t="shared" ref="K7" si="14">J7+G7</f>
        <v>0</v>
      </c>
      <c r="L7" s="9">
        <f t="shared" ref="L7" si="15">H7*35%</f>
        <v>0</v>
      </c>
      <c r="M7" s="12">
        <f t="shared" ref="M7" si="16">I7*60%</f>
        <v>0</v>
      </c>
      <c r="N7" s="9">
        <f t="shared" ref="N7" si="17">J7*85%</f>
        <v>0</v>
      </c>
      <c r="O7" s="9">
        <f t="shared" ref="O7" si="18">K7*100%</f>
        <v>0</v>
      </c>
      <c r="P7" s="9">
        <f t="shared" ref="P7" si="19">H7*25%</f>
        <v>0</v>
      </c>
      <c r="Q7" s="9">
        <f t="shared" ref="Q7" si="20">I7*50%</f>
        <v>0</v>
      </c>
      <c r="R7" s="9">
        <f t="shared" ref="R7" si="21">J7*75%</f>
        <v>0</v>
      </c>
      <c r="S7" s="9">
        <f t="shared" ref="S7" si="22">K7*100%</f>
        <v>0</v>
      </c>
    </row>
    <row r="8" spans="1:23" ht="21" x14ac:dyDescent="0.2">
      <c r="A8" s="5" t="s">
        <v>24</v>
      </c>
      <c r="B8" s="15" t="s">
        <v>45</v>
      </c>
      <c r="C8" s="7">
        <v>56000</v>
      </c>
      <c r="D8" s="8">
        <f>56000-C8</f>
        <v>0</v>
      </c>
      <c r="E8" s="8">
        <f>56000-(C8+D8)</f>
        <v>0</v>
      </c>
      <c r="F8" s="8">
        <f>56000-(C8+D8+E8)</f>
        <v>0</v>
      </c>
      <c r="G8" s="16"/>
      <c r="H8" s="7">
        <f t="shared" ref="H8" si="23">$C8+D8</f>
        <v>56000</v>
      </c>
      <c r="I8" s="7">
        <f t="shared" ref="I8" si="24">H8+E8</f>
        <v>56000</v>
      </c>
      <c r="J8" s="7">
        <f t="shared" ref="J8" si="25">I8+F8</f>
        <v>56000</v>
      </c>
      <c r="K8" s="7">
        <f t="shared" ref="K8" si="26">J8+G8</f>
        <v>56000</v>
      </c>
      <c r="L8" s="9">
        <f t="shared" ref="L8" si="27">H8*35%</f>
        <v>19600</v>
      </c>
      <c r="M8" s="12">
        <f t="shared" ref="M8" si="28">I8*60%</f>
        <v>33600</v>
      </c>
      <c r="N8" s="9">
        <f t="shared" ref="N8" si="29">J8*85%</f>
        <v>47600</v>
      </c>
      <c r="O8" s="9">
        <f t="shared" ref="O8" si="30">K8*100%</f>
        <v>56000</v>
      </c>
      <c r="P8" s="9">
        <f t="shared" ref="P8" si="31">H8*25%</f>
        <v>14000</v>
      </c>
      <c r="Q8" s="9">
        <f t="shared" ref="Q8" si="32">I8*50%</f>
        <v>28000</v>
      </c>
      <c r="R8" s="9">
        <f t="shared" ref="R8" si="33">J8*75%</f>
        <v>42000</v>
      </c>
      <c r="S8" s="9">
        <f t="shared" ref="S8" si="34">K8*100%</f>
        <v>56000</v>
      </c>
    </row>
    <row r="9" spans="1:23" x14ac:dyDescent="0.2">
      <c r="A9" s="5" t="s">
        <v>24</v>
      </c>
      <c r="B9" s="11" t="s">
        <v>27</v>
      </c>
      <c r="C9" s="7">
        <v>11000</v>
      </c>
      <c r="D9" s="8">
        <f>11000-C9</f>
        <v>0</v>
      </c>
      <c r="E9" s="8">
        <f>10788-(C9+D9)</f>
        <v>-212</v>
      </c>
      <c r="F9" s="8">
        <f>10788-(C9+D9+E9)</f>
        <v>0</v>
      </c>
      <c r="G9" s="16"/>
      <c r="H9" s="7">
        <f t="shared" si="9"/>
        <v>11000</v>
      </c>
      <c r="I9" s="7">
        <f t="shared" si="11"/>
        <v>10788</v>
      </c>
      <c r="J9" s="7">
        <f t="shared" si="0"/>
        <v>10788</v>
      </c>
      <c r="K9" s="7">
        <f t="shared" si="1"/>
        <v>10788</v>
      </c>
      <c r="L9" s="9">
        <f t="shared" si="10"/>
        <v>3849.9999999999995</v>
      </c>
      <c r="M9" s="9">
        <f t="shared" si="2"/>
        <v>6472.8</v>
      </c>
      <c r="N9" s="9">
        <f t="shared" si="3"/>
        <v>9169.7999999999993</v>
      </c>
      <c r="O9" s="9">
        <f t="shared" si="4"/>
        <v>10788</v>
      </c>
      <c r="P9" s="9">
        <f t="shared" si="5"/>
        <v>2750</v>
      </c>
      <c r="Q9" s="9">
        <f t="shared" si="6"/>
        <v>5394</v>
      </c>
      <c r="R9" s="9">
        <f t="shared" si="7"/>
        <v>8091</v>
      </c>
      <c r="S9" s="9">
        <f t="shared" si="8"/>
        <v>10788</v>
      </c>
    </row>
    <row r="10" spans="1:23" x14ac:dyDescent="0.2">
      <c r="A10" s="5" t="s">
        <v>24</v>
      </c>
      <c r="B10" s="11" t="s">
        <v>28</v>
      </c>
      <c r="C10" s="7">
        <v>10000</v>
      </c>
      <c r="D10" s="8">
        <f>10000-C10</f>
        <v>0</v>
      </c>
      <c r="E10" s="8">
        <f>10000-(C10+D10)</f>
        <v>0</v>
      </c>
      <c r="F10" s="8">
        <f>11960-(C10+D10+E10)</f>
        <v>1960</v>
      </c>
      <c r="G10" s="16"/>
      <c r="H10" s="7">
        <f t="shared" si="9"/>
        <v>10000</v>
      </c>
      <c r="I10" s="7">
        <f t="shared" si="11"/>
        <v>10000</v>
      </c>
      <c r="J10" s="7">
        <f t="shared" si="0"/>
        <v>11960</v>
      </c>
      <c r="K10" s="7">
        <f t="shared" si="1"/>
        <v>11960</v>
      </c>
      <c r="L10" s="9">
        <f t="shared" si="10"/>
        <v>3500</v>
      </c>
      <c r="M10" s="9">
        <f t="shared" si="2"/>
        <v>6000</v>
      </c>
      <c r="N10" s="9">
        <f t="shared" si="3"/>
        <v>10166</v>
      </c>
      <c r="O10" s="9">
        <f t="shared" si="4"/>
        <v>11960</v>
      </c>
      <c r="P10" s="9">
        <f t="shared" si="5"/>
        <v>2500</v>
      </c>
      <c r="Q10" s="9">
        <f t="shared" si="6"/>
        <v>5000</v>
      </c>
      <c r="R10" s="9">
        <f t="shared" si="7"/>
        <v>8970</v>
      </c>
      <c r="S10" s="9">
        <f t="shared" si="8"/>
        <v>11960</v>
      </c>
    </row>
    <row r="11" spans="1:23" x14ac:dyDescent="0.2">
      <c r="A11" s="5" t="s">
        <v>24</v>
      </c>
      <c r="B11" s="11" t="s">
        <v>29</v>
      </c>
      <c r="C11" s="7">
        <v>0</v>
      </c>
      <c r="D11" s="8">
        <f>953.84-C11</f>
        <v>953.84</v>
      </c>
      <c r="E11" s="8">
        <f>42395.66-(C11+D11)</f>
        <v>41441.820000000007</v>
      </c>
      <c r="F11" s="8">
        <f>45034.86-(C11+D11+E11)</f>
        <v>2639.1999999999971</v>
      </c>
      <c r="G11" s="16"/>
      <c r="H11" s="7">
        <f t="shared" si="9"/>
        <v>953.84</v>
      </c>
      <c r="I11" s="7">
        <f t="shared" si="11"/>
        <v>42395.66</v>
      </c>
      <c r="J11" s="7">
        <f t="shared" si="0"/>
        <v>45034.86</v>
      </c>
      <c r="K11" s="7">
        <f t="shared" si="1"/>
        <v>45034.86</v>
      </c>
      <c r="L11" s="9">
        <f t="shared" si="10"/>
        <v>333.84399999999999</v>
      </c>
      <c r="M11" s="9">
        <f t="shared" si="2"/>
        <v>25437.396000000001</v>
      </c>
      <c r="N11" s="9">
        <f t="shared" si="3"/>
        <v>38279.631000000001</v>
      </c>
      <c r="O11" s="9">
        <f t="shared" si="4"/>
        <v>45034.86</v>
      </c>
      <c r="P11" s="9">
        <f t="shared" si="5"/>
        <v>238.46</v>
      </c>
      <c r="Q11" s="9">
        <f t="shared" si="6"/>
        <v>21197.83</v>
      </c>
      <c r="R11" s="9">
        <f t="shared" si="7"/>
        <v>33776.145000000004</v>
      </c>
      <c r="S11" s="9">
        <f t="shared" si="8"/>
        <v>45034.86</v>
      </c>
    </row>
    <row r="12" spans="1:23" x14ac:dyDescent="0.2">
      <c r="A12" s="5" t="s">
        <v>24</v>
      </c>
      <c r="B12" s="11" t="s">
        <v>30</v>
      </c>
      <c r="C12" s="7">
        <v>25681</v>
      </c>
      <c r="D12" s="8">
        <f>55328.93-C12</f>
        <v>29647.93</v>
      </c>
      <c r="E12" s="8">
        <f>35880-(C12+D12)</f>
        <v>-19448.93</v>
      </c>
      <c r="F12" s="8">
        <f>34960-(C12+D12+E12)</f>
        <v>-920</v>
      </c>
      <c r="G12" s="16"/>
      <c r="H12" s="7">
        <f t="shared" si="9"/>
        <v>55328.93</v>
      </c>
      <c r="I12" s="7">
        <f t="shared" si="11"/>
        <v>35880</v>
      </c>
      <c r="J12" s="7">
        <f t="shared" si="0"/>
        <v>34960</v>
      </c>
      <c r="K12" s="7">
        <f t="shared" si="1"/>
        <v>34960</v>
      </c>
      <c r="L12" s="9">
        <f t="shared" si="10"/>
        <v>19365.125499999998</v>
      </c>
      <c r="M12" s="12">
        <f t="shared" si="2"/>
        <v>21528</v>
      </c>
      <c r="N12" s="9">
        <f t="shared" si="3"/>
        <v>29716</v>
      </c>
      <c r="O12" s="9">
        <f t="shared" si="4"/>
        <v>34960</v>
      </c>
      <c r="P12" s="9">
        <f t="shared" si="5"/>
        <v>13832.2325</v>
      </c>
      <c r="Q12" s="9">
        <f t="shared" si="6"/>
        <v>17940</v>
      </c>
      <c r="R12" s="9">
        <f t="shared" si="7"/>
        <v>26220</v>
      </c>
      <c r="S12" s="9">
        <f t="shared" si="8"/>
        <v>34960</v>
      </c>
    </row>
    <row r="13" spans="1:23" x14ac:dyDescent="0.2">
      <c r="A13" s="5" t="s">
        <v>24</v>
      </c>
      <c r="B13" s="11" t="s">
        <v>31</v>
      </c>
      <c r="C13" s="7">
        <v>2294882</v>
      </c>
      <c r="D13" s="8">
        <f>1412941.19-C13+808074</f>
        <v>-73866.810000000056</v>
      </c>
      <c r="E13" s="8">
        <f>2694798.19-(C13+D13)</f>
        <v>473783</v>
      </c>
      <c r="F13" s="8">
        <f>2677832.89-(C13+D13+E13)</f>
        <v>-16965.299999999814</v>
      </c>
      <c r="G13" s="16"/>
      <c r="H13" s="7">
        <f t="shared" si="9"/>
        <v>2221015.19</v>
      </c>
      <c r="I13" s="7">
        <f t="shared" si="11"/>
        <v>2694798.19</v>
      </c>
      <c r="J13" s="7">
        <f t="shared" si="0"/>
        <v>2677832.89</v>
      </c>
      <c r="K13" s="7">
        <f t="shared" si="1"/>
        <v>2677832.89</v>
      </c>
      <c r="L13" s="9">
        <f t="shared" si="10"/>
        <v>777355.31649999996</v>
      </c>
      <c r="M13" s="12">
        <f t="shared" si="2"/>
        <v>1616878.9139999999</v>
      </c>
      <c r="N13" s="9">
        <f t="shared" si="3"/>
        <v>2276157.9564999999</v>
      </c>
      <c r="O13" s="9">
        <f t="shared" si="4"/>
        <v>2677832.89</v>
      </c>
      <c r="P13" s="9">
        <f t="shared" si="5"/>
        <v>555253.79749999999</v>
      </c>
      <c r="Q13" s="9">
        <f t="shared" si="6"/>
        <v>1347399.095</v>
      </c>
      <c r="R13" s="9">
        <f t="shared" si="7"/>
        <v>2008374.6675</v>
      </c>
      <c r="S13" s="9">
        <f t="shared" si="8"/>
        <v>2677832.89</v>
      </c>
    </row>
    <row r="14" spans="1:23" x14ac:dyDescent="0.2">
      <c r="A14" s="5" t="s">
        <v>24</v>
      </c>
      <c r="B14" s="11" t="s">
        <v>32</v>
      </c>
      <c r="C14" s="7">
        <v>346038</v>
      </c>
      <c r="D14" s="8">
        <f>346038-C14</f>
        <v>0</v>
      </c>
      <c r="E14" s="8">
        <f>319255-(C14+D14)</f>
        <v>-26783</v>
      </c>
      <c r="F14" s="8">
        <f>347151.97-(C14+D14+E14)</f>
        <v>27896.969999999972</v>
      </c>
      <c r="G14" s="16"/>
      <c r="H14" s="7">
        <f t="shared" si="9"/>
        <v>346038</v>
      </c>
      <c r="I14" s="7">
        <f t="shared" si="11"/>
        <v>319255</v>
      </c>
      <c r="J14" s="7">
        <f t="shared" si="0"/>
        <v>347151.97</v>
      </c>
      <c r="K14" s="7">
        <f t="shared" si="1"/>
        <v>347151.97</v>
      </c>
      <c r="L14" s="9">
        <f t="shared" si="10"/>
        <v>121113.29999999999</v>
      </c>
      <c r="M14" s="12">
        <f t="shared" si="2"/>
        <v>191553</v>
      </c>
      <c r="N14" s="9">
        <f t="shared" si="3"/>
        <v>295079.17449999996</v>
      </c>
      <c r="O14" s="9">
        <f t="shared" si="4"/>
        <v>347151.97</v>
      </c>
      <c r="P14" s="9">
        <f t="shared" si="5"/>
        <v>86509.5</v>
      </c>
      <c r="Q14" s="9">
        <f t="shared" si="6"/>
        <v>159627.5</v>
      </c>
      <c r="R14" s="9">
        <f t="shared" si="7"/>
        <v>260363.97749999998</v>
      </c>
      <c r="S14" s="9">
        <f t="shared" si="8"/>
        <v>347151.97</v>
      </c>
    </row>
    <row r="15" spans="1:23" x14ac:dyDescent="0.2">
      <c r="A15" s="5" t="s">
        <v>24</v>
      </c>
      <c r="B15" s="11" t="s">
        <v>33</v>
      </c>
      <c r="C15" s="7">
        <v>726872</v>
      </c>
      <c r="D15" s="8">
        <f>695268.92-C15</f>
        <v>-31603.079999999958</v>
      </c>
      <c r="E15" s="8">
        <f>812806.92-(C15+D15)</f>
        <v>117538</v>
      </c>
      <c r="F15" s="8">
        <f>1057507.32-(C15+D15+E15)</f>
        <v>244700.40000000002</v>
      </c>
      <c r="G15" s="16"/>
      <c r="H15" s="7">
        <f t="shared" si="9"/>
        <v>695268.92</v>
      </c>
      <c r="I15" s="7">
        <f t="shared" si="11"/>
        <v>812806.92</v>
      </c>
      <c r="J15" s="7">
        <f t="shared" si="0"/>
        <v>1057507.32</v>
      </c>
      <c r="K15" s="7">
        <f t="shared" si="1"/>
        <v>1057507.32</v>
      </c>
      <c r="L15" s="9">
        <f t="shared" si="10"/>
        <v>243344.122</v>
      </c>
      <c r="M15" s="12">
        <f t="shared" si="2"/>
        <v>487684.152</v>
      </c>
      <c r="N15" s="9">
        <f t="shared" si="3"/>
        <v>898881.22200000007</v>
      </c>
      <c r="O15" s="9">
        <f t="shared" si="4"/>
        <v>1057507.32</v>
      </c>
      <c r="P15" s="9">
        <f t="shared" si="5"/>
        <v>173817.23</v>
      </c>
      <c r="Q15" s="9">
        <f t="shared" si="6"/>
        <v>406403.46</v>
      </c>
      <c r="R15" s="9">
        <f t="shared" si="7"/>
        <v>793130.49</v>
      </c>
      <c r="S15" s="9">
        <f t="shared" si="8"/>
        <v>1057507.32</v>
      </c>
    </row>
    <row r="16" spans="1:23" x14ac:dyDescent="0.2">
      <c r="A16" s="5" t="s">
        <v>24</v>
      </c>
      <c r="B16" s="11" t="s">
        <v>34</v>
      </c>
      <c r="C16" s="7"/>
      <c r="D16" s="8">
        <f>C16</f>
        <v>0</v>
      </c>
      <c r="E16" s="8">
        <f>(C16+D16)</f>
        <v>0</v>
      </c>
      <c r="F16" s="8">
        <v>0</v>
      </c>
      <c r="G16" s="16"/>
      <c r="H16" s="7">
        <f t="shared" si="9"/>
        <v>0</v>
      </c>
      <c r="I16" s="7">
        <f t="shared" si="11"/>
        <v>0</v>
      </c>
      <c r="J16" s="7">
        <f t="shared" si="0"/>
        <v>0</v>
      </c>
      <c r="K16" s="7">
        <f t="shared" si="1"/>
        <v>0</v>
      </c>
      <c r="L16" s="9">
        <f t="shared" si="10"/>
        <v>0</v>
      </c>
      <c r="M16" s="9">
        <f t="shared" si="2"/>
        <v>0</v>
      </c>
      <c r="N16" s="9">
        <f t="shared" si="3"/>
        <v>0</v>
      </c>
      <c r="O16" s="9">
        <f t="shared" si="4"/>
        <v>0</v>
      </c>
      <c r="P16" s="9">
        <f t="shared" si="5"/>
        <v>0</v>
      </c>
      <c r="Q16" s="9">
        <f t="shared" si="6"/>
        <v>0</v>
      </c>
      <c r="R16" s="9">
        <f t="shared" si="7"/>
        <v>0</v>
      </c>
      <c r="S16" s="9">
        <f t="shared" si="8"/>
        <v>0</v>
      </c>
    </row>
    <row r="17" spans="1:19" x14ac:dyDescent="0.2">
      <c r="A17" s="5" t="s">
        <v>35</v>
      </c>
      <c r="B17" s="11" t="s">
        <v>36</v>
      </c>
      <c r="C17" s="7">
        <v>28000</v>
      </c>
      <c r="D17" s="8">
        <f>46158.72-C17-1</f>
        <v>18157.72</v>
      </c>
      <c r="E17" s="8">
        <f>46120.86-(C17+D17)</f>
        <v>-36.860000000000582</v>
      </c>
      <c r="F17" s="8">
        <f>45724.98-(C17+D17+E17)</f>
        <v>-395.87999999999738</v>
      </c>
      <c r="G17" s="16"/>
      <c r="H17" s="7">
        <f t="shared" si="9"/>
        <v>46157.72</v>
      </c>
      <c r="I17" s="7">
        <f t="shared" si="11"/>
        <v>46120.86</v>
      </c>
      <c r="J17" s="7">
        <f t="shared" si="0"/>
        <v>45724.98</v>
      </c>
      <c r="K17" s="7">
        <f t="shared" si="1"/>
        <v>45724.98</v>
      </c>
      <c r="L17" s="9">
        <f t="shared" si="10"/>
        <v>16155.201999999999</v>
      </c>
      <c r="M17" s="12">
        <f t="shared" si="2"/>
        <v>27672.516</v>
      </c>
      <c r="N17" s="9">
        <f t="shared" si="3"/>
        <v>38866.233</v>
      </c>
      <c r="O17" s="9">
        <f t="shared" si="4"/>
        <v>45724.98</v>
      </c>
      <c r="P17" s="9">
        <f t="shared" si="5"/>
        <v>11539.43</v>
      </c>
      <c r="Q17" s="9">
        <f t="shared" si="6"/>
        <v>23060.43</v>
      </c>
      <c r="R17" s="9">
        <f t="shared" si="7"/>
        <v>34293.735000000001</v>
      </c>
      <c r="S17" s="9">
        <f t="shared" si="8"/>
        <v>45724.98</v>
      </c>
    </row>
    <row r="18" spans="1:19" x14ac:dyDescent="0.2">
      <c r="A18" s="5" t="s">
        <v>35</v>
      </c>
      <c r="B18" s="11" t="s">
        <v>37</v>
      </c>
      <c r="C18" s="7">
        <v>205436</v>
      </c>
      <c r="D18" s="8">
        <f>338754-C18</f>
        <v>133318</v>
      </c>
      <c r="E18" s="8">
        <f>522199-(C18+D18)</f>
        <v>183445</v>
      </c>
      <c r="F18" s="8">
        <f>572199-(C18+D18+E18)</f>
        <v>50000</v>
      </c>
      <c r="G18" s="16"/>
      <c r="H18" s="7">
        <f t="shared" si="9"/>
        <v>338754</v>
      </c>
      <c r="I18" s="7">
        <f t="shared" si="11"/>
        <v>522199</v>
      </c>
      <c r="J18" s="7">
        <f>I18+F18</f>
        <v>572199</v>
      </c>
      <c r="K18" s="7">
        <f t="shared" si="1"/>
        <v>572199</v>
      </c>
      <c r="L18" s="9">
        <f t="shared" si="10"/>
        <v>118563.9</v>
      </c>
      <c r="M18" s="12">
        <f t="shared" si="2"/>
        <v>313319.39999999997</v>
      </c>
      <c r="N18" s="9">
        <f t="shared" si="3"/>
        <v>486369.14999999997</v>
      </c>
      <c r="O18" s="9">
        <f t="shared" si="4"/>
        <v>572199</v>
      </c>
      <c r="P18" s="9">
        <f t="shared" si="5"/>
        <v>84688.5</v>
      </c>
      <c r="Q18" s="9">
        <f t="shared" si="6"/>
        <v>261099.5</v>
      </c>
      <c r="R18" s="9">
        <f t="shared" si="7"/>
        <v>429149.25</v>
      </c>
      <c r="S18" s="9">
        <f t="shared" si="8"/>
        <v>572199</v>
      </c>
    </row>
    <row r="19" spans="1:19" x14ac:dyDescent="0.2">
      <c r="A19" s="5" t="s">
        <v>35</v>
      </c>
      <c r="B19" s="11" t="s">
        <v>38</v>
      </c>
      <c r="C19" s="7">
        <v>36773</v>
      </c>
      <c r="D19" s="8">
        <f>36826.8-C19</f>
        <v>53.80000000000291</v>
      </c>
      <c r="E19" s="8">
        <f>45053.8-(C19+D19)</f>
        <v>8227</v>
      </c>
      <c r="F19" s="8">
        <f>45053.8-(C19+D19+E19)</f>
        <v>0</v>
      </c>
      <c r="G19" s="16"/>
      <c r="H19" s="7">
        <f>$C19+D19</f>
        <v>36826.800000000003</v>
      </c>
      <c r="I19" s="7">
        <f>H19+E19</f>
        <v>45053.8</v>
      </c>
      <c r="J19" s="7">
        <f>I19+F19</f>
        <v>45053.8</v>
      </c>
      <c r="K19" s="7">
        <f>J19+G19</f>
        <v>45053.8</v>
      </c>
      <c r="L19" s="9">
        <f t="shared" si="10"/>
        <v>12889.380000000001</v>
      </c>
      <c r="M19" s="12">
        <f t="shared" si="2"/>
        <v>27032.280000000002</v>
      </c>
      <c r="N19" s="9">
        <f>J19*85%</f>
        <v>38295.730000000003</v>
      </c>
      <c r="O19" s="9">
        <f t="shared" si="4"/>
        <v>45053.8</v>
      </c>
      <c r="P19" s="9">
        <f t="shared" si="5"/>
        <v>9206.7000000000007</v>
      </c>
      <c r="Q19" s="9">
        <f t="shared" si="6"/>
        <v>22526.9</v>
      </c>
      <c r="R19" s="9">
        <f t="shared" si="7"/>
        <v>33790.350000000006</v>
      </c>
      <c r="S19" s="9">
        <f t="shared" si="8"/>
        <v>45053.8</v>
      </c>
    </row>
    <row r="20" spans="1:19" x14ac:dyDescent="0.2">
      <c r="A20" s="5" t="s">
        <v>39</v>
      </c>
      <c r="B20" s="11" t="s">
        <v>40</v>
      </c>
      <c r="C20" s="7">
        <v>220000</v>
      </c>
      <c r="D20" s="8">
        <f>219000-C20</f>
        <v>-1000</v>
      </c>
      <c r="E20" s="8">
        <f>219000-(C20+D20)</f>
        <v>0</v>
      </c>
      <c r="F20" s="8">
        <f>111308.03-(C20+D20+E20)</f>
        <v>-107691.97</v>
      </c>
      <c r="G20" s="16"/>
      <c r="H20" s="7">
        <f t="shared" si="9"/>
        <v>219000</v>
      </c>
      <c r="I20" s="7">
        <f t="shared" si="11"/>
        <v>219000</v>
      </c>
      <c r="J20" s="7">
        <f t="shared" si="0"/>
        <v>111308.03</v>
      </c>
      <c r="K20" s="7">
        <f t="shared" si="1"/>
        <v>111308.03</v>
      </c>
      <c r="L20" s="9">
        <f t="shared" si="10"/>
        <v>76650</v>
      </c>
      <c r="M20" s="12">
        <f t="shared" si="2"/>
        <v>131400</v>
      </c>
      <c r="N20" s="9">
        <f t="shared" si="3"/>
        <v>94611.825499999992</v>
      </c>
      <c r="O20" s="9">
        <f t="shared" si="4"/>
        <v>111308.03</v>
      </c>
      <c r="P20" s="9">
        <f t="shared" si="5"/>
        <v>54750</v>
      </c>
      <c r="Q20" s="9">
        <f t="shared" si="6"/>
        <v>109500</v>
      </c>
      <c r="R20" s="9">
        <f t="shared" si="7"/>
        <v>83481.022499999992</v>
      </c>
      <c r="S20" s="9">
        <f t="shared" si="8"/>
        <v>111308.03</v>
      </c>
    </row>
    <row r="21" spans="1:19" x14ac:dyDescent="0.2">
      <c r="A21" s="5" t="s">
        <v>39</v>
      </c>
      <c r="B21" s="22" t="s">
        <v>74</v>
      </c>
      <c r="C21" s="7">
        <v>0</v>
      </c>
      <c r="D21" s="8">
        <f>C21</f>
        <v>0</v>
      </c>
      <c r="E21" s="8">
        <f>(C21+D21)</f>
        <v>0</v>
      </c>
      <c r="F21" s="8">
        <f>21848.04-(C21+D21+E21)</f>
        <v>21848.04</v>
      </c>
      <c r="G21" s="16"/>
      <c r="H21" s="7">
        <f t="shared" ref="H21" si="35">$C21+D21</f>
        <v>0</v>
      </c>
      <c r="I21" s="7">
        <f t="shared" ref="I21" si="36">H21+E21</f>
        <v>0</v>
      </c>
      <c r="J21" s="7">
        <f t="shared" ref="J21" si="37">I21+F21</f>
        <v>21848.04</v>
      </c>
      <c r="K21" s="7">
        <f t="shared" ref="K21" si="38">J21+G21</f>
        <v>21848.04</v>
      </c>
      <c r="L21" s="9">
        <f t="shared" ref="L21" si="39">H21*35%</f>
        <v>0</v>
      </c>
      <c r="M21" s="12">
        <f t="shared" ref="M21" si="40">I21*60%</f>
        <v>0</v>
      </c>
      <c r="N21" s="9">
        <f t="shared" ref="N21" si="41">J21*85%</f>
        <v>18570.833999999999</v>
      </c>
      <c r="O21" s="9">
        <f t="shared" ref="O21" si="42">K21*100%</f>
        <v>21848.04</v>
      </c>
      <c r="P21" s="9">
        <f t="shared" ref="P21" si="43">H21*25%</f>
        <v>0</v>
      </c>
      <c r="Q21" s="9">
        <f t="shared" ref="Q21" si="44">I21*50%</f>
        <v>0</v>
      </c>
      <c r="R21" s="9">
        <f t="shared" ref="R21" si="45">J21*75%</f>
        <v>16386.03</v>
      </c>
      <c r="S21" s="9">
        <f t="shared" ref="S21" si="46">K21*100%</f>
        <v>21848.04</v>
      </c>
    </row>
    <row r="22" spans="1:19" x14ac:dyDescent="0.2">
      <c r="A22" s="5" t="s">
        <v>41</v>
      </c>
      <c r="B22" s="11" t="s">
        <v>42</v>
      </c>
      <c r="C22" s="7">
        <v>5369119</v>
      </c>
      <c r="D22" s="8">
        <f>4036887.57-C22+1839081+410283-917132.57</f>
        <v>0</v>
      </c>
      <c r="E22" s="8">
        <f>4040240.17+2249365-(C22+D22)-918019.4</f>
        <v>2466.7699999999022</v>
      </c>
      <c r="F22" s="8">
        <f>3919691.9-(C22+D22+E22)</f>
        <v>-1451893.8699999996</v>
      </c>
      <c r="G22" s="16"/>
      <c r="H22" s="7">
        <f t="shared" si="9"/>
        <v>5369119</v>
      </c>
      <c r="I22" s="21">
        <f t="shared" si="11"/>
        <v>5371585.7699999996</v>
      </c>
      <c r="J22" s="7">
        <f t="shared" si="0"/>
        <v>3919691.9</v>
      </c>
      <c r="K22" s="7">
        <f t="shared" si="1"/>
        <v>3919691.9</v>
      </c>
      <c r="L22" s="9">
        <f t="shared" si="10"/>
        <v>1879191.65</v>
      </c>
      <c r="M22" s="12">
        <f t="shared" si="2"/>
        <v>3222951.4619999998</v>
      </c>
      <c r="N22" s="9">
        <f t="shared" si="3"/>
        <v>3331738.1149999998</v>
      </c>
      <c r="O22" s="9">
        <f t="shared" si="4"/>
        <v>3919691.9</v>
      </c>
      <c r="P22" s="9">
        <f t="shared" si="5"/>
        <v>1342279.75</v>
      </c>
      <c r="Q22" s="9">
        <f t="shared" si="6"/>
        <v>2685792.8849999998</v>
      </c>
      <c r="R22" s="9">
        <f t="shared" si="7"/>
        <v>2939768.9249999998</v>
      </c>
      <c r="S22" s="9">
        <f t="shared" si="8"/>
        <v>3919691.9</v>
      </c>
    </row>
    <row r="23" spans="1:19" x14ac:dyDescent="0.2">
      <c r="A23" s="5" t="s">
        <v>41</v>
      </c>
      <c r="B23" s="11" t="s">
        <v>43</v>
      </c>
      <c r="C23" s="7">
        <v>1760866</v>
      </c>
      <c r="D23" s="8">
        <f>843732.43-C23+917133.57</f>
        <v>0</v>
      </c>
      <c r="E23" s="8">
        <f>842846.6-(C23+D23)+918019.4</f>
        <v>0</v>
      </c>
      <c r="F23" s="8">
        <f>844872.86-(C23+D23+E23)</f>
        <v>-915993.14</v>
      </c>
      <c r="G23" s="16"/>
      <c r="H23" s="7">
        <f t="shared" si="9"/>
        <v>1760866</v>
      </c>
      <c r="I23" s="7">
        <f t="shared" si="11"/>
        <v>1760866</v>
      </c>
      <c r="J23" s="7">
        <f t="shared" si="0"/>
        <v>844872.86</v>
      </c>
      <c r="K23" s="7">
        <f t="shared" si="1"/>
        <v>844872.86</v>
      </c>
      <c r="L23" s="9">
        <f t="shared" si="10"/>
        <v>616303.1</v>
      </c>
      <c r="M23" s="12">
        <f t="shared" si="2"/>
        <v>1056519.5999999999</v>
      </c>
      <c r="N23" s="9">
        <f t="shared" si="3"/>
        <v>718141.93099999998</v>
      </c>
      <c r="O23" s="9">
        <f t="shared" si="4"/>
        <v>844872.86</v>
      </c>
      <c r="P23" s="9">
        <f t="shared" si="5"/>
        <v>440216.5</v>
      </c>
      <c r="Q23" s="9">
        <f t="shared" si="6"/>
        <v>880433</v>
      </c>
      <c r="R23" s="9">
        <f t="shared" si="7"/>
        <v>633654.64500000002</v>
      </c>
      <c r="S23" s="9">
        <f t="shared" si="8"/>
        <v>844872.86</v>
      </c>
    </row>
    <row r="24" spans="1:19" x14ac:dyDescent="0.2">
      <c r="A24" s="5" t="s">
        <v>41</v>
      </c>
      <c r="B24" s="11" t="s">
        <v>44</v>
      </c>
      <c r="C24" s="7">
        <v>0</v>
      </c>
      <c r="D24" s="8">
        <f>C24</f>
        <v>0</v>
      </c>
      <c r="E24" s="8">
        <f>(C24+D24)</f>
        <v>0</v>
      </c>
      <c r="F24" s="8">
        <f>2249365-(C24+D24+E24)</f>
        <v>2249365</v>
      </c>
      <c r="G24" s="16"/>
      <c r="H24" s="7">
        <f t="shared" si="9"/>
        <v>0</v>
      </c>
      <c r="I24" s="7">
        <f t="shared" si="11"/>
        <v>0</v>
      </c>
      <c r="J24" s="7">
        <f t="shared" si="0"/>
        <v>2249365</v>
      </c>
      <c r="K24" s="7">
        <f t="shared" si="1"/>
        <v>2249365</v>
      </c>
      <c r="L24" s="9">
        <f t="shared" si="10"/>
        <v>0</v>
      </c>
      <c r="M24" s="12">
        <f t="shared" si="2"/>
        <v>0</v>
      </c>
      <c r="N24" s="9">
        <f t="shared" si="3"/>
        <v>1911960.25</v>
      </c>
      <c r="O24" s="9">
        <f t="shared" si="4"/>
        <v>2249365</v>
      </c>
      <c r="P24" s="9">
        <f t="shared" si="5"/>
        <v>0</v>
      </c>
      <c r="Q24" s="9">
        <f t="shared" si="6"/>
        <v>0</v>
      </c>
      <c r="R24" s="9">
        <f t="shared" si="7"/>
        <v>1687023.75</v>
      </c>
      <c r="S24" s="9">
        <f t="shared" si="8"/>
        <v>2249365</v>
      </c>
    </row>
    <row r="25" spans="1:19" ht="15" x14ac:dyDescent="0.25">
      <c r="A25" s="5"/>
      <c r="B25" s="6"/>
      <c r="C25" s="10">
        <f>SUM(C2:C24)</f>
        <v>23014358</v>
      </c>
      <c r="D25" s="10">
        <f>SUM(D2:D24)</f>
        <v>-6.5483618527650833E-10</v>
      </c>
      <c r="E25" s="10">
        <f>SUM(E2:E24)</f>
        <v>183446.00000000012</v>
      </c>
      <c r="F25" s="10">
        <f>SUM(F2:F24)</f>
        <v>0</v>
      </c>
      <c r="G25" s="10">
        <f>SUM(G2:G24)</f>
        <v>0</v>
      </c>
      <c r="H25" s="10">
        <f t="shared" ref="H25:S25" si="47">SUM(H2:H24)</f>
        <v>23014358</v>
      </c>
      <c r="I25" s="10">
        <f>SUM(I2:I24)</f>
        <v>23197804</v>
      </c>
      <c r="J25" s="10">
        <f t="shared" si="47"/>
        <v>23197804</v>
      </c>
      <c r="K25" s="10">
        <f t="shared" si="47"/>
        <v>23197804</v>
      </c>
      <c r="L25" s="10">
        <f t="shared" si="47"/>
        <v>8055025.2999999989</v>
      </c>
      <c r="M25" s="10">
        <f t="shared" si="47"/>
        <v>13918682.399999999</v>
      </c>
      <c r="N25" s="10">
        <f t="shared" si="47"/>
        <v>19718133.399999999</v>
      </c>
      <c r="O25" s="10">
        <f t="shared" si="47"/>
        <v>23197804</v>
      </c>
      <c r="P25" s="10">
        <f t="shared" si="47"/>
        <v>5753589.5</v>
      </c>
      <c r="Q25" s="10">
        <f t="shared" si="47"/>
        <v>11598902</v>
      </c>
      <c r="R25" s="10">
        <f t="shared" si="47"/>
        <v>17398353</v>
      </c>
      <c r="S25" s="10">
        <f t="shared" si="47"/>
        <v>23197804</v>
      </c>
    </row>
    <row r="27" spans="1:19" x14ac:dyDescent="0.2">
      <c r="J27" s="14"/>
      <c r="K27" s="14"/>
    </row>
    <row r="28" spans="1:19" x14ac:dyDescent="0.2">
      <c r="F28" s="14"/>
    </row>
    <row r="29" spans="1:19" x14ac:dyDescent="0.2">
      <c r="E29" s="18"/>
    </row>
    <row r="30" spans="1:19" x14ac:dyDescent="0.2">
      <c r="C30" s="14"/>
      <c r="E30" s="18"/>
    </row>
    <row r="31" spans="1:19" x14ac:dyDescent="0.2">
      <c r="E31" s="18"/>
    </row>
    <row r="32" spans="1:19" x14ac:dyDescent="0.2">
      <c r="E32" s="18"/>
    </row>
    <row r="33" spans="5:5" x14ac:dyDescent="0.2">
      <c r="E33" s="18"/>
    </row>
    <row r="34" spans="5:5" x14ac:dyDescent="0.2">
      <c r="E34" s="18"/>
    </row>
    <row r="35" spans="5:5" x14ac:dyDescent="0.2">
      <c r="E35" s="18"/>
    </row>
    <row r="36" spans="5:5" x14ac:dyDescent="0.2">
      <c r="E36" s="18"/>
    </row>
    <row r="37" spans="5:5" x14ac:dyDescent="0.2">
      <c r="E37" s="18"/>
    </row>
    <row r="38" spans="5:5" x14ac:dyDescent="0.2">
      <c r="E38" s="18"/>
    </row>
    <row r="39" spans="5:5" x14ac:dyDescent="0.2">
      <c r="E39" s="18"/>
    </row>
    <row r="40" spans="5:5" x14ac:dyDescent="0.2">
      <c r="E40" s="18"/>
    </row>
    <row r="41" spans="5:5" x14ac:dyDescent="0.2">
      <c r="E41" s="18"/>
    </row>
  </sheetData>
  <pageMargins left="0.51180555555555596" right="0.51180555555555596" top="0.78749999999999998" bottom="0.78749999999999998" header="0.511811023622047" footer="0.511811023622047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BD0A-338A-428E-97BF-D744271D3DAC}">
  <dimension ref="A1:B149"/>
  <sheetViews>
    <sheetView workbookViewId="0">
      <selection activeCell="A57" sqref="A57"/>
    </sheetView>
  </sheetViews>
  <sheetFormatPr defaultRowHeight="12.75" outlineLevelRow="2" x14ac:dyDescent="0.2"/>
  <cols>
    <col min="1" max="1" width="47.140625" customWidth="1"/>
    <col min="2" max="2" width="15" bestFit="1" customWidth="1"/>
  </cols>
  <sheetData>
    <row r="1" spans="1:2" x14ac:dyDescent="0.2">
      <c r="A1" t="s">
        <v>48</v>
      </c>
      <c r="B1" t="s">
        <v>49</v>
      </c>
    </row>
    <row r="2" spans="1:2" hidden="1" outlineLevel="2" x14ac:dyDescent="0.2">
      <c r="A2">
        <v>70273</v>
      </c>
      <c r="B2" s="18">
        <v>98116.11</v>
      </c>
    </row>
    <row r="3" spans="1:2" hidden="1" outlineLevel="2" x14ac:dyDescent="0.2">
      <c r="A3">
        <v>70273</v>
      </c>
      <c r="B3" s="18">
        <v>115000</v>
      </c>
    </row>
    <row r="4" spans="1:2" outlineLevel="1" collapsed="1" x14ac:dyDescent="0.2">
      <c r="A4" s="20" t="s">
        <v>50</v>
      </c>
      <c r="B4" s="18">
        <f>SUBTOTAL(9,B2:B3)</f>
        <v>213116.11</v>
      </c>
    </row>
    <row r="5" spans="1:2" hidden="1" outlineLevel="2" x14ac:dyDescent="0.2">
      <c r="A5">
        <v>70274</v>
      </c>
      <c r="B5" s="18">
        <v>23000</v>
      </c>
    </row>
    <row r="6" spans="1:2" hidden="1" outlineLevel="2" x14ac:dyDescent="0.2">
      <c r="A6">
        <v>70274</v>
      </c>
      <c r="B6" s="18">
        <v>81494</v>
      </c>
    </row>
    <row r="7" spans="1:2" outlineLevel="1" collapsed="1" x14ac:dyDescent="0.2">
      <c r="A7" s="20" t="s">
        <v>51</v>
      </c>
      <c r="B7" s="18">
        <f>SUBTOTAL(9,B5:B6)</f>
        <v>104494</v>
      </c>
    </row>
    <row r="8" spans="1:2" hidden="1" outlineLevel="2" x14ac:dyDescent="0.2">
      <c r="A8">
        <v>70276</v>
      </c>
      <c r="B8" s="18">
        <v>54797.23</v>
      </c>
    </row>
    <row r="9" spans="1:2" hidden="1" outlineLevel="2" x14ac:dyDescent="0.2">
      <c r="A9">
        <v>70276</v>
      </c>
      <c r="B9" s="18">
        <v>20107</v>
      </c>
    </row>
    <row r="10" spans="1:2" hidden="1" outlineLevel="2" x14ac:dyDescent="0.2">
      <c r="A10">
        <v>70276</v>
      </c>
      <c r="B10" s="18">
        <v>11145.2</v>
      </c>
    </row>
    <row r="11" spans="1:2" hidden="1" outlineLevel="2" x14ac:dyDescent="0.2">
      <c r="A11">
        <v>70276</v>
      </c>
      <c r="B11" s="18">
        <v>130870</v>
      </c>
    </row>
    <row r="12" spans="1:2" hidden="1" outlineLevel="2" x14ac:dyDescent="0.2">
      <c r="A12">
        <v>70276</v>
      </c>
      <c r="B12" s="18">
        <v>20650</v>
      </c>
    </row>
    <row r="13" spans="1:2" hidden="1" outlineLevel="2" x14ac:dyDescent="0.2">
      <c r="A13">
        <v>70276</v>
      </c>
      <c r="B13" s="18">
        <v>28000</v>
      </c>
    </row>
    <row r="14" spans="1:2" hidden="1" outlineLevel="2" x14ac:dyDescent="0.2">
      <c r="A14">
        <v>70276</v>
      </c>
      <c r="B14" s="18">
        <v>11718</v>
      </c>
    </row>
    <row r="15" spans="1:2" hidden="1" outlineLevel="2" x14ac:dyDescent="0.2">
      <c r="A15">
        <v>70276</v>
      </c>
      <c r="B15" s="18">
        <v>29200</v>
      </c>
    </row>
    <row r="16" spans="1:2" hidden="1" outlineLevel="2" x14ac:dyDescent="0.2">
      <c r="A16">
        <v>70276</v>
      </c>
      <c r="B16" s="18">
        <v>12000</v>
      </c>
    </row>
    <row r="17" spans="1:2" hidden="1" outlineLevel="2" x14ac:dyDescent="0.2">
      <c r="A17">
        <v>70276</v>
      </c>
      <c r="B17" s="18">
        <v>522000</v>
      </c>
    </row>
    <row r="18" spans="1:2" hidden="1" outlineLevel="2" x14ac:dyDescent="0.2">
      <c r="A18">
        <v>70276</v>
      </c>
      <c r="B18" s="18">
        <v>69173</v>
      </c>
    </row>
    <row r="19" spans="1:2" hidden="1" outlineLevel="2" x14ac:dyDescent="0.2">
      <c r="A19">
        <v>70276</v>
      </c>
      <c r="B19" s="18">
        <v>4941</v>
      </c>
    </row>
    <row r="20" spans="1:2" outlineLevel="1" collapsed="1" x14ac:dyDescent="0.2">
      <c r="A20" s="20" t="s">
        <v>52</v>
      </c>
      <c r="B20" s="18">
        <f>SUBTOTAL(9,B8:B19)</f>
        <v>914601.42999999993</v>
      </c>
    </row>
    <row r="21" spans="1:2" hidden="1" outlineLevel="2" x14ac:dyDescent="0.2">
      <c r="A21">
        <v>70277</v>
      </c>
      <c r="B21" s="18">
        <v>95362</v>
      </c>
    </row>
    <row r="22" spans="1:2" hidden="1" outlineLevel="2" x14ac:dyDescent="0.2">
      <c r="A22">
        <v>70277</v>
      </c>
      <c r="B22" s="18">
        <v>300000</v>
      </c>
    </row>
    <row r="23" spans="1:2" hidden="1" outlineLevel="2" x14ac:dyDescent="0.2">
      <c r="A23">
        <v>70277</v>
      </c>
      <c r="B23" s="18">
        <v>16000</v>
      </c>
    </row>
    <row r="24" spans="1:2" hidden="1" outlineLevel="2" x14ac:dyDescent="0.2">
      <c r="A24">
        <v>70277</v>
      </c>
      <c r="B24" s="18">
        <v>15942.44</v>
      </c>
    </row>
    <row r="25" spans="1:2" hidden="1" outlineLevel="2" x14ac:dyDescent="0.2">
      <c r="A25">
        <v>70277</v>
      </c>
      <c r="B25" s="18">
        <v>610000</v>
      </c>
    </row>
    <row r="26" spans="1:2" hidden="1" outlineLevel="2" x14ac:dyDescent="0.2">
      <c r="A26">
        <v>70277</v>
      </c>
      <c r="B26" s="18">
        <v>2217500</v>
      </c>
    </row>
    <row r="27" spans="1:2" hidden="1" outlineLevel="2" x14ac:dyDescent="0.2">
      <c r="A27">
        <v>70277</v>
      </c>
      <c r="B27" s="18">
        <v>656354</v>
      </c>
    </row>
    <row r="28" spans="1:2" hidden="1" outlineLevel="2" x14ac:dyDescent="0.2">
      <c r="A28">
        <v>70277</v>
      </c>
      <c r="B28" s="18">
        <v>1430000</v>
      </c>
    </row>
    <row r="29" spans="1:2" hidden="1" outlineLevel="2" x14ac:dyDescent="0.2">
      <c r="A29">
        <v>70277</v>
      </c>
      <c r="B29" s="18">
        <v>29835.93</v>
      </c>
    </row>
    <row r="30" spans="1:2" hidden="1" outlineLevel="2" x14ac:dyDescent="0.2">
      <c r="A30">
        <v>70277</v>
      </c>
      <c r="B30" s="18">
        <v>19246.5</v>
      </c>
    </row>
    <row r="31" spans="1:2" hidden="1" outlineLevel="2" x14ac:dyDescent="0.2">
      <c r="A31">
        <v>70277</v>
      </c>
      <c r="B31" s="18">
        <v>24324</v>
      </c>
    </row>
    <row r="32" spans="1:2" hidden="1" outlineLevel="2" x14ac:dyDescent="0.2">
      <c r="A32">
        <v>70277</v>
      </c>
      <c r="B32" s="18">
        <v>135000</v>
      </c>
    </row>
    <row r="33" spans="1:2" hidden="1" outlineLevel="2" x14ac:dyDescent="0.2">
      <c r="A33">
        <v>70277</v>
      </c>
      <c r="B33" s="18">
        <v>66000</v>
      </c>
    </row>
    <row r="34" spans="1:2" hidden="1" outlineLevel="2" x14ac:dyDescent="0.2">
      <c r="A34">
        <v>70277</v>
      </c>
      <c r="B34" s="18">
        <v>130096.41</v>
      </c>
    </row>
    <row r="35" spans="1:2" hidden="1" outlineLevel="2" x14ac:dyDescent="0.2">
      <c r="A35">
        <v>70277</v>
      </c>
      <c r="B35" s="18">
        <v>1000000</v>
      </c>
    </row>
    <row r="36" spans="1:2" hidden="1" outlineLevel="2" x14ac:dyDescent="0.2">
      <c r="A36">
        <v>70277</v>
      </c>
      <c r="B36" s="18">
        <v>87515.64</v>
      </c>
    </row>
    <row r="37" spans="1:2" hidden="1" outlineLevel="2" x14ac:dyDescent="0.2">
      <c r="A37">
        <v>70277</v>
      </c>
      <c r="B37" s="18">
        <v>522540.27</v>
      </c>
    </row>
    <row r="38" spans="1:2" hidden="1" outlineLevel="2" x14ac:dyDescent="0.2">
      <c r="A38">
        <v>70277</v>
      </c>
      <c r="B38" s="18">
        <v>96037.2</v>
      </c>
    </row>
    <row r="39" spans="1:2" hidden="1" outlineLevel="2" x14ac:dyDescent="0.2">
      <c r="A39">
        <v>70277</v>
      </c>
      <c r="B39" s="18">
        <v>60000</v>
      </c>
    </row>
    <row r="40" spans="1:2" hidden="1" outlineLevel="2" x14ac:dyDescent="0.2">
      <c r="A40">
        <v>70277</v>
      </c>
      <c r="B40" s="18">
        <v>13102</v>
      </c>
    </row>
    <row r="41" spans="1:2" hidden="1" outlineLevel="2" x14ac:dyDescent="0.2">
      <c r="A41">
        <v>70277</v>
      </c>
      <c r="B41" s="18">
        <v>22.63</v>
      </c>
    </row>
    <row r="42" spans="1:2" hidden="1" outlineLevel="2" x14ac:dyDescent="0.2">
      <c r="A42">
        <v>70277</v>
      </c>
      <c r="B42" s="18">
        <v>62908.32</v>
      </c>
    </row>
    <row r="43" spans="1:2" hidden="1" outlineLevel="2" x14ac:dyDescent="0.2">
      <c r="A43">
        <v>70277</v>
      </c>
      <c r="B43" s="18">
        <v>18994.07</v>
      </c>
    </row>
    <row r="44" spans="1:2" hidden="1" outlineLevel="2" x14ac:dyDescent="0.2">
      <c r="A44">
        <v>70277</v>
      </c>
      <c r="B44" s="18">
        <v>57.56</v>
      </c>
    </row>
    <row r="45" spans="1:2" hidden="1" outlineLevel="2" x14ac:dyDescent="0.2">
      <c r="A45">
        <v>70277</v>
      </c>
      <c r="B45" s="18">
        <v>500000</v>
      </c>
    </row>
    <row r="46" spans="1:2" hidden="1" outlineLevel="2" x14ac:dyDescent="0.2">
      <c r="A46">
        <v>70277</v>
      </c>
      <c r="B46" s="18">
        <v>2125779</v>
      </c>
    </row>
    <row r="47" spans="1:2" outlineLevel="1" collapsed="1" x14ac:dyDescent="0.2">
      <c r="A47" s="20" t="s">
        <v>53</v>
      </c>
      <c r="B47" s="18">
        <f>SUBTOTAL(9,B21:B46)</f>
        <v>10232617.969999999</v>
      </c>
    </row>
    <row r="48" spans="1:2" hidden="1" outlineLevel="2" x14ac:dyDescent="0.2">
      <c r="A48">
        <v>70278</v>
      </c>
      <c r="B48" s="18">
        <v>393459</v>
      </c>
    </row>
    <row r="49" spans="1:2" hidden="1" outlineLevel="2" x14ac:dyDescent="0.2">
      <c r="A49">
        <v>70278</v>
      </c>
      <c r="B49" s="18">
        <v>87000</v>
      </c>
    </row>
    <row r="50" spans="1:2" hidden="1" outlineLevel="2" x14ac:dyDescent="0.2">
      <c r="A50">
        <v>70278</v>
      </c>
      <c r="B50" s="18">
        <v>8000</v>
      </c>
    </row>
    <row r="51" spans="1:2" hidden="1" outlineLevel="2" x14ac:dyDescent="0.2">
      <c r="A51">
        <v>70278</v>
      </c>
      <c r="B51" s="18">
        <v>72928.800000000003</v>
      </c>
    </row>
    <row r="52" spans="1:2" outlineLevel="1" collapsed="1" x14ac:dyDescent="0.2">
      <c r="A52" s="20" t="s">
        <v>54</v>
      </c>
      <c r="B52" s="18">
        <f>SUBTOTAL(9,B48:B51)</f>
        <v>561387.80000000005</v>
      </c>
    </row>
    <row r="53" spans="1:2" hidden="1" outlineLevel="2" x14ac:dyDescent="0.2">
      <c r="A53">
        <v>70279</v>
      </c>
      <c r="B53" s="18">
        <v>33000</v>
      </c>
    </row>
    <row r="54" spans="1:2" hidden="1" outlineLevel="2" x14ac:dyDescent="0.2">
      <c r="A54">
        <v>70279</v>
      </c>
      <c r="B54" s="18">
        <v>120000</v>
      </c>
    </row>
    <row r="55" spans="1:2" hidden="1" outlineLevel="2" x14ac:dyDescent="0.2">
      <c r="A55">
        <v>70279</v>
      </c>
      <c r="B55" s="18">
        <v>27000</v>
      </c>
    </row>
    <row r="56" spans="1:2" hidden="1" outlineLevel="2" x14ac:dyDescent="0.2">
      <c r="A56">
        <v>70279</v>
      </c>
      <c r="B56" s="18">
        <v>40000</v>
      </c>
    </row>
    <row r="57" spans="1:2" outlineLevel="1" collapsed="1" x14ac:dyDescent="0.2">
      <c r="A57" s="20" t="s">
        <v>55</v>
      </c>
      <c r="B57" s="18">
        <f>SUBTOTAL(9,B53:B56)</f>
        <v>220000</v>
      </c>
    </row>
    <row r="58" spans="1:2" hidden="1" outlineLevel="2" x14ac:dyDescent="0.2">
      <c r="A58">
        <v>70280</v>
      </c>
      <c r="B58" s="18">
        <v>197012</v>
      </c>
    </row>
    <row r="59" spans="1:2" hidden="1" outlineLevel="2" x14ac:dyDescent="0.2">
      <c r="A59">
        <v>70280</v>
      </c>
      <c r="B59" s="18">
        <v>149026</v>
      </c>
    </row>
    <row r="60" spans="1:2" outlineLevel="1" collapsed="1" x14ac:dyDescent="0.2">
      <c r="A60" s="20" t="s">
        <v>56</v>
      </c>
      <c r="B60" s="18">
        <f>SUBTOTAL(9,B58:B59)</f>
        <v>346038</v>
      </c>
    </row>
    <row r="61" spans="1:2" hidden="1" outlineLevel="2" x14ac:dyDescent="0.2">
      <c r="A61">
        <v>70281</v>
      </c>
      <c r="B61" s="18">
        <v>8000</v>
      </c>
    </row>
    <row r="62" spans="1:2" hidden="1" outlineLevel="2" x14ac:dyDescent="0.2">
      <c r="A62">
        <v>70281</v>
      </c>
      <c r="B62" s="18">
        <v>17681</v>
      </c>
    </row>
    <row r="63" spans="1:2" outlineLevel="1" collapsed="1" x14ac:dyDescent="0.2">
      <c r="A63" s="20" t="s">
        <v>57</v>
      </c>
      <c r="B63" s="18">
        <f>SUBTOTAL(9,B61:B62)</f>
        <v>25681</v>
      </c>
    </row>
    <row r="64" spans="1:2" hidden="1" outlineLevel="2" x14ac:dyDescent="0.2">
      <c r="A64">
        <v>70282</v>
      </c>
      <c r="B64" s="18">
        <v>93000</v>
      </c>
    </row>
    <row r="65" spans="1:2" hidden="1" outlineLevel="2" x14ac:dyDescent="0.2">
      <c r="A65">
        <v>70282</v>
      </c>
      <c r="B65" s="18">
        <v>71000</v>
      </c>
    </row>
    <row r="66" spans="1:2" hidden="1" outlineLevel="2" x14ac:dyDescent="0.2">
      <c r="A66">
        <v>70282</v>
      </c>
      <c r="B66" s="18">
        <v>323628</v>
      </c>
    </row>
    <row r="67" spans="1:2" hidden="1" outlineLevel="2" x14ac:dyDescent="0.2">
      <c r="A67">
        <v>70282</v>
      </c>
      <c r="B67" s="18">
        <v>9000</v>
      </c>
    </row>
    <row r="68" spans="1:2" hidden="1" outlineLevel="2" x14ac:dyDescent="0.2">
      <c r="A68">
        <v>70282</v>
      </c>
      <c r="B68" s="18">
        <v>2000</v>
      </c>
    </row>
    <row r="69" spans="1:2" hidden="1" outlineLevel="2" x14ac:dyDescent="0.2">
      <c r="A69">
        <v>70282</v>
      </c>
      <c r="B69" s="18">
        <v>808074</v>
      </c>
    </row>
    <row r="70" spans="1:2" hidden="1" outlineLevel="2" x14ac:dyDescent="0.2">
      <c r="A70">
        <v>70282</v>
      </c>
      <c r="B70" s="18">
        <v>988180</v>
      </c>
    </row>
    <row r="71" spans="1:2" outlineLevel="1" collapsed="1" x14ac:dyDescent="0.2">
      <c r="A71" s="20" t="s">
        <v>58</v>
      </c>
      <c r="B71" s="18">
        <f>SUBTOTAL(9,B64:B70)</f>
        <v>2294882</v>
      </c>
    </row>
    <row r="72" spans="1:2" hidden="1" outlineLevel="2" x14ac:dyDescent="0.2">
      <c r="A72">
        <v>70283</v>
      </c>
      <c r="B72" s="18">
        <v>56000</v>
      </c>
    </row>
    <row r="73" spans="1:2" outlineLevel="1" collapsed="1" x14ac:dyDescent="0.2">
      <c r="A73" s="20" t="s">
        <v>59</v>
      </c>
      <c r="B73" s="18">
        <f>SUBTOTAL(9,B72:B72)</f>
        <v>56000</v>
      </c>
    </row>
    <row r="74" spans="1:2" hidden="1" outlineLevel="2" x14ac:dyDescent="0.2">
      <c r="A74">
        <v>70286</v>
      </c>
      <c r="B74" s="18">
        <v>289873.03000000003</v>
      </c>
    </row>
    <row r="75" spans="1:2" hidden="1" outlineLevel="2" x14ac:dyDescent="0.2">
      <c r="A75">
        <v>70286</v>
      </c>
      <c r="B75" s="18">
        <v>262652</v>
      </c>
    </row>
    <row r="76" spans="1:2" hidden="1" outlineLevel="2" x14ac:dyDescent="0.2">
      <c r="A76">
        <v>70286</v>
      </c>
      <c r="B76" s="18">
        <v>52163.64</v>
      </c>
    </row>
    <row r="77" spans="1:2" hidden="1" outlineLevel="2" x14ac:dyDescent="0.2">
      <c r="A77">
        <v>70286</v>
      </c>
      <c r="B77" s="18">
        <v>2000</v>
      </c>
    </row>
    <row r="78" spans="1:2" hidden="1" outlineLevel="2" x14ac:dyDescent="0.2">
      <c r="A78">
        <v>70286</v>
      </c>
      <c r="B78" s="18">
        <v>168000</v>
      </c>
    </row>
    <row r="79" spans="1:2" hidden="1" outlineLevel="2" x14ac:dyDescent="0.2">
      <c r="A79">
        <v>70286</v>
      </c>
      <c r="B79" s="18">
        <v>20000</v>
      </c>
    </row>
    <row r="80" spans="1:2" outlineLevel="1" collapsed="1" x14ac:dyDescent="0.2">
      <c r="A80" s="20" t="s">
        <v>60</v>
      </c>
      <c r="B80" s="18">
        <f>SUBTOTAL(9,B74:B79)</f>
        <v>794688.67</v>
      </c>
    </row>
    <row r="81" spans="1:2" hidden="1" outlineLevel="2" x14ac:dyDescent="0.2">
      <c r="A81">
        <v>70289</v>
      </c>
      <c r="B81" s="18">
        <v>144745.35999999999</v>
      </c>
    </row>
    <row r="82" spans="1:2" hidden="1" outlineLevel="2" x14ac:dyDescent="0.2">
      <c r="A82">
        <v>70289</v>
      </c>
      <c r="B82" s="18">
        <v>8422.64</v>
      </c>
    </row>
    <row r="83" spans="1:2" hidden="1" outlineLevel="2" x14ac:dyDescent="0.2">
      <c r="A83">
        <v>70289</v>
      </c>
      <c r="B83" s="18">
        <v>98818</v>
      </c>
    </row>
    <row r="84" spans="1:2" hidden="1" outlineLevel="2" x14ac:dyDescent="0.2">
      <c r="A84">
        <v>70289</v>
      </c>
      <c r="B84" s="18">
        <v>573144</v>
      </c>
    </row>
    <row r="85" spans="1:2" outlineLevel="1" collapsed="1" x14ac:dyDescent="0.2">
      <c r="A85" s="20" t="s">
        <v>61</v>
      </c>
      <c r="B85" s="18">
        <f>SUBTOTAL(9,B81:B84)</f>
        <v>825130</v>
      </c>
    </row>
    <row r="86" spans="1:2" hidden="1" outlineLevel="2" x14ac:dyDescent="0.2">
      <c r="A86">
        <v>70290</v>
      </c>
      <c r="B86" s="18">
        <v>8850</v>
      </c>
    </row>
    <row r="87" spans="1:2" hidden="1" outlineLevel="2" x14ac:dyDescent="0.2">
      <c r="A87">
        <v>70290</v>
      </c>
      <c r="B87" s="18">
        <v>592908</v>
      </c>
    </row>
    <row r="88" spans="1:2" hidden="1" outlineLevel="2" x14ac:dyDescent="0.2">
      <c r="A88">
        <v>70290</v>
      </c>
      <c r="B88" s="18">
        <v>1025234.64</v>
      </c>
    </row>
    <row r="89" spans="1:2" hidden="1" outlineLevel="2" x14ac:dyDescent="0.2">
      <c r="A89">
        <v>70290</v>
      </c>
      <c r="B89" s="18">
        <v>1363688</v>
      </c>
    </row>
    <row r="90" spans="1:2" hidden="1" outlineLevel="2" x14ac:dyDescent="0.2">
      <c r="A90">
        <v>70290</v>
      </c>
      <c r="B90" s="18">
        <v>14848</v>
      </c>
    </row>
    <row r="91" spans="1:2" hidden="1" outlineLevel="2" x14ac:dyDescent="0.2">
      <c r="A91">
        <v>70290</v>
      </c>
      <c r="B91" s="18">
        <v>1067234</v>
      </c>
    </row>
    <row r="92" spans="1:2" outlineLevel="1" collapsed="1" x14ac:dyDescent="0.2">
      <c r="A92" s="20" t="s">
        <v>62</v>
      </c>
      <c r="B92" s="18">
        <f>SUBTOTAL(9,B86:B91)</f>
        <v>4072762.64</v>
      </c>
    </row>
    <row r="93" spans="1:2" hidden="1" outlineLevel="2" x14ac:dyDescent="0.2">
      <c r="A93">
        <v>70292</v>
      </c>
      <c r="B93" s="18">
        <v>95921.68</v>
      </c>
    </row>
    <row r="94" spans="1:2" outlineLevel="1" collapsed="1" x14ac:dyDescent="0.2">
      <c r="A94" s="20" t="s">
        <v>63</v>
      </c>
      <c r="B94" s="18">
        <f>SUBTOTAL(9,B93:B93)</f>
        <v>95921.68</v>
      </c>
    </row>
    <row r="95" spans="1:2" hidden="1" outlineLevel="2" x14ac:dyDescent="0.2">
      <c r="A95">
        <v>70295</v>
      </c>
      <c r="B95" s="18">
        <v>13461900</v>
      </c>
    </row>
    <row r="96" spans="1:2" hidden="1" outlineLevel="2" x14ac:dyDescent="0.2">
      <c r="A96">
        <v>70295</v>
      </c>
      <c r="B96" s="18">
        <v>213998.13</v>
      </c>
    </row>
    <row r="97" spans="1:2" hidden="1" outlineLevel="2" x14ac:dyDescent="0.2">
      <c r="A97">
        <v>70295</v>
      </c>
      <c r="B97" s="18">
        <v>494688.23</v>
      </c>
    </row>
    <row r="98" spans="1:2" hidden="1" outlineLevel="2" x14ac:dyDescent="0.2">
      <c r="A98">
        <v>70295</v>
      </c>
      <c r="B98" s="18">
        <v>2109918.4500000002</v>
      </c>
    </row>
    <row r="99" spans="1:2" hidden="1" outlineLevel="2" x14ac:dyDescent="0.2">
      <c r="A99">
        <v>70295</v>
      </c>
      <c r="B99" s="18">
        <v>100958.57</v>
      </c>
    </row>
    <row r="100" spans="1:2" hidden="1" outlineLevel="2" x14ac:dyDescent="0.2">
      <c r="A100">
        <v>70295</v>
      </c>
      <c r="B100" s="18">
        <v>2581421.21</v>
      </c>
    </row>
    <row r="101" spans="1:2" hidden="1" outlineLevel="2" x14ac:dyDescent="0.2">
      <c r="A101">
        <v>70295</v>
      </c>
      <c r="B101" s="18">
        <v>72272.78</v>
      </c>
    </row>
    <row r="102" spans="1:2" hidden="1" outlineLevel="2" x14ac:dyDescent="0.2">
      <c r="A102">
        <v>70295</v>
      </c>
      <c r="B102" s="18">
        <v>649065.81999999995</v>
      </c>
    </row>
    <row r="103" spans="1:2" hidden="1" outlineLevel="2" x14ac:dyDescent="0.2">
      <c r="A103">
        <v>70295</v>
      </c>
      <c r="B103" s="18">
        <v>6378.88</v>
      </c>
    </row>
    <row r="104" spans="1:2" hidden="1" outlineLevel="2" x14ac:dyDescent="0.2">
      <c r="A104">
        <v>70295</v>
      </c>
      <c r="B104" s="18">
        <v>96393.21</v>
      </c>
    </row>
    <row r="105" spans="1:2" hidden="1" outlineLevel="2" x14ac:dyDescent="0.2">
      <c r="A105">
        <v>70295</v>
      </c>
      <c r="B105" s="18">
        <v>73879296.879999995</v>
      </c>
    </row>
    <row r="106" spans="1:2" hidden="1" outlineLevel="2" x14ac:dyDescent="0.2">
      <c r="A106">
        <v>70295</v>
      </c>
      <c r="B106" s="18">
        <v>1763621.24</v>
      </c>
    </row>
    <row r="107" spans="1:2" hidden="1" outlineLevel="2" x14ac:dyDescent="0.2">
      <c r="A107">
        <v>70295</v>
      </c>
      <c r="B107" s="18">
        <v>5152.79</v>
      </c>
    </row>
    <row r="108" spans="1:2" hidden="1" outlineLevel="2" x14ac:dyDescent="0.2">
      <c r="A108">
        <v>70295</v>
      </c>
      <c r="B108" s="18">
        <v>269304.96000000002</v>
      </c>
    </row>
    <row r="109" spans="1:2" hidden="1" outlineLevel="2" x14ac:dyDescent="0.2">
      <c r="A109">
        <v>70295</v>
      </c>
      <c r="B109" s="18">
        <v>4909.41</v>
      </c>
    </row>
    <row r="110" spans="1:2" hidden="1" outlineLevel="2" x14ac:dyDescent="0.2">
      <c r="A110">
        <v>70295</v>
      </c>
      <c r="B110" s="18">
        <v>24243.91</v>
      </c>
    </row>
    <row r="111" spans="1:2" hidden="1" outlineLevel="2" x14ac:dyDescent="0.2">
      <c r="A111">
        <v>70295</v>
      </c>
      <c r="B111" s="18">
        <v>430617.32</v>
      </c>
    </row>
    <row r="112" spans="1:2" hidden="1" outlineLevel="2" x14ac:dyDescent="0.2">
      <c r="A112">
        <v>70295</v>
      </c>
      <c r="B112" s="18">
        <v>14.55</v>
      </c>
    </row>
    <row r="113" spans="1:2" hidden="1" outlineLevel="2" x14ac:dyDescent="0.2">
      <c r="A113">
        <v>70295</v>
      </c>
      <c r="B113" s="18">
        <v>751920</v>
      </c>
    </row>
    <row r="114" spans="1:2" hidden="1" outlineLevel="2" x14ac:dyDescent="0.2">
      <c r="A114">
        <v>70295</v>
      </c>
      <c r="B114" s="18">
        <v>325000</v>
      </c>
    </row>
    <row r="115" spans="1:2" hidden="1" outlineLevel="2" x14ac:dyDescent="0.2">
      <c r="A115">
        <v>70295</v>
      </c>
      <c r="B115" s="18">
        <v>6106320</v>
      </c>
    </row>
    <row r="116" spans="1:2" hidden="1" outlineLevel="2" x14ac:dyDescent="0.2">
      <c r="A116">
        <v>70295</v>
      </c>
      <c r="B116" s="18">
        <v>121164</v>
      </c>
    </row>
    <row r="117" spans="1:2" hidden="1" outlineLevel="2" x14ac:dyDescent="0.2">
      <c r="A117">
        <v>70295</v>
      </c>
      <c r="B117" s="18">
        <v>4385604</v>
      </c>
    </row>
    <row r="118" spans="1:2" hidden="1" outlineLevel="2" x14ac:dyDescent="0.2">
      <c r="A118">
        <v>70295</v>
      </c>
      <c r="B118" s="18">
        <v>2386.17</v>
      </c>
    </row>
    <row r="119" spans="1:2" hidden="1" outlineLevel="2" x14ac:dyDescent="0.2">
      <c r="A119">
        <v>70295</v>
      </c>
      <c r="B119" s="18">
        <v>118916</v>
      </c>
    </row>
    <row r="120" spans="1:2" hidden="1" outlineLevel="2" x14ac:dyDescent="0.2">
      <c r="A120">
        <v>70295</v>
      </c>
      <c r="B120" s="18">
        <v>10930686.300000001</v>
      </c>
    </row>
    <row r="121" spans="1:2" hidden="1" outlineLevel="2" x14ac:dyDescent="0.2">
      <c r="A121">
        <v>70295</v>
      </c>
      <c r="B121" s="18">
        <v>2135526.7000000002</v>
      </c>
    </row>
    <row r="122" spans="1:2" outlineLevel="1" collapsed="1" x14ac:dyDescent="0.2">
      <c r="A122" s="20" t="s">
        <v>64</v>
      </c>
      <c r="B122" s="18">
        <f>SUBTOTAL(9,B95:B121)</f>
        <v>121041679.50999998</v>
      </c>
    </row>
    <row r="123" spans="1:2" hidden="1" outlineLevel="2" x14ac:dyDescent="0.2">
      <c r="A123">
        <v>70390</v>
      </c>
      <c r="B123" s="18">
        <v>3395</v>
      </c>
    </row>
    <row r="124" spans="1:2" hidden="1" outlineLevel="2" x14ac:dyDescent="0.2">
      <c r="A124">
        <v>70390</v>
      </c>
      <c r="B124" s="18">
        <v>32395</v>
      </c>
    </row>
    <row r="125" spans="1:2" hidden="1" outlineLevel="2" x14ac:dyDescent="0.2">
      <c r="A125">
        <v>70390</v>
      </c>
      <c r="B125" s="18">
        <v>27176</v>
      </c>
    </row>
    <row r="126" spans="1:2" hidden="1" outlineLevel="2" x14ac:dyDescent="0.2">
      <c r="A126">
        <v>70390</v>
      </c>
      <c r="B126" s="18">
        <v>27668</v>
      </c>
    </row>
    <row r="127" spans="1:2" hidden="1" outlineLevel="2" x14ac:dyDescent="0.2">
      <c r="A127">
        <v>70390</v>
      </c>
      <c r="B127" s="18">
        <v>32609</v>
      </c>
    </row>
    <row r="128" spans="1:2" hidden="1" outlineLevel="2" x14ac:dyDescent="0.2">
      <c r="A128">
        <v>70390</v>
      </c>
      <c r="B128" s="18">
        <v>15416</v>
      </c>
    </row>
    <row r="129" spans="1:2" hidden="1" outlineLevel="2" x14ac:dyDescent="0.2">
      <c r="A129">
        <v>70390</v>
      </c>
      <c r="B129" s="18">
        <v>69174</v>
      </c>
    </row>
    <row r="130" spans="1:2" outlineLevel="1" collapsed="1" x14ac:dyDescent="0.2">
      <c r="A130" s="20" t="s">
        <v>65</v>
      </c>
      <c r="B130" s="18">
        <f>SUBTOTAL(9,B123:B129)</f>
        <v>207833</v>
      </c>
    </row>
    <row r="131" spans="1:2" hidden="1" outlineLevel="2" x14ac:dyDescent="0.2">
      <c r="A131">
        <v>70391</v>
      </c>
      <c r="B131" s="18">
        <v>11000</v>
      </c>
    </row>
    <row r="132" spans="1:2" outlineLevel="1" collapsed="1" x14ac:dyDescent="0.2">
      <c r="A132" s="20" t="s">
        <v>66</v>
      </c>
      <c r="B132" s="18">
        <f>SUBTOTAL(9,B131:B131)</f>
        <v>11000</v>
      </c>
    </row>
    <row r="133" spans="1:2" hidden="1" outlineLevel="2" x14ac:dyDescent="0.2">
      <c r="A133">
        <v>70392</v>
      </c>
      <c r="B133" s="18">
        <v>10000</v>
      </c>
    </row>
    <row r="134" spans="1:2" outlineLevel="1" collapsed="1" x14ac:dyDescent="0.2">
      <c r="A134" s="20" t="s">
        <v>67</v>
      </c>
      <c r="B134" s="18">
        <f>SUBTOTAL(9,B133:B133)</f>
        <v>10000</v>
      </c>
    </row>
    <row r="135" spans="1:2" hidden="1" outlineLevel="2" x14ac:dyDescent="0.2">
      <c r="A135">
        <v>70393</v>
      </c>
      <c r="B135" s="18">
        <v>36773</v>
      </c>
    </row>
    <row r="136" spans="1:2" outlineLevel="1" collapsed="1" x14ac:dyDescent="0.2">
      <c r="A136" s="20" t="s">
        <v>68</v>
      </c>
      <c r="B136" s="18">
        <f>SUBTOTAL(9,B135:B135)</f>
        <v>36773</v>
      </c>
    </row>
    <row r="137" spans="1:2" hidden="1" outlineLevel="2" x14ac:dyDescent="0.2">
      <c r="A137">
        <v>70396</v>
      </c>
      <c r="B137" s="18">
        <v>10000</v>
      </c>
    </row>
    <row r="138" spans="1:2" hidden="1" outlineLevel="2" x14ac:dyDescent="0.2">
      <c r="A138">
        <v>70396</v>
      </c>
      <c r="B138" s="18">
        <v>96000</v>
      </c>
    </row>
    <row r="139" spans="1:2" hidden="1" outlineLevel="2" x14ac:dyDescent="0.2">
      <c r="A139">
        <v>70396</v>
      </c>
      <c r="B139" s="18">
        <v>35000</v>
      </c>
    </row>
    <row r="140" spans="1:2" hidden="1" outlineLevel="2" x14ac:dyDescent="0.2">
      <c r="A140">
        <v>70396</v>
      </c>
      <c r="B140" s="18">
        <v>9600</v>
      </c>
    </row>
    <row r="141" spans="1:2" hidden="1" outlineLevel="2" x14ac:dyDescent="0.2">
      <c r="A141">
        <v>70396</v>
      </c>
      <c r="B141" s="18">
        <v>60000</v>
      </c>
    </row>
    <row r="142" spans="1:2" hidden="1" outlineLevel="2" x14ac:dyDescent="0.2">
      <c r="A142">
        <v>70396</v>
      </c>
      <c r="B142" s="18">
        <v>56500</v>
      </c>
    </row>
    <row r="143" spans="1:2" outlineLevel="1" collapsed="1" x14ac:dyDescent="0.2">
      <c r="A143" s="20" t="s">
        <v>69</v>
      </c>
      <c r="B143" s="18">
        <f>SUBTOTAL(9,B137:B142)</f>
        <v>267100</v>
      </c>
    </row>
    <row r="144" spans="1:2" hidden="1" outlineLevel="2" x14ac:dyDescent="0.2">
      <c r="A144" t="s">
        <v>47</v>
      </c>
      <c r="B144" s="18">
        <v>18865.93</v>
      </c>
    </row>
    <row r="145" spans="1:2" outlineLevel="1" collapsed="1" x14ac:dyDescent="0.2">
      <c r="A145" s="20" t="s">
        <v>70</v>
      </c>
      <c r="B145" s="18">
        <f>SUBTOTAL(9,B144:B144)</f>
        <v>18865.93</v>
      </c>
    </row>
    <row r="146" spans="1:2" hidden="1" outlineLevel="2" x14ac:dyDescent="0.2">
      <c r="A146" t="s">
        <v>46</v>
      </c>
      <c r="B146" s="18">
        <v>486000</v>
      </c>
    </row>
    <row r="147" spans="1:2" outlineLevel="1" collapsed="1" x14ac:dyDescent="0.2">
      <c r="A147" s="20" t="s">
        <v>71</v>
      </c>
      <c r="B147" s="18">
        <f>SUBTOTAL(9,B146:B146)</f>
        <v>486000</v>
      </c>
    </row>
    <row r="148" spans="1:2" outlineLevel="1" x14ac:dyDescent="0.2">
      <c r="B148" s="19">
        <f>SUM(B2:B146)</f>
        <v>285187145.48000002</v>
      </c>
    </row>
    <row r="149" spans="1:2" outlineLevel="1" x14ac:dyDescent="0.2">
      <c r="A149" s="20" t="s">
        <v>72</v>
      </c>
      <c r="B149" s="19">
        <f>SUBTOTAL(9,B2:B148)</f>
        <v>428023718.22000003</v>
      </c>
    </row>
  </sheetData>
  <sortState ref="A2:B146">
    <sortCondition ref="A2:A14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UNIDADES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dc:description/>
  <cp:lastModifiedBy>Rui Carlos Galvão</cp:lastModifiedBy>
  <cp:revision>7</cp:revision>
  <cp:lastPrinted>2024-09-30T17:20:07Z</cp:lastPrinted>
  <dcterms:created xsi:type="dcterms:W3CDTF">2023-04-17T23:49:39Z</dcterms:created>
  <dcterms:modified xsi:type="dcterms:W3CDTF">2024-10-14T12:50:23Z</dcterms:modified>
  <dc:language>pt-BR</dc:language>
</cp:coreProperties>
</file>