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Conhecimentos\Faculdade\Fenexp1\Prática 5 - Curva Característica de Bomba Centrífuga\"/>
    </mc:Choice>
  </mc:AlternateContent>
  <xr:revisionPtr revIDLastSave="0" documentId="13_ncr:1_{86DCD954-D1BB-46BE-9438-B0C18A7372E6}" xr6:coauthVersionLast="43" xr6:coauthVersionMax="43" xr10:uidLastSave="{00000000-0000-0000-0000-000000000000}"/>
  <bookViews>
    <workbookView xWindow="-120" yWindow="-120" windowWidth="20730" windowHeight="11760" xr2:uid="{789E74A4-A1A0-4575-A43B-1C064B8A26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3" i="1"/>
  <c r="Q4" i="1"/>
  <c r="Q5" i="1"/>
  <c r="Q6" i="1"/>
  <c r="Q7" i="1"/>
  <c r="Q8" i="1"/>
  <c r="Q9" i="1"/>
  <c r="Q10" i="1"/>
  <c r="Q3" i="1"/>
  <c r="S4" i="1"/>
  <c r="S5" i="1"/>
  <c r="S6" i="1"/>
  <c r="S7" i="1"/>
  <c r="S8" i="1"/>
  <c r="S9" i="1"/>
  <c r="S10" i="1"/>
  <c r="S3" i="1"/>
  <c r="O18" i="1"/>
  <c r="O19" i="1"/>
  <c r="O20" i="1"/>
  <c r="O21" i="1"/>
  <c r="O22" i="1"/>
  <c r="O23" i="1"/>
  <c r="O24" i="1"/>
  <c r="O17" i="1"/>
  <c r="N18" i="1"/>
  <c r="N19" i="1"/>
  <c r="N20" i="1"/>
  <c r="N21" i="1"/>
  <c r="N22" i="1"/>
  <c r="N23" i="1"/>
  <c r="N24" i="1"/>
  <c r="N17" i="1"/>
  <c r="M18" i="1"/>
  <c r="M19" i="1"/>
  <c r="M20" i="1"/>
  <c r="M21" i="1"/>
  <c r="M22" i="1"/>
  <c r="M23" i="1"/>
  <c r="M24" i="1"/>
  <c r="M17" i="1"/>
  <c r="K18" i="1"/>
  <c r="K19" i="1"/>
  <c r="K20" i="1"/>
  <c r="K21" i="1"/>
  <c r="K22" i="1"/>
  <c r="K23" i="1"/>
  <c r="K24" i="1"/>
  <c r="K17" i="1"/>
  <c r="J18" i="1"/>
  <c r="J19" i="1"/>
  <c r="J20" i="1"/>
  <c r="J21" i="1"/>
  <c r="J22" i="1"/>
  <c r="J23" i="1"/>
  <c r="J24" i="1"/>
  <c r="J17" i="1"/>
  <c r="L18" i="1"/>
  <c r="L19" i="1"/>
  <c r="L20" i="1"/>
  <c r="L21" i="1"/>
  <c r="L22" i="1"/>
  <c r="L23" i="1"/>
  <c r="L24" i="1"/>
  <c r="L17" i="1"/>
  <c r="I18" i="1"/>
  <c r="I19" i="1"/>
  <c r="I20" i="1"/>
  <c r="I21" i="1"/>
  <c r="I22" i="1"/>
  <c r="I23" i="1"/>
  <c r="I24" i="1"/>
  <c r="I17" i="1"/>
  <c r="H18" i="1"/>
  <c r="H19" i="1"/>
  <c r="H20" i="1"/>
  <c r="H21" i="1"/>
  <c r="H22" i="1"/>
  <c r="H23" i="1"/>
  <c r="H24" i="1"/>
  <c r="H17" i="1"/>
  <c r="G18" i="1"/>
  <c r="G19" i="1"/>
  <c r="G20" i="1"/>
  <c r="G21" i="1"/>
  <c r="G22" i="1"/>
  <c r="G23" i="1"/>
  <c r="G24" i="1"/>
  <c r="G17" i="1"/>
  <c r="F18" i="1"/>
  <c r="F19" i="1"/>
  <c r="F20" i="1"/>
  <c r="F21" i="1"/>
  <c r="F22" i="1"/>
  <c r="F23" i="1"/>
  <c r="F24" i="1"/>
  <c r="F17" i="1"/>
  <c r="B8" i="1"/>
  <c r="E18" i="1"/>
  <c r="E19" i="1"/>
  <c r="E20" i="1"/>
  <c r="E21" i="1"/>
  <c r="E22" i="1"/>
  <c r="E23" i="1"/>
  <c r="E24" i="1"/>
  <c r="E17" i="1"/>
  <c r="B7" i="1" l="1"/>
</calcChain>
</file>

<file path=xl/sharedStrings.xml><?xml version="1.0" encoding="utf-8"?>
<sst xmlns="http://schemas.openxmlformats.org/spreadsheetml/2006/main" count="30" uniqueCount="28">
  <si>
    <t>Dados</t>
  </si>
  <si>
    <r>
      <t>Densidade Água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</si>
  <si>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Densidade Mercúrio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</si>
  <si>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Dados Experimentais</t>
  </si>
  <si>
    <t>n</t>
  </si>
  <si>
    <t>Vazão (kg/s)</t>
  </si>
  <si>
    <t>h1 (m)</t>
  </si>
  <si>
    <t>Memorial de Cálculo</t>
  </si>
  <si>
    <t>Curva de Bomba</t>
  </si>
  <si>
    <t>D Aço Venturi (m)</t>
  </si>
  <si>
    <r>
      <t>A Aço Venturi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</si>
  <si>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h0 (m)</t>
  </si>
  <si>
    <t>Watí (W)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</si>
  <si>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P Venturi (Pa)</t>
    </r>
  </si>
  <si>
    <t>vb (m/s)</t>
  </si>
  <si>
    <t>P2 (Pa)</t>
  </si>
  <si>
    <t>Pot (W)</t>
  </si>
  <si>
    <t>Rendimento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</si>
  <si>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(m)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</si>
  <si>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Hg</t>
    </r>
    <r>
      <rPr>
        <b/>
        <sz val="11"/>
        <color theme="1"/>
        <rFont val="Calibri"/>
        <family val="2"/>
        <scheme val="minor"/>
      </rPr>
      <t xml:space="preserve"> (m)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</si>
  <si>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vent</t>
    </r>
    <r>
      <rPr>
        <b/>
        <sz val="11"/>
        <color theme="1"/>
        <rFont val="Calibri"/>
        <family val="2"/>
        <scheme val="minor"/>
      </rPr>
      <t xml:space="preserve"> (m)</t>
    </r>
  </si>
  <si>
    <r>
      <t>gc (m/s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</si>
  <si>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Ep (J/kg)</t>
  </si>
  <si>
    <t>Ec (J/kg)</t>
  </si>
  <si>
    <t>Epote (J/kg)</t>
  </si>
  <si>
    <t>H (m)</t>
  </si>
  <si>
    <t>Vazão (L/min)</t>
  </si>
  <si>
    <t>Q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</si>
</sst>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0" xfId="0" applyBorder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Curva</a:t>
            </a:r>
            <a:r>
              <a:rPr lang="pt-BR" baseline="0"/>
              <a:t> Característica C700-3450rpm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Planilha1!$S$2</c:f>
              <c:strCache>
                <c:ptCount val="1"/>
                <c:pt idx="0">
                  <c:v>H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Planilha1!$R$3:$R$10</c:f>
              <c:numCache>
                <c:formatCode>General</c:formatCode>
                <c:ptCount val="8"/>
                <c:pt idx="0">
                  <c:v>184.76657515485346</c:v>
                </c:pt>
                <c:pt idx="1">
                  <c:v>176.95173638290768</c:v>
                </c:pt>
                <c:pt idx="2">
                  <c:v>163.54080768559777</c:v>
                </c:pt>
                <c:pt idx="3">
                  <c:v>155.35851879136584</c:v>
                </c:pt>
                <c:pt idx="4">
                  <c:v>142.2050622690044</c:v>
                </c:pt>
                <c:pt idx="5">
                  <c:v>118.88587564399832</c:v>
                </c:pt>
                <c:pt idx="6">
                  <c:v>80.767048005521815</c:v>
                </c:pt>
                <c:pt idx="7">
                  <c:v>55.174397628298486</c:v>
                </c:pt>
              </c:numCache>
            </c:numRef>
          </c:xVal>
          <c:yVal>
            <c:numRef>
              <c:f>Planilha1!$S$3:$S$10</c:f>
              <c:numCache>
                <c:formatCode>0.00</c:formatCode>
                <c:ptCount val="8"/>
                <c:pt idx="0">
                  <c:v>9.9517184296817192</c:v>
                </c:pt>
                <c:pt idx="1">
                  <c:v>10.602614537684527</c:v>
                </c:pt>
                <c:pt idx="2">
                  <c:v>11.464390254846448</c:v>
                </c:pt>
                <c:pt idx="3">
                  <c:v>12.14913372566971</c:v>
                </c:pt>
                <c:pt idx="4">
                  <c:v>13.021469370232845</c:v>
                </c:pt>
                <c:pt idx="5">
                  <c:v>14.199798766815707</c:v>
                </c:pt>
                <c:pt idx="6">
                  <c:v>15.30223230153511</c:v>
                </c:pt>
                <c:pt idx="7">
                  <c:v>15.984550643196847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D6-48B3-8A01-AF90B47F1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336287"/>
        <c:axId val="1880155775"/>
      </c:scatterChart>
      <c:valAx>
        <c:axId val="1884336287"/>
        <c:scaling>
          <c:orientation val="minMax"/>
          <c:max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</a:t>
                </a:r>
                <a:r>
                  <a:rPr lang="pt-BR" baseline="0"/>
                  <a:t> (L/min)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155775"/>
        <c:crosses val="autoZero"/>
        <c:crossBetween val="midCat"/>
        <c:majorUnit val="25"/>
      </c:valAx>
      <c:valAx>
        <c:axId val="1880155775"/>
        <c:scaling>
          <c:orientation val="minMax"/>
          <c:max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4336287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12</xdr:row>
      <xdr:rowOff>47625</xdr:rowOff>
    </xdr:from>
    <xdr:to>
      <xdr:col>21</xdr:col>
      <xdr:colOff>514350</xdr:colOff>
      <xdr:row>26</xdr:row>
      <xdr:rowOff>123825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6C03249-E92D-4F92-B350-AADE56FE1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F3FE-908E-4429-8BE7-8740CC30DEDC}">
  <dimension ref="A1:AG36"/>
  <sheetViews>
    <sheetView tabSelected="1" topLeftCell="I8" workbookViewId="0">
      <selection activeCell="V12" sqref="V12"/>
    </sheetView>
  </sheetViews>
  <sheetFormatPr defaultRowHeight="15" x14ac:dyDescent="0.25"/>
  <cols>
    <col min="1" max="1" width="31" customWidth="1"/>
    <col min="6" max="6" width="13.7109375" bestFit="1" customWidth="1"/>
    <col min="7" max="7" width="14" bestFit="1" customWidth="1"/>
    <col min="8" max="8" width="15.5703125" customWidth="1"/>
    <col min="9" max="9" width="12.85546875" bestFit="1" customWidth="1"/>
    <col min="10" max="10" width="15.140625" bestFit="1" customWidth="1"/>
    <col min="11" max="11" width="11.42578125" customWidth="1"/>
    <col min="12" max="12" width="11.5703125" bestFit="1" customWidth="1"/>
    <col min="15" max="15" width="12" bestFit="1" customWidth="1"/>
    <col min="17" max="17" width="24.28515625" bestFit="1" customWidth="1"/>
    <col min="18" max="18" width="13.28515625" customWidth="1"/>
    <col min="22" max="22" width="22.140625" bestFit="1" customWidth="1"/>
    <col min="27" max="28" width="22.140625" bestFit="1" customWidth="1"/>
  </cols>
  <sheetData>
    <row r="1" spans="1:19" ht="18.75" x14ac:dyDescent="0.25">
      <c r="A1" s="13" t="s">
        <v>8</v>
      </c>
      <c r="B1" s="13"/>
      <c r="C1" s="13"/>
      <c r="D1" s="13"/>
      <c r="E1" s="13"/>
      <c r="G1" s="10"/>
      <c r="H1" s="10"/>
      <c r="I1" s="10"/>
      <c r="J1" s="10"/>
      <c r="O1" s="16"/>
      <c r="P1" s="16"/>
    </row>
    <row r="2" spans="1:19" x14ac:dyDescent="0.25">
      <c r="G2" s="10"/>
      <c r="H2" s="10"/>
      <c r="I2" s="10"/>
      <c r="J2" s="10"/>
      <c r="O2" s="16"/>
      <c r="P2" s="16"/>
      <c r="Q2" s="24" t="s">
        <v>27</v>
      </c>
      <c r="R2" s="22" t="s">
        <v>26</v>
      </c>
      <c r="S2" s="23" t="s">
        <v>25</v>
      </c>
    </row>
    <row r="3" spans="1:19" x14ac:dyDescent="0.25">
      <c r="A3" s="14" t="s">
        <v>0</v>
      </c>
      <c r="B3" s="14"/>
      <c r="H3" s="17" t="s">
        <v>3</v>
      </c>
      <c r="I3" s="18"/>
      <c r="J3" s="18"/>
      <c r="K3" s="18"/>
      <c r="L3" s="19"/>
      <c r="O3" s="16"/>
      <c r="P3" s="16"/>
      <c r="Q3" s="5">
        <f>H17*$B$8</f>
        <v>3.0794429192475574E-3</v>
      </c>
      <c r="R3" s="2">
        <f>(Q3)*1000*60</f>
        <v>184.76657515485346</v>
      </c>
      <c r="S3" s="12">
        <f>M17</f>
        <v>9.9517184296817192</v>
      </c>
    </row>
    <row r="4" spans="1:19" ht="18" x14ac:dyDescent="0.35">
      <c r="A4" s="4" t="s">
        <v>1</v>
      </c>
      <c r="B4" s="2">
        <v>1000</v>
      </c>
      <c r="D4" s="1"/>
      <c r="H4" s="6" t="s">
        <v>4</v>
      </c>
      <c r="I4" s="6" t="s">
        <v>18</v>
      </c>
      <c r="J4" s="6" t="s">
        <v>19</v>
      </c>
      <c r="K4" s="6" t="s">
        <v>20</v>
      </c>
      <c r="L4" s="6" t="s">
        <v>12</v>
      </c>
      <c r="O4" s="16"/>
      <c r="P4" s="16"/>
      <c r="Q4" s="5">
        <f t="shared" ref="Q4:Q10" si="0">H18*$B$8</f>
        <v>2.9491956063817945E-3</v>
      </c>
      <c r="R4" s="2">
        <f t="shared" ref="R4:R10" si="1">(Q4)*1000*60</f>
        <v>176.95173638290768</v>
      </c>
      <c r="S4" s="12">
        <f t="shared" ref="S4:S10" si="2">M18</f>
        <v>10.602614537684527</v>
      </c>
    </row>
    <row r="5" spans="1:19" ht="17.25" x14ac:dyDescent="0.25">
      <c r="A5" s="4" t="s">
        <v>2</v>
      </c>
      <c r="B5" s="2">
        <v>13595</v>
      </c>
      <c r="H5" s="5">
        <v>1</v>
      </c>
      <c r="I5" s="5">
        <v>0.67500000000000004</v>
      </c>
      <c r="J5" s="5">
        <v>0.63</v>
      </c>
      <c r="K5" s="21">
        <v>0.157</v>
      </c>
      <c r="L5" s="20">
        <v>960</v>
      </c>
      <c r="O5" s="16"/>
      <c r="P5" s="16"/>
      <c r="Q5" s="5">
        <f t="shared" si="0"/>
        <v>2.7256801280932962E-3</v>
      </c>
      <c r="R5" s="2">
        <f t="shared" si="1"/>
        <v>163.54080768559777</v>
      </c>
      <c r="S5" s="12">
        <f t="shared" si="2"/>
        <v>11.464390254846448</v>
      </c>
    </row>
    <row r="6" spans="1:19" ht="17.25" x14ac:dyDescent="0.25">
      <c r="A6" s="4" t="s">
        <v>21</v>
      </c>
      <c r="B6" s="2">
        <v>9.81</v>
      </c>
      <c r="H6" s="5">
        <v>2</v>
      </c>
      <c r="I6" s="5">
        <v>0.81499999999999995</v>
      </c>
      <c r="J6" s="5">
        <v>0.69</v>
      </c>
      <c r="K6" s="21">
        <v>0.14399999999999999</v>
      </c>
      <c r="L6" s="20">
        <v>940</v>
      </c>
      <c r="O6" s="16"/>
      <c r="P6" s="16"/>
      <c r="Q6" s="5">
        <f t="shared" si="0"/>
        <v>2.5893086465227639E-3</v>
      </c>
      <c r="R6" s="2">
        <f t="shared" si="1"/>
        <v>155.35851879136584</v>
      </c>
      <c r="S6" s="12">
        <f t="shared" si="2"/>
        <v>12.14913372566971</v>
      </c>
    </row>
    <row r="7" spans="1:19" x14ac:dyDescent="0.25">
      <c r="A7" s="8" t="s">
        <v>9</v>
      </c>
      <c r="B7" s="2">
        <f>40.5/1000</f>
        <v>4.0500000000000001E-2</v>
      </c>
      <c r="H7" s="5">
        <v>3</v>
      </c>
      <c r="I7" s="5">
        <v>0.86499999999999999</v>
      </c>
      <c r="J7" s="5">
        <v>0.76</v>
      </c>
      <c r="K7" s="21">
        <v>0.123</v>
      </c>
      <c r="L7" s="20">
        <v>920</v>
      </c>
      <c r="O7" s="16"/>
      <c r="P7" s="16"/>
      <c r="Q7" s="5">
        <f t="shared" si="0"/>
        <v>2.3700843711500731E-3</v>
      </c>
      <c r="R7" s="2">
        <f t="shared" si="1"/>
        <v>142.2050622690044</v>
      </c>
      <c r="S7" s="12">
        <f t="shared" si="2"/>
        <v>13.021469370232845</v>
      </c>
    </row>
    <row r="8" spans="1:19" ht="17.25" x14ac:dyDescent="0.25">
      <c r="A8" s="8" t="s">
        <v>10</v>
      </c>
      <c r="B8" s="2">
        <f>(PI()*B7^2)/4</f>
        <v>1.2882493375126645E-3</v>
      </c>
      <c r="H8" s="5">
        <v>4</v>
      </c>
      <c r="I8" s="5">
        <v>0.90500000000000003</v>
      </c>
      <c r="J8" s="5">
        <v>0.81499999999999995</v>
      </c>
      <c r="K8" s="21">
        <v>0.111</v>
      </c>
      <c r="L8" s="20">
        <v>900</v>
      </c>
      <c r="O8" s="16"/>
      <c r="P8" s="16"/>
      <c r="Q8" s="5">
        <f t="shared" si="0"/>
        <v>1.9814312607333052E-3</v>
      </c>
      <c r="R8" s="2">
        <f t="shared" si="1"/>
        <v>118.88587564399832</v>
      </c>
      <c r="S8" s="12">
        <f t="shared" si="2"/>
        <v>14.199798766815707</v>
      </c>
    </row>
    <row r="9" spans="1:19" x14ac:dyDescent="0.25">
      <c r="A9" s="4" t="s">
        <v>11</v>
      </c>
      <c r="B9" s="2">
        <v>0.48</v>
      </c>
      <c r="H9" s="5">
        <v>5</v>
      </c>
      <c r="I9" s="5">
        <v>0.95</v>
      </c>
      <c r="J9" s="5">
        <v>0.88500000000000001</v>
      </c>
      <c r="K9" s="21">
        <v>9.2999999999999999E-2</v>
      </c>
      <c r="L9" s="5">
        <v>870</v>
      </c>
      <c r="O9" s="16"/>
      <c r="P9" s="16"/>
      <c r="Q9" s="5">
        <f t="shared" si="0"/>
        <v>1.3461174667586968E-3</v>
      </c>
      <c r="R9" s="2">
        <f t="shared" si="1"/>
        <v>80.767048005521815</v>
      </c>
      <c r="S9" s="12">
        <f t="shared" si="2"/>
        <v>15.30223230153511</v>
      </c>
    </row>
    <row r="10" spans="1:19" x14ac:dyDescent="0.25">
      <c r="A10" s="4" t="s">
        <v>6</v>
      </c>
      <c r="B10" s="5">
        <v>1.3</v>
      </c>
      <c r="H10" s="5">
        <v>6</v>
      </c>
      <c r="I10" s="5">
        <v>1.01</v>
      </c>
      <c r="J10" s="5">
        <v>0.98</v>
      </c>
      <c r="K10" s="21">
        <v>6.5000000000000002E-2</v>
      </c>
      <c r="L10" s="5">
        <v>800</v>
      </c>
      <c r="O10" s="16"/>
      <c r="P10" s="16"/>
      <c r="Q10" s="5">
        <f t="shared" si="0"/>
        <v>9.1957329380497473E-4</v>
      </c>
      <c r="R10" s="2">
        <f t="shared" si="1"/>
        <v>55.174397628298486</v>
      </c>
      <c r="S10" s="12">
        <f t="shared" si="2"/>
        <v>15.984550643196847</v>
      </c>
    </row>
    <row r="11" spans="1:19" x14ac:dyDescent="0.25">
      <c r="H11" s="5">
        <v>7</v>
      </c>
      <c r="I11" s="5">
        <v>1.0649999999999999</v>
      </c>
      <c r="J11" s="5">
        <v>1.07</v>
      </c>
      <c r="K11" s="21">
        <v>0.03</v>
      </c>
      <c r="L11" s="5">
        <v>700</v>
      </c>
      <c r="O11" s="16"/>
      <c r="P11" s="16"/>
    </row>
    <row r="12" spans="1:19" x14ac:dyDescent="0.25">
      <c r="H12" s="5">
        <v>8</v>
      </c>
      <c r="I12" s="5">
        <v>1.1000000000000001</v>
      </c>
      <c r="J12" s="5">
        <v>1.125</v>
      </c>
      <c r="K12" s="21">
        <v>1.4E-2</v>
      </c>
      <c r="L12" s="5">
        <v>600</v>
      </c>
      <c r="O12" s="16"/>
      <c r="P12" s="16"/>
    </row>
    <row r="13" spans="1:19" x14ac:dyDescent="0.25">
      <c r="O13" s="16"/>
      <c r="P13" s="16"/>
    </row>
    <row r="14" spans="1:19" x14ac:dyDescent="0.25">
      <c r="O14" s="16"/>
      <c r="P14" s="16"/>
    </row>
    <row r="15" spans="1:19" x14ac:dyDescent="0.25">
      <c r="E15" s="15" t="s">
        <v>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</row>
    <row r="16" spans="1:19" x14ac:dyDescent="0.25">
      <c r="E16" s="3" t="s">
        <v>4</v>
      </c>
      <c r="F16" s="3" t="s">
        <v>13</v>
      </c>
      <c r="G16" s="3" t="s">
        <v>5</v>
      </c>
      <c r="H16" s="3" t="s">
        <v>14</v>
      </c>
      <c r="I16" s="3" t="s">
        <v>15</v>
      </c>
      <c r="J16" s="3" t="s">
        <v>23</v>
      </c>
      <c r="K16" s="3" t="s">
        <v>22</v>
      </c>
      <c r="L16" s="3" t="s">
        <v>24</v>
      </c>
      <c r="M16" s="3" t="s">
        <v>25</v>
      </c>
      <c r="N16" s="3" t="s">
        <v>16</v>
      </c>
      <c r="O16" s="3" t="s">
        <v>17</v>
      </c>
      <c r="P16" s="16"/>
    </row>
    <row r="17" spans="5:16" x14ac:dyDescent="0.25">
      <c r="E17" s="2">
        <f>H5</f>
        <v>1</v>
      </c>
      <c r="F17" s="12">
        <f>($B$5-$B$4)*$B$6*K5</f>
        <v>19398.441150000002</v>
      </c>
      <c r="G17" s="12">
        <f>0.02211*(F17^(1/2))</f>
        <v>3.0794429192475574</v>
      </c>
      <c r="H17" s="12">
        <f>G17/($B$4*$B$8)</f>
        <v>2.3904090843107335</v>
      </c>
      <c r="I17" s="12">
        <f>9.8*(($B$5*J5)+1000*($B$10-I5))</f>
        <v>90060.530000000013</v>
      </c>
      <c r="J17" s="12">
        <f>H17^2/(2*$B$6)</f>
        <v>0.29123626862157387</v>
      </c>
      <c r="K17" s="2">
        <f>I17/($B$4*$B$6)</f>
        <v>9.1804821610601444</v>
      </c>
      <c r="L17" s="2">
        <f>$B$9</f>
        <v>0.48</v>
      </c>
      <c r="M17" s="12">
        <f>SUM(J17:L17)</f>
        <v>9.9517184296817192</v>
      </c>
      <c r="N17" s="2">
        <f>M17*G17*$B$6</f>
        <v>300.63479624428845</v>
      </c>
      <c r="O17" s="11">
        <f>N17/(L5*(220/380))</f>
        <v>0.54091487960620077</v>
      </c>
      <c r="P17" s="16"/>
    </row>
    <row r="18" spans="5:16" x14ac:dyDescent="0.25">
      <c r="E18" s="2">
        <f>H6</f>
        <v>2</v>
      </c>
      <c r="F18" s="12">
        <f t="shared" ref="F18:F24" si="3">($B$5-$B$4)*$B$6*K6</f>
        <v>17792.200799999999</v>
      </c>
      <c r="G18" s="12">
        <f t="shared" ref="G18:G24" si="4">0.02211*(F18^(1/2))</f>
        <v>2.9491956063817946</v>
      </c>
      <c r="H18" s="12">
        <f t="shared" ref="H18:H24" si="5">G18/($B$4*$B$8)</f>
        <v>2.2893049664407856</v>
      </c>
      <c r="I18" s="12">
        <f t="shared" ref="I18:I24" si="6">9.8*(($B$5*J6)+1000*($B$10-I6))</f>
        <v>96682.39</v>
      </c>
      <c r="J18" s="12">
        <f t="shared" ref="J18:J24" si="7">H18^2/(2*$B$6)</f>
        <v>0.26712116357647536</v>
      </c>
      <c r="K18" s="2">
        <f t="shared" ref="K18:K24" si="8">I18/($B$4*$B$6)</f>
        <v>9.8554933741080522</v>
      </c>
      <c r="L18" s="2">
        <f t="shared" ref="L18:L24" si="9">$B$9</f>
        <v>0.48</v>
      </c>
      <c r="M18" s="12">
        <f t="shared" ref="M18:M24" si="10">SUM(J18:L18)</f>
        <v>10.602614537684527</v>
      </c>
      <c r="N18" s="2">
        <f t="shared" ref="N18:N24" si="11">M18*G18*$B$6</f>
        <v>306.75069710695669</v>
      </c>
      <c r="O18" s="11">
        <f t="shared" ref="O18:O24" si="12">N18/(L6*(220/380))</f>
        <v>0.56366182253696107</v>
      </c>
    </row>
    <row r="19" spans="5:16" x14ac:dyDescent="0.25">
      <c r="E19" s="2">
        <f>H7</f>
        <v>3</v>
      </c>
      <c r="F19" s="12">
        <f t="shared" si="3"/>
        <v>15197.504850000001</v>
      </c>
      <c r="G19" s="12">
        <f t="shared" si="4"/>
        <v>2.7256801280932961</v>
      </c>
      <c r="H19" s="12">
        <f t="shared" si="5"/>
        <v>2.1158016920513267</v>
      </c>
      <c r="I19" s="12">
        <f t="shared" si="6"/>
        <v>105518.56000000001</v>
      </c>
      <c r="J19" s="12">
        <f t="shared" si="7"/>
        <v>0.22816599388823938</v>
      </c>
      <c r="K19" s="2">
        <f t="shared" si="8"/>
        <v>10.756224260958207</v>
      </c>
      <c r="L19" s="2">
        <f t="shared" si="9"/>
        <v>0.48</v>
      </c>
      <c r="M19" s="12">
        <f t="shared" si="10"/>
        <v>11.464390254846448</v>
      </c>
      <c r="N19" s="2">
        <f t="shared" si="11"/>
        <v>306.54543745072914</v>
      </c>
      <c r="O19" s="11">
        <f t="shared" si="12"/>
        <v>0.57552997149840446</v>
      </c>
    </row>
    <row r="20" spans="5:16" x14ac:dyDescent="0.25">
      <c r="E20" s="2">
        <f>H8</f>
        <v>4</v>
      </c>
      <c r="F20" s="12">
        <f t="shared" si="3"/>
        <v>13714.821450000001</v>
      </c>
      <c r="G20" s="12">
        <f t="shared" si="4"/>
        <v>2.5893086465227637</v>
      </c>
      <c r="H20" s="12">
        <f t="shared" si="5"/>
        <v>2.0099437050921898</v>
      </c>
      <c r="I20" s="12">
        <f t="shared" si="6"/>
        <v>112454.265</v>
      </c>
      <c r="J20" s="12">
        <f t="shared" si="7"/>
        <v>0.20590589692353309</v>
      </c>
      <c r="K20" s="2">
        <f t="shared" si="8"/>
        <v>11.463227828746177</v>
      </c>
      <c r="L20" s="2">
        <f t="shared" si="9"/>
        <v>0.48</v>
      </c>
      <c r="M20" s="12">
        <f t="shared" si="10"/>
        <v>12.14913372566971</v>
      </c>
      <c r="N20" s="2">
        <f t="shared" si="11"/>
        <v>308.60157720568782</v>
      </c>
      <c r="O20" s="11">
        <f t="shared" si="12"/>
        <v>0.59226565322303715</v>
      </c>
    </row>
    <row r="21" spans="5:16" x14ac:dyDescent="0.25">
      <c r="E21" s="2">
        <f>H9</f>
        <v>5</v>
      </c>
      <c r="F21" s="12">
        <f t="shared" si="3"/>
        <v>11490.796350000001</v>
      </c>
      <c r="G21" s="12">
        <f t="shared" si="4"/>
        <v>2.3700843711500728</v>
      </c>
      <c r="H21" s="12">
        <f t="shared" si="5"/>
        <v>1.8397714651468029</v>
      </c>
      <c r="I21" s="12">
        <f t="shared" si="6"/>
        <v>121339.43500000001</v>
      </c>
      <c r="J21" s="12">
        <f t="shared" si="7"/>
        <v>0.17251575147647366</v>
      </c>
      <c r="K21" s="2">
        <f t="shared" si="8"/>
        <v>12.368953618756372</v>
      </c>
      <c r="L21" s="2">
        <f t="shared" si="9"/>
        <v>0.48</v>
      </c>
      <c r="M21" s="12">
        <f t="shared" si="10"/>
        <v>13.021469370232845</v>
      </c>
      <c r="N21" s="2">
        <f t="shared" si="11"/>
        <v>302.75603403966079</v>
      </c>
      <c r="O21" s="11">
        <f t="shared" si="12"/>
        <v>0.60108303518845918</v>
      </c>
    </row>
    <row r="22" spans="5:16" x14ac:dyDescent="0.25">
      <c r="E22" s="2">
        <f>H10</f>
        <v>6</v>
      </c>
      <c r="F22" s="12">
        <f t="shared" si="3"/>
        <v>8031.2017500000011</v>
      </c>
      <c r="G22" s="12">
        <f t="shared" si="4"/>
        <v>1.9814312607333053</v>
      </c>
      <c r="H22" s="12">
        <f t="shared" si="5"/>
        <v>1.538080558658798</v>
      </c>
      <c r="I22" s="12">
        <f t="shared" si="6"/>
        <v>133408.38</v>
      </c>
      <c r="J22" s="12">
        <f t="shared" si="7"/>
        <v>0.12057552522549236</v>
      </c>
      <c r="K22" s="2">
        <f t="shared" si="8"/>
        <v>13.599223241590215</v>
      </c>
      <c r="L22" s="2">
        <f t="shared" si="9"/>
        <v>0.48</v>
      </c>
      <c r="M22" s="12">
        <f t="shared" si="10"/>
        <v>14.199798766815707</v>
      </c>
      <c r="N22" s="2">
        <f t="shared" si="11"/>
        <v>276.01342594409755</v>
      </c>
      <c r="O22" s="11">
        <f t="shared" si="12"/>
        <v>0.5959380787429378</v>
      </c>
    </row>
    <row r="23" spans="5:16" x14ac:dyDescent="0.25">
      <c r="E23" s="2">
        <f>H11</f>
        <v>7</v>
      </c>
      <c r="F23" s="12">
        <f t="shared" si="3"/>
        <v>3706.7085000000002</v>
      </c>
      <c r="G23" s="12">
        <f t="shared" si="4"/>
        <v>1.3461174667586966</v>
      </c>
      <c r="H23" s="12">
        <f t="shared" si="5"/>
        <v>1.0449199759401882</v>
      </c>
      <c r="I23" s="12">
        <f t="shared" si="6"/>
        <v>144860.17000000001</v>
      </c>
      <c r="J23" s="12">
        <f t="shared" si="7"/>
        <v>5.5650242411765714E-2</v>
      </c>
      <c r="K23" s="2">
        <f t="shared" si="8"/>
        <v>14.766582059123344</v>
      </c>
      <c r="L23" s="2">
        <f t="shared" si="9"/>
        <v>0.48</v>
      </c>
      <c r="M23" s="12">
        <f t="shared" si="10"/>
        <v>15.30223230153511</v>
      </c>
      <c r="N23" s="2">
        <f t="shared" si="11"/>
        <v>202.07228740047125</v>
      </c>
      <c r="O23" s="11">
        <f t="shared" si="12"/>
        <v>0.49861992994921472</v>
      </c>
    </row>
    <row r="24" spans="5:16" x14ac:dyDescent="0.25">
      <c r="E24" s="2">
        <f>H12</f>
        <v>8</v>
      </c>
      <c r="F24" s="12">
        <f t="shared" si="3"/>
        <v>1729.7973000000002</v>
      </c>
      <c r="G24" s="12">
        <f t="shared" si="4"/>
        <v>0.91957329380497466</v>
      </c>
      <c r="H24" s="12">
        <f t="shared" si="5"/>
        <v>0.71381623652178638</v>
      </c>
      <c r="I24" s="12">
        <f t="shared" si="6"/>
        <v>151844.875</v>
      </c>
      <c r="J24" s="12">
        <f t="shared" si="7"/>
        <v>2.5970113125490663E-2</v>
      </c>
      <c r="K24" s="2">
        <f t="shared" si="8"/>
        <v>15.478580530071357</v>
      </c>
      <c r="L24" s="2">
        <f t="shared" si="9"/>
        <v>0.48</v>
      </c>
      <c r="M24" s="12">
        <f t="shared" si="10"/>
        <v>15.984550643196847</v>
      </c>
      <c r="N24" s="2">
        <f t="shared" si="11"/>
        <v>144.19685533142771</v>
      </c>
      <c r="O24" s="11">
        <f t="shared" si="12"/>
        <v>0.41511215928744338</v>
      </c>
    </row>
    <row r="26" spans="5:16" x14ac:dyDescent="0.25">
      <c r="F26" s="16"/>
      <c r="G26" s="7"/>
    </row>
    <row r="27" spans="5:16" x14ac:dyDescent="0.25">
      <c r="F27" s="16"/>
      <c r="G27" s="7"/>
    </row>
    <row r="28" spans="5:16" x14ac:dyDescent="0.25">
      <c r="F28" s="16"/>
      <c r="G28" s="7"/>
      <c r="P28" s="9"/>
    </row>
    <row r="29" spans="5:16" x14ac:dyDescent="0.25">
      <c r="P29" s="9"/>
    </row>
    <row r="30" spans="5:16" x14ac:dyDescent="0.25">
      <c r="P30" s="9"/>
    </row>
    <row r="31" spans="5:16" x14ac:dyDescent="0.25">
      <c r="P31" s="9"/>
    </row>
    <row r="32" spans="5:16" x14ac:dyDescent="0.25">
      <c r="P32" s="9"/>
    </row>
    <row r="33" spans="16:16" x14ac:dyDescent="0.25">
      <c r="P33" s="9"/>
    </row>
    <row r="34" spans="16:16" x14ac:dyDescent="0.25">
      <c r="P34" s="9"/>
    </row>
    <row r="35" spans="16:16" x14ac:dyDescent="0.25">
      <c r="P35" s="9"/>
    </row>
    <row r="36" spans="16:16" x14ac:dyDescent="0.25">
      <c r="P36" s="9"/>
    </row>
  </sheetData>
  <mergeCells count="4">
    <mergeCell ref="E15:O15"/>
    <mergeCell ref="A1:E1"/>
    <mergeCell ref="A3:B3"/>
    <mergeCell ref="H3:L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2022-11-04T20:38:57Z</dcterms:created>
  <dcterms:modified xsi:type="dcterms:W3CDTF">2023-01-26T22:20:20Z</dcterms:modified>
</cp:coreProperties>
</file>