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<sst xmlns="http://schemas.openxmlformats.org/spreadsheetml/2006/main" count="114" uniqueCount="95">
  <si>
    <t xml:space="preserve">Dados</t>
  </si>
  <si>
    <t xml:space="preserve">Acessório</t>
  </si>
  <si>
    <t xml:space="preserve">Quantidade</t>
  </si>
  <si>
    <t xml:space="preserve">Material</t>
  </si>
  <si>
    <t xml:space="preserve">Le/D</t>
  </si>
  <si>
    <t xml:space="preserve">Carga do sistema</t>
  </si>
  <si>
    <t xml:space="preserve">Velocidade</t>
  </si>
  <si>
    <t xml:space="preserve">Re</t>
  </si>
  <si>
    <t xml:space="preserve">f aço</t>
  </si>
  <si>
    <t xml:space="preserve">f pvc </t>
  </si>
  <si>
    <t xml:space="preserve">hd aço</t>
  </si>
  <si>
    <t xml:space="preserve">hd pvc</t>
  </si>
  <si>
    <t xml:space="preserve">hl aço</t>
  </si>
  <si>
    <t xml:space="preserve">hl pvc</t>
  </si>
  <si>
    <t xml:space="preserve">hT</t>
  </si>
  <si>
    <t xml:space="preserve">Vazão (l/MIN)</t>
  </si>
  <si>
    <t xml:space="preserve">H</t>
  </si>
  <si>
    <t xml:space="preserve">Δh (Zb -Za)</t>
  </si>
  <si>
    <t xml:space="preserve">m</t>
  </si>
  <si>
    <t xml:space="preserve">Válvula esfera aberta</t>
  </si>
  <si>
    <t xml:space="preserve">aço</t>
  </si>
  <si>
    <t xml:space="preserve">massa</t>
  </si>
  <si>
    <t xml:space="preserve">kg</t>
  </si>
  <si>
    <t xml:space="preserve">T de saída lateral</t>
  </si>
  <si>
    <t xml:space="preserve">tempo</t>
  </si>
  <si>
    <t xml:space="preserve">s</t>
  </si>
  <si>
    <t xml:space="preserve">T de entrada lateral</t>
  </si>
  <si>
    <t xml:space="preserve">T</t>
  </si>
  <si>
    <t xml:space="preserve">K</t>
  </si>
  <si>
    <t xml:space="preserve">Junção </t>
  </si>
  <si>
    <t xml:space="preserve">D</t>
  </si>
  <si>
    <t xml:space="preserve">Bocal de entrada</t>
  </si>
  <si>
    <t xml:space="preserve">PVC</t>
  </si>
  <si>
    <t xml:space="preserve">e(aço)</t>
  </si>
  <si>
    <t xml:space="preserve">e(pvc)</t>
  </si>
  <si>
    <t xml:space="preserve">Cotovelo 90</t>
  </si>
  <si>
    <t xml:space="preserve">g</t>
  </si>
  <si>
    <t xml:space="preserve">m/s^2</t>
  </si>
  <si>
    <t xml:space="preserve">Densidade</t>
  </si>
  <si>
    <t xml:space="preserve">kg/m^3</t>
  </si>
  <si>
    <t xml:space="preserve">Válvula gaveta aberta</t>
  </si>
  <si>
    <t xml:space="preserve">Tamanho da seção sem acessório</t>
  </si>
  <si>
    <t xml:space="preserve">u(16,5)</t>
  </si>
  <si>
    <t xml:space="preserve">Aço</t>
  </si>
  <si>
    <t xml:space="preserve">H = Vb^2/2g + (Zb -Za) + hT/g</t>
  </si>
  <si>
    <t xml:space="preserve">-&gt;</t>
  </si>
  <si>
    <t xml:space="preserve">H =</t>
  </si>
  <si>
    <t xml:space="preserve">Vb^2/2g =</t>
  </si>
  <si>
    <t xml:space="preserve">hT/g = </t>
  </si>
  <si>
    <t xml:space="preserve">Vb = Vazão Volumétrica/Área</t>
  </si>
  <si>
    <t xml:space="preserve">hT = hd + hl</t>
  </si>
  <si>
    <t xml:space="preserve">Vazão Vol</t>
  </si>
  <si>
    <t xml:space="preserve">m^3/s</t>
  </si>
  <si>
    <t xml:space="preserve">Área</t>
  </si>
  <si>
    <t xml:space="preserve">m^2</t>
  </si>
  <si>
    <t xml:space="preserve">hd = f * (L/D) * (V^2/2)</t>
  </si>
  <si>
    <t xml:space="preserve">hl = f * (Le/D) * (v^2/2)</t>
  </si>
  <si>
    <t xml:space="preserve">Vb</t>
  </si>
  <si>
    <t xml:space="preserve">m/s</t>
  </si>
  <si>
    <t xml:space="preserve">f = 0,25*(log((E/(3,7*D))+(5,74/POT(Re;0,9)))^(-2)</t>
  </si>
  <si>
    <t xml:space="preserve">Zb -Za =</t>
  </si>
  <si>
    <t xml:space="preserve">f aço =</t>
  </si>
  <si>
    <t xml:space="preserve">f pvc= </t>
  </si>
  <si>
    <t xml:space="preserve">hd aço = </t>
  </si>
  <si>
    <t xml:space="preserve">hl aço =</t>
  </si>
  <si>
    <t xml:space="preserve">hd PVC =</t>
  </si>
  <si>
    <t xml:space="preserve">hl PVC =</t>
  </si>
  <si>
    <t xml:space="preserve">hT =</t>
  </si>
  <si>
    <t xml:space="preserve">Curva de Bomba</t>
  </si>
  <si>
    <t xml:space="preserve">Q (m3/s)</t>
  </si>
  <si>
    <t xml:space="preserve">Vazão (L/min)</t>
  </si>
  <si>
    <t xml:space="preserve">H (m)</t>
  </si>
  <si>
    <t xml:space="preserve">Dados Experimentais</t>
  </si>
  <si>
    <r>
      <rPr>
        <b val="true"/>
        <sz val="11"/>
        <color rgb="FF000000"/>
        <rFont val="Calibri"/>
        <family val="2"/>
        <charset val="1"/>
      </rPr>
      <t xml:space="preserve">Densidade Água (kg/m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</si>
  <si>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n</t>
  </si>
  <si>
    <r>
      <rPr>
        <b val="true"/>
        <sz val="11"/>
        <color rgb="FF000000"/>
        <rFont val="Calibri"/>
        <family val="2"/>
        <charset val="1"/>
      </rPr>
      <t xml:space="preserve">h</t>
    </r>
    <r>
      <rPr>
        <b val="true"/>
        <vertAlign val="sub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 (m)</t>
    </r>
  </si>
  <si>
    <r>
      <rPr>
        <b val="true"/>
        <sz val="11"/>
        <color rgb="FF000000"/>
        <rFont val="Calibri"/>
        <family val="2"/>
        <charset val="1"/>
      </rPr>
      <t xml:space="preserve">h</t>
    </r>
    <r>
      <rPr>
        <b val="true"/>
        <vertAlign val="subscript"/>
        <sz val="11"/>
        <color rgb="FF000000"/>
        <rFont val="Calibri"/>
        <family val="2"/>
        <charset val="1"/>
      </rPr>
      <t xml:space="preserve">Hg</t>
    </r>
    <r>
      <rPr>
        <b val="true"/>
        <sz val="11"/>
        <color rgb="FF000000"/>
        <rFont val="Calibri"/>
        <family val="2"/>
        <charset val="1"/>
      </rPr>
      <t xml:space="preserve"> (m)</t>
    </r>
  </si>
  <si>
    <r>
      <rPr>
        <b val="true"/>
        <sz val="11"/>
        <color rgb="FF000000"/>
        <rFont val="Calibri"/>
        <family val="2"/>
        <charset val="1"/>
      </rPr>
      <t xml:space="preserve">h</t>
    </r>
    <r>
      <rPr>
        <b val="true"/>
        <vertAlign val="subscript"/>
        <sz val="11"/>
        <color rgb="FF000000"/>
        <rFont val="Calibri"/>
        <family val="2"/>
        <charset val="1"/>
      </rPr>
      <t xml:space="preserve">vent</t>
    </r>
    <r>
      <rPr>
        <b val="true"/>
        <sz val="11"/>
        <color rgb="FF000000"/>
        <rFont val="Calibri"/>
        <family val="2"/>
        <charset val="1"/>
      </rPr>
      <t xml:space="preserve"> (m)</t>
    </r>
  </si>
  <si>
    <t xml:space="preserve">Watí (W)</t>
  </si>
  <si>
    <r>
      <rPr>
        <b val="true"/>
        <sz val="11"/>
        <color rgb="FF000000"/>
        <rFont val="Calibri"/>
        <family val="2"/>
        <charset val="1"/>
      </rPr>
      <t xml:space="preserve">Densidade Mercúrio (kg/m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</si>
  <si>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gc (m/s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</si>
  <si>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D Aço Venturi (m)</t>
  </si>
  <si>
    <r>
      <rPr>
        <b val="true"/>
        <sz val="11"/>
        <color rgb="FF000000"/>
        <rFont val="Calibri"/>
        <family val="2"/>
        <charset val="1"/>
      </rPr>
      <t xml:space="preserve">A Aço Venturi (m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</si>
  <si>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h0 (m)</t>
  </si>
  <si>
    <t xml:space="preserve">h1 (m)</t>
  </si>
  <si>
    <t xml:space="preserve">Memorial de Cálculo</t>
  </si>
  <si>
    <t xml:space="preserve">ΔP Venturi (Pa)</t>
  </si>
  <si>
    <t xml:space="preserve">Vazão (kg/s)</t>
  </si>
  <si>
    <t xml:space="preserve">vb (m/s)</t>
  </si>
  <si>
    <t xml:space="preserve">P2 (Pa)</t>
  </si>
  <si>
    <t xml:space="preserve">Ec (J/kg)</t>
  </si>
  <si>
    <t xml:space="preserve">Ep (J/kg)</t>
  </si>
  <si>
    <t xml:space="preserve">Epote (J/kg)</t>
  </si>
  <si>
    <t xml:space="preserve">Pot (W)</t>
  </si>
  <si>
    <t xml:space="preserve">Rendimento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</si>
</sst>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0"/>
    <numFmt numFmtId="168" formatCode="0"/>
    <numFmt numFmtId="169" formatCode="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D9D9D9"/>
        <bgColor rgb="FFDBDBDB"/>
      </patternFill>
    </fill>
    <fill>
      <patternFill patternType="solid">
        <fgColor rgb="FF92D050"/>
        <bgColor rgb="FFB3B3B3"/>
      </patternFill>
    </fill>
    <fill>
      <patternFill patternType="solid">
        <fgColor rgb="FFDBDBDB"/>
        <bgColor rgb="FFD9D9D9"/>
      </patternFill>
    </fill>
    <fill>
      <patternFill patternType="solid">
        <fgColor rgb="FF8FAADC"/>
        <bgColor rgb="FFB3B3B3"/>
      </patternFill>
    </fill>
    <fill>
      <patternFill patternType="solid">
        <fgColor rgb="FFC55A11"/>
        <bgColor rgb="FFFF420E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BDBD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D320"/>
      <rgbColor rgb="FFFF9900"/>
      <rgbColor rgb="FFFF420E"/>
      <rgbColor rgb="FF59595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Curva do sistema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0840976943275"/>
          <c:y val="0.0897492788994897"/>
          <c:w val="0.74975720297831"/>
          <c:h val="0.780933362916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sistema</c:f>
              <c:strCache>
                <c:ptCount val="1"/>
                <c:pt idx="0">
                  <c:v>sistema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Planilha1!$W$3:$W$27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Planilha1!$X$3:$X$27</c:f>
              <c:numCache>
                <c:formatCode>General</c:formatCode>
                <c:ptCount val="25"/>
                <c:pt idx="0">
                  <c:v>0.612554436157082</c:v>
                </c:pt>
                <c:pt idx="1">
                  <c:v>0.446772901914031</c:v>
                </c:pt>
                <c:pt idx="2">
                  <c:v>0.508628044619973</c:v>
                </c:pt>
                <c:pt idx="3">
                  <c:v>0.600502649730897</c:v>
                </c:pt>
                <c:pt idx="4">
                  <c:v>0.72040025595407</c:v>
                </c:pt>
                <c:pt idx="5">
                  <c:v>0.86712279132504</c:v>
                </c:pt>
                <c:pt idx="6">
                  <c:v>1.03984179803311</c:v>
                </c:pt>
                <c:pt idx="7">
                  <c:v>1.23793771512555</c:v>
                </c:pt>
                <c:pt idx="8">
                  <c:v>1.46092318892752</c:v>
                </c:pt>
                <c:pt idx="9">
                  <c:v>1.7084010059017</c:v>
                </c:pt>
                <c:pt idx="10">
                  <c:v>1.98003876872137</c:v>
                </c:pt>
                <c:pt idx="11">
                  <c:v>2.27555259289463</c:v>
                </c:pt>
                <c:pt idx="12">
                  <c:v>2.59469606113956</c:v>
                </c:pt>
                <c:pt idx="13">
                  <c:v>2.93725243260148</c:v>
                </c:pt>
                <c:pt idx="14">
                  <c:v>3.3030289656161</c:v>
                </c:pt>
                <c:pt idx="15">
                  <c:v>3.69185266738484</c:v>
                </c:pt>
                <c:pt idx="16">
                  <c:v>4.10356703869449</c:v>
                </c:pt>
                <c:pt idx="17">
                  <c:v>4.53802953178391</c:v>
                </c:pt>
                <c:pt idx="18">
                  <c:v>4.9951095314672</c:v>
                </c:pt>
                <c:pt idx="19">
                  <c:v>5.47468672808779</c:v>
                </c:pt>
                <c:pt idx="20">
                  <c:v>5.97664978917394</c:v>
                </c:pt>
                <c:pt idx="21">
                  <c:v>6.50089526242247</c:v>
                </c:pt>
                <c:pt idx="22">
                  <c:v>7.04732666036906</c:v>
                </c:pt>
                <c:pt idx="23">
                  <c:v>7.61585368956481</c:v>
                </c:pt>
                <c:pt idx="24">
                  <c:v>8.20639159599961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ponto</c:f>
              <c:strCache>
                <c:ptCount val="1"/>
                <c:pt idx="0">
                  <c:v>ponto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ffd320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Planilha1!$AD$23</c:f>
              <c:numCache>
                <c:formatCode>General</c:formatCode>
                <c:ptCount val="1"/>
                <c:pt idx="0">
                  <c:v>217.5</c:v>
                </c:pt>
              </c:numCache>
            </c:numRef>
          </c:xVal>
          <c:yVal>
            <c:numRef>
              <c:f>Planilha1!$AD$24</c:f>
              <c:numCache>
                <c:formatCode>General</c:formatCode>
                <c:ptCount val="1"/>
                <c:pt idx="0">
                  <c:v>6.9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bomba</c:f>
              <c:strCache>
                <c:ptCount val="1"/>
                <c:pt idx="0">
                  <c:v>bomba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poly"/>
            <c:order val="2"/>
            <c:forward val="100"/>
            <c:backward val="100"/>
            <c:dispRSqr val="1"/>
            <c:dispEq val="1"/>
          </c:trendline>
          <c:xVal>
            <c:numRef>
              <c:f>Planilha1!$R$52:$R$59</c:f>
              <c:numCache>
                <c:formatCode>General</c:formatCode>
                <c:ptCount val="8"/>
                <c:pt idx="0">
                  <c:v>184.766575154853</c:v>
                </c:pt>
                <c:pt idx="1">
                  <c:v>176.951736382908</c:v>
                </c:pt>
                <c:pt idx="2">
                  <c:v>163.540807685598</c:v>
                </c:pt>
                <c:pt idx="3">
                  <c:v>155.358518791366</c:v>
                </c:pt>
                <c:pt idx="4">
                  <c:v>142.205062269004</c:v>
                </c:pt>
                <c:pt idx="5">
                  <c:v>118.885875643998</c:v>
                </c:pt>
                <c:pt idx="6">
                  <c:v>80.7670480055218</c:v>
                </c:pt>
                <c:pt idx="7">
                  <c:v>55.1743976282985</c:v>
                </c:pt>
              </c:numCache>
            </c:numRef>
          </c:xVal>
          <c:yVal>
            <c:numRef>
              <c:f>Planilha1!$S$52:$S$59</c:f>
              <c:numCache>
                <c:formatCode>General</c:formatCode>
                <c:ptCount val="8"/>
                <c:pt idx="0">
                  <c:v>9.95171842968172</c:v>
                </c:pt>
                <c:pt idx="1">
                  <c:v>10.6026145376845</c:v>
                </c:pt>
                <c:pt idx="2">
                  <c:v>11.4643902548464</c:v>
                </c:pt>
                <c:pt idx="3">
                  <c:v>12.1491337256697</c:v>
                </c:pt>
                <c:pt idx="4">
                  <c:v>13.0214693702328</c:v>
                </c:pt>
                <c:pt idx="5">
                  <c:v>14.1997987668157</c:v>
                </c:pt>
                <c:pt idx="6">
                  <c:v>15.3022323015351</c:v>
                </c:pt>
                <c:pt idx="7">
                  <c:v>15.9845506431968</c:v>
                </c:pt>
              </c:numCache>
            </c:numRef>
          </c:yVal>
          <c:smooth val="1"/>
        </c:ser>
        <c:axId val="19224510"/>
        <c:axId val="25613211"/>
      </c:scatterChart>
      <c:valAx>
        <c:axId val="1922451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Vazão (L/min)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13211"/>
        <c:crosses val="autoZero"/>
        <c:crossBetween val="midCat"/>
      </c:valAx>
      <c:valAx>
        <c:axId val="25613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245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1733031185929"/>
          <c:y val="0.173729753716441"/>
          <c:w val="0.169418366245818"/>
          <c:h val="0.14836180755861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Curva Característica C700-3450rpm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Planilha1!$S$51</c:f>
              <c:strCache>
                <c:ptCount val="1"/>
                <c:pt idx="0">
                  <c:v>H (m)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Planilha1!$R$52:$R$59</c:f>
              <c:numCache>
                <c:formatCode>General</c:formatCode>
                <c:ptCount val="8"/>
                <c:pt idx="0">
                  <c:v>184.766575154853</c:v>
                </c:pt>
                <c:pt idx="1">
                  <c:v>176.951736382908</c:v>
                </c:pt>
                <c:pt idx="2">
                  <c:v>163.540807685598</c:v>
                </c:pt>
                <c:pt idx="3">
                  <c:v>155.358518791366</c:v>
                </c:pt>
                <c:pt idx="4">
                  <c:v>142.205062269004</c:v>
                </c:pt>
                <c:pt idx="5">
                  <c:v>118.885875643998</c:v>
                </c:pt>
                <c:pt idx="6">
                  <c:v>80.7670480055218</c:v>
                </c:pt>
                <c:pt idx="7">
                  <c:v>55.1743976282985</c:v>
                </c:pt>
              </c:numCache>
            </c:numRef>
          </c:xVal>
          <c:yVal>
            <c:numRef>
              <c:f>Planilha1!$S$52:$S$59</c:f>
              <c:numCache>
                <c:formatCode>General</c:formatCode>
                <c:ptCount val="8"/>
                <c:pt idx="0">
                  <c:v>9.95171842968172</c:v>
                </c:pt>
                <c:pt idx="1">
                  <c:v>10.6026145376845</c:v>
                </c:pt>
                <c:pt idx="2">
                  <c:v>11.4643902548464</c:v>
                </c:pt>
                <c:pt idx="3">
                  <c:v>12.1491337256697</c:v>
                </c:pt>
                <c:pt idx="4">
                  <c:v>13.0214693702328</c:v>
                </c:pt>
                <c:pt idx="5">
                  <c:v>14.1997987668157</c:v>
                </c:pt>
                <c:pt idx="6">
                  <c:v>15.3022323015351</c:v>
                </c:pt>
                <c:pt idx="7">
                  <c:v>15.9845506431968</c:v>
                </c:pt>
              </c:numCache>
            </c:numRef>
          </c:yVal>
          <c:smooth val="1"/>
        </c:ser>
        <c:axId val="34927023"/>
        <c:axId val="94315578"/>
      </c:scatterChart>
      <c:valAx>
        <c:axId val="34927023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 (L/min)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15578"/>
        <c:crosses val="autoZero"/>
        <c:crossBetween val="midCat"/>
        <c:majorUnit val="25"/>
      </c:valAx>
      <c:valAx>
        <c:axId val="94315578"/>
        <c:scaling>
          <c:orientation val="minMax"/>
          <c:max val="2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27023"/>
        <c:crosses val="autoZero"/>
        <c:crossBetween val="midCat"/>
        <c:majorUnit val="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668160</xdr:colOff>
      <xdr:row>2</xdr:row>
      <xdr:rowOff>85680</xdr:rowOff>
    </xdr:from>
    <xdr:to>
      <xdr:col>35</xdr:col>
      <xdr:colOff>862560</xdr:colOff>
      <xdr:row>21</xdr:row>
      <xdr:rowOff>66960</xdr:rowOff>
    </xdr:to>
    <xdr:graphicFrame>
      <xdr:nvGraphicFramePr>
        <xdr:cNvPr id="0" name=""/>
        <xdr:cNvGraphicFramePr/>
      </xdr:nvGraphicFramePr>
      <xdr:xfrm>
        <a:off x="22715280" y="600120"/>
        <a:ext cx="10008360" cy="48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90720</xdr:colOff>
      <xdr:row>61</xdr:row>
      <xdr:rowOff>113760</xdr:rowOff>
    </xdr:from>
    <xdr:to>
      <xdr:col>29</xdr:col>
      <xdr:colOff>794520</xdr:colOff>
      <xdr:row>75</xdr:row>
      <xdr:rowOff>137520</xdr:rowOff>
    </xdr:to>
    <xdr:graphicFrame>
      <xdr:nvGraphicFramePr>
        <xdr:cNvPr id="1" name="Gráfico 7"/>
        <xdr:cNvGraphicFramePr/>
      </xdr:nvGraphicFramePr>
      <xdr:xfrm>
        <a:off x="20297160" y="14863680"/>
        <a:ext cx="7005600" cy="24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83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H28" activeCellId="0" sqref="AH28"/>
    </sheetView>
  </sheetViews>
  <sheetFormatPr defaultColWidth="12.66015625" defaultRowHeight="20.25" zeroHeight="false" outlineLevelRow="0" outlineLevelCol="0"/>
  <cols>
    <col collapsed="false" customWidth="false" hidden="false" outlineLevel="0" max="5" min="1" style="1" width="12.64"/>
    <col collapsed="false" customWidth="true" hidden="false" outlineLevel="0" max="6" min="6" style="1" width="20.31"/>
    <col collapsed="false" customWidth="true" hidden="false" outlineLevel="0" max="7" min="7" style="1" width="11.43"/>
    <col collapsed="false" customWidth="false" hidden="false" outlineLevel="0" max="12" min="8" style="1" width="12.64"/>
    <col collapsed="false" customWidth="true" hidden="false" outlineLevel="0" max="13" min="13" style="1" width="16.01"/>
    <col collapsed="false" customWidth="true" hidden="false" outlineLevel="0" max="14" min="14" style="1" width="11.03"/>
    <col collapsed="false" customWidth="false" hidden="false" outlineLevel="0" max="22" min="15" style="1" width="12.64"/>
    <col collapsed="false" customWidth="true" hidden="false" outlineLevel="0" max="23" min="23" style="1" width="13.44"/>
    <col collapsed="false" customWidth="false" hidden="false" outlineLevel="0" max="1024" min="24" style="1" width="12.64"/>
  </cols>
  <sheetData>
    <row r="2" customFormat="false" ht="20.25" hidden="false" customHeight="true" outlineLevel="0" collapsed="false">
      <c r="B2" s="2" t="s">
        <v>0</v>
      </c>
      <c r="C2" s="2"/>
      <c r="D2" s="2"/>
      <c r="F2" s="3" t="s">
        <v>1</v>
      </c>
      <c r="G2" s="3" t="s">
        <v>2</v>
      </c>
      <c r="H2" s="3" t="s">
        <v>3</v>
      </c>
      <c r="I2" s="3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</row>
    <row r="3" customFormat="false" ht="20.25" hidden="false" customHeight="true" outlineLevel="0" collapsed="false">
      <c r="B3" s="2" t="s">
        <v>17</v>
      </c>
      <c r="C3" s="2" t="n">
        <v>0.42</v>
      </c>
      <c r="D3" s="2" t="s">
        <v>18</v>
      </c>
      <c r="F3" s="4" t="s">
        <v>19</v>
      </c>
      <c r="G3" s="5" t="n">
        <v>2</v>
      </c>
      <c r="H3" s="5" t="s">
        <v>20</v>
      </c>
      <c r="I3" s="6" t="n">
        <v>3</v>
      </c>
      <c r="N3" s="1" t="n">
        <f aca="false">W3/6000/$C$24</f>
        <v>0</v>
      </c>
      <c r="O3" s="1" t="n">
        <f aca="false">N3*$C$11*$C$7/$G$14</f>
        <v>0</v>
      </c>
      <c r="P3" s="1" t="e">
        <f aca="false">0.25*(LOG(($C$8/(3.7*$C$7))+(5.74/(O3^0.9)),10))^(-2)</f>
        <v>#DIV/0!</v>
      </c>
      <c r="Q3" s="1" t="e">
        <f aca="false">0.25*(LOG(($C$9/(3.7*$C$7))+(5.74/(O3^0.9)),10))^(-2)</f>
        <v>#DIV/0!</v>
      </c>
      <c r="R3" s="1" t="e">
        <f aca="false">P3 * ($C$15/$C$7) * ((N3^2)/2)</f>
        <v>#DIV/0!</v>
      </c>
      <c r="S3" s="1" t="e">
        <f aca="false">Q3 * ($C$14/$C$7) * ((N3^2)/2)</f>
        <v>#DIV/0!</v>
      </c>
      <c r="T3" s="1" t="e">
        <f aca="false">P3 * ($G$3*$I$3+$G$4*$I$4+$G$5*$I$5+$G$6*$I$6) * (N3^2/2)</f>
        <v>#DIV/0!</v>
      </c>
      <c r="U3" s="1" t="e">
        <f aca="false">Q3 * ($G$7*$I$7+$G$8*$I$8+$G$9*$I$9+$G$10*$I$10+$G$11*$I$11) * (N3^2/2)</f>
        <v>#DIV/0!</v>
      </c>
      <c r="V3" s="1" t="e">
        <f aca="false">SUM(R3:U3)</f>
        <v>#DIV/0!</v>
      </c>
      <c r="W3" s="1" t="n">
        <v>0</v>
      </c>
      <c r="X3" s="1" t="n">
        <f aca="false">F18/10</f>
        <v>0.612554436157082</v>
      </c>
    </row>
    <row r="4" customFormat="false" ht="20.25" hidden="false" customHeight="true" outlineLevel="0" collapsed="false">
      <c r="B4" s="2" t="s">
        <v>21</v>
      </c>
      <c r="C4" s="2" t="n">
        <v>3.297</v>
      </c>
      <c r="D4" s="2" t="s">
        <v>22</v>
      </c>
      <c r="F4" s="7" t="s">
        <v>23</v>
      </c>
      <c r="G4" s="2" t="n">
        <v>1</v>
      </c>
      <c r="H4" s="2" t="s">
        <v>20</v>
      </c>
      <c r="I4" s="8" t="n">
        <v>60</v>
      </c>
      <c r="N4" s="1" t="n">
        <f aca="false">W4/60000/$C$24</f>
        <v>0.1232147428011</v>
      </c>
      <c r="O4" s="1" t="n">
        <f aca="false">N4*$C$11*$C$7/$G$14</f>
        <v>4566.39567739145</v>
      </c>
      <c r="P4" s="1" t="n">
        <f aca="false">0.25*(LOG(($C$8/(3.7*$C$7))+(5.74/(O4^0.9)),10))^(-2)</f>
        <v>0.0402481805529183</v>
      </c>
      <c r="Q4" s="1" t="n">
        <f aca="false">0.25*(LOG(($C$9/(3.7*$C$7))+(5.74/(O4^0.9)),10))^(-2)</f>
        <v>0.0389418959250542</v>
      </c>
      <c r="R4" s="1" t="n">
        <f aca="false">P4 * ($C$15/$C$7) * ((N4^2)/2)</f>
        <v>0.0327680882146353</v>
      </c>
      <c r="S4" s="1" t="n">
        <f aca="false">Q4 * ($C$14/$C$7) * ((N4^2)/2)</f>
        <v>0.0629604006399728</v>
      </c>
      <c r="T4" s="1" t="n">
        <f aca="false">P4 * ($G$3*$I$3+$G$4*$I$4+$G$5*$I$5+$G$6*$I$6) * (N4^2/2)</f>
        <v>0.0543828055811079</v>
      </c>
      <c r="U4" s="1" t="n">
        <f aca="false">Q4 * ($G$7*$I$7+$G$8*$I$8+$G$9*$I$9+$G$10*$I$10+$G$11*$I$11) * (N4^2/2)</f>
        <v>0.104939936919154</v>
      </c>
      <c r="V4" s="1" t="n">
        <f aca="false">SUM(R4:U4)</f>
        <v>0.25505123135487</v>
      </c>
      <c r="W4" s="1" t="n">
        <v>10</v>
      </c>
      <c r="X4" s="1" t="n">
        <f aca="false">(N4^2)/(2*$C$10)+($C$3)+V4/$C$10</f>
        <v>0.446772901914031</v>
      </c>
    </row>
    <row r="5" customFormat="false" ht="20.25" hidden="false" customHeight="true" outlineLevel="0" collapsed="false">
      <c r="B5" s="2" t="s">
        <v>24</v>
      </c>
      <c r="C5" s="2" t="n">
        <v>1</v>
      </c>
      <c r="D5" s="2" t="s">
        <v>25</v>
      </c>
      <c r="F5" s="7" t="s">
        <v>26</v>
      </c>
      <c r="G5" s="2" t="n">
        <v>1</v>
      </c>
      <c r="H5" s="2" t="s">
        <v>20</v>
      </c>
      <c r="I5" s="8" t="n">
        <v>80</v>
      </c>
      <c r="N5" s="1" t="n">
        <f aca="false">W5/60000/$C$24</f>
        <v>0.246429485602199</v>
      </c>
      <c r="O5" s="1" t="n">
        <f aca="false">N5*$C$11*$C$7/$G$14</f>
        <v>9132.7913547829</v>
      </c>
      <c r="P5" s="1" t="n">
        <f aca="false">0.25*(LOG(($C$8/(3.7*$C$7))+(5.74/(O5^0.9)),10))^(-2)</f>
        <v>0.0335552479449603</v>
      </c>
      <c r="Q5" s="1" t="n">
        <f aca="false">0.25*(LOG(($C$9/(3.7*$C$7))+(5.74/(O5^0.9)),10))^(-2)</f>
        <v>0.0318007619841374</v>
      </c>
      <c r="R5" s="1" t="n">
        <f aca="false">P5 * ($C$15/$C$7) * ((N5^2)/2)</f>
        <v>0.109276127230521</v>
      </c>
      <c r="S5" s="1" t="n">
        <f aca="false">Q5 * ($C$14/$C$7) * ((N5^2)/2)</f>
        <v>0.205659089534935</v>
      </c>
      <c r="T5" s="1" t="n">
        <f aca="false">P5 * ($G$3*$I$3+$G$4*$I$4+$G$5*$I$5+$G$6*$I$6) * (N5^2/2)</f>
        <v>0.181357616682062</v>
      </c>
      <c r="U5" s="1" t="n">
        <f aca="false">Q5 * ($G$7*$I$7+$G$8*$I$8+$G$9*$I$9+$G$10*$I$10+$G$11*$I$11) * (N5^2/2)</f>
        <v>0.342784538587332</v>
      </c>
      <c r="V5" s="1" t="n">
        <f aca="false">SUM(R5:U5)</f>
        <v>0.83907737203485</v>
      </c>
      <c r="W5" s="1" t="n">
        <v>20</v>
      </c>
      <c r="X5" s="1" t="n">
        <f aca="false">(N5^2)/(2*$C$10)+($C$3)+V5/$C$10</f>
        <v>0.508628044619973</v>
      </c>
    </row>
    <row r="6" customFormat="false" ht="20.25" hidden="false" customHeight="true" outlineLevel="0" collapsed="false">
      <c r="B6" s="2" t="s">
        <v>27</v>
      </c>
      <c r="C6" s="2" t="n">
        <f aca="false">22.3+273.15</f>
        <v>295.45</v>
      </c>
      <c r="D6" s="2" t="s">
        <v>28</v>
      </c>
      <c r="F6" s="9" t="s">
        <v>29</v>
      </c>
      <c r="G6" s="10" t="n">
        <v>2</v>
      </c>
      <c r="H6" s="10" t="s">
        <v>20</v>
      </c>
      <c r="I6" s="11" t="n">
        <v>16</v>
      </c>
      <c r="N6" s="1" t="n">
        <f aca="false">W6/60000/$C$24</f>
        <v>0.369644228403299</v>
      </c>
      <c r="O6" s="1" t="n">
        <f aca="false">N6*$C$11*$C$7/$G$14</f>
        <v>13699.1870321743</v>
      </c>
      <c r="P6" s="1" t="n">
        <f aca="false">0.25*(LOG(($C$8/(3.7*$C$7))+(5.74/(O6^0.9)),10))^(-2)</f>
        <v>0.0305996745777615</v>
      </c>
      <c r="Q6" s="1" t="n">
        <f aca="false">0.25*(LOG(($C$9/(3.7*$C$7))+(5.74/(O6^0.9)),10))^(-2)</f>
        <v>0.0285043736648212</v>
      </c>
      <c r="R6" s="1" t="n">
        <f aca="false">P6 * ($C$15/$C$7) * ((N6^2)/2)</f>
        <v>0.224214744596068</v>
      </c>
      <c r="S6" s="1" t="n">
        <f aca="false">Q6 * ($C$14/$C$7) * ((N6^2)/2)</f>
        <v>0.41476719840356</v>
      </c>
      <c r="T6" s="1" t="n">
        <f aca="false">P6 * ($G$3*$I$3+$G$4*$I$4+$G$5*$I$5+$G$6*$I$6) * (N6^2/2)</f>
        <v>0.372112855163144</v>
      </c>
      <c r="U6" s="1" t="n">
        <f aca="false">Q6 * ($G$7*$I$7+$G$8*$I$8+$G$9*$I$9+$G$10*$I$10+$G$11*$I$11) * (N6^2/2)</f>
        <v>0.691317767901396</v>
      </c>
      <c r="V6" s="1" t="n">
        <f aca="false">SUM(R6:U6)</f>
        <v>1.70241256606417</v>
      </c>
      <c r="W6" s="1" t="n">
        <v>30</v>
      </c>
      <c r="X6" s="1" t="n">
        <f aca="false">(N6^2)/(2*$C$10)+($C$3)+V6/$C$10</f>
        <v>0.600502649730897</v>
      </c>
    </row>
    <row r="7" customFormat="false" ht="20.25" hidden="false" customHeight="true" outlineLevel="0" collapsed="false">
      <c r="B7" s="2" t="s">
        <v>30</v>
      </c>
      <c r="C7" s="2" t="n">
        <v>0.0415</v>
      </c>
      <c r="D7" s="2" t="s">
        <v>18</v>
      </c>
      <c r="F7" s="4" t="s">
        <v>31</v>
      </c>
      <c r="G7" s="5" t="n">
        <v>1</v>
      </c>
      <c r="H7" s="5" t="s">
        <v>32</v>
      </c>
      <c r="I7" s="6" t="n">
        <v>15</v>
      </c>
      <c r="N7" s="1" t="n">
        <f aca="false">W7/60000/$C$24</f>
        <v>0.492858971204398</v>
      </c>
      <c r="O7" s="1" t="n">
        <f aca="false">N7*$C$11*$C$7/$G$14</f>
        <v>18265.5827095658</v>
      </c>
      <c r="P7" s="1" t="n">
        <f aca="false">0.25*(LOG(($C$8/(3.7*$C$7))+(5.74/(O7^0.9)),10))^(-2)</f>
        <v>0.0288470673469535</v>
      </c>
      <c r="Q7" s="1" t="n">
        <f aca="false">0.25*(LOG(($C$9/(3.7*$C$7))+(5.74/(O7^0.9)),10))^(-2)</f>
        <v>0.0264703084362078</v>
      </c>
      <c r="R7" s="1" t="n">
        <f aca="false">P7 * ($C$15/$C$7) * ((N7^2)/2)</f>
        <v>0.375773805254393</v>
      </c>
      <c r="S7" s="1" t="n">
        <f aca="false">Q7 * ($C$14/$C$7) * ((N7^2)/2)</f>
        <v>0.684745797652883</v>
      </c>
      <c r="T7" s="1" t="n">
        <f aca="false">P7 * ($G$3*$I$3+$G$4*$I$4+$G$5*$I$5+$G$6*$I$6) * (N7^2/2)</f>
        <v>0.623644371919614</v>
      </c>
      <c r="U7" s="1" t="n">
        <f aca="false">Q7 * ($G$7*$I$7+$G$8*$I$8+$G$9*$I$9+$G$10*$I$10+$G$11*$I$11) * (N7^2/2)</f>
        <v>1.14130755333421</v>
      </c>
      <c r="V7" s="1" t="n">
        <f aca="false">SUM(R7:U7)</f>
        <v>2.8254715281611</v>
      </c>
      <c r="W7" s="1" t="n">
        <v>40</v>
      </c>
      <c r="X7" s="1" t="n">
        <f aca="false">(N7^2)/(2*$C$10)+($C$3)+V7/$C$10</f>
        <v>0.72040025595407</v>
      </c>
    </row>
    <row r="8" customFormat="false" ht="20.25" hidden="false" customHeight="true" outlineLevel="0" collapsed="false">
      <c r="B8" s="2" t="s">
        <v>33</v>
      </c>
      <c r="C8" s="2" t="n">
        <f aca="false">0.046*10^-3</f>
        <v>4.6E-005</v>
      </c>
      <c r="D8" s="2" t="s">
        <v>18</v>
      </c>
      <c r="F8" s="7" t="s">
        <v>29</v>
      </c>
      <c r="G8" s="2" t="n">
        <v>2</v>
      </c>
      <c r="H8" s="2" t="s">
        <v>32</v>
      </c>
      <c r="I8" s="8" t="n">
        <v>16</v>
      </c>
      <c r="N8" s="1" t="n">
        <f aca="false">W8/60000/$C$24</f>
        <v>0.616073714005498</v>
      </c>
      <c r="O8" s="1" t="n">
        <f aca="false">N8*$C$11*$C$7/$G$14</f>
        <v>22831.9783869572</v>
      </c>
      <c r="P8" s="1" t="n">
        <f aca="false">0.25*(LOG(($C$8/(3.7*$C$7))+(5.74/(O8^0.9)),10))^(-2)</f>
        <v>0.0276600024380262</v>
      </c>
      <c r="Q8" s="1" t="n">
        <f aca="false">0.25*(LOG(($C$9/(3.7*$C$7))+(5.74/(O8^0.9)),10))^(-2)</f>
        <v>0.0250412370875834</v>
      </c>
      <c r="R8" s="1" t="n">
        <f aca="false">P8 * ($C$15/$C$7) * ((N8^2)/2)</f>
        <v>0.56298532471212</v>
      </c>
      <c r="S8" s="1" t="n">
        <f aca="false">Q8 * ($C$14/$C$7) * ((N8^2)/2)</f>
        <v>1.0121530308829</v>
      </c>
      <c r="T8" s="1" t="n">
        <f aca="false">P8 * ($G$3*$I$3+$G$4*$I$4+$G$5*$I$5+$G$6*$I$6) * (N8^2/2)</f>
        <v>0.934345673702187</v>
      </c>
      <c r="U8" s="1" t="n">
        <f aca="false">Q8 * ($G$7*$I$7+$G$8*$I$8+$G$9*$I$9+$G$10*$I$10+$G$11*$I$11) * (N8^2/2)</f>
        <v>1.68701714305717</v>
      </c>
      <c r="V8" s="1" t="n">
        <f aca="false">SUM(R8:U8)</f>
        <v>4.19650117235438</v>
      </c>
      <c r="W8" s="1" t="n">
        <v>50</v>
      </c>
      <c r="X8" s="1" t="n">
        <f aca="false">(N8^2)/(2*$C$10)+($C$3)+V8/$C$10</f>
        <v>0.86712279132504</v>
      </c>
    </row>
    <row r="9" customFormat="false" ht="20.25" hidden="false" customHeight="true" outlineLevel="0" collapsed="false">
      <c r="B9" s="2" t="s">
        <v>34</v>
      </c>
      <c r="C9" s="2" t="n">
        <f aca="false">0.001*10^-3</f>
        <v>1E-006</v>
      </c>
      <c r="D9" s="2" t="s">
        <v>18</v>
      </c>
      <c r="F9" s="7" t="s">
        <v>35</v>
      </c>
      <c r="G9" s="2" t="n">
        <v>8</v>
      </c>
      <c r="H9" s="2" t="s">
        <v>32</v>
      </c>
      <c r="I9" s="8" t="n">
        <v>30</v>
      </c>
      <c r="N9" s="1" t="n">
        <f aca="false">W9/60000/$C$24</f>
        <v>0.739288456806597</v>
      </c>
      <c r="O9" s="1" t="n">
        <f aca="false">N9*$C$11*$C$7/$G$14</f>
        <v>27398.3740643487</v>
      </c>
      <c r="P9" s="1" t="n">
        <f aca="false">0.25*(LOG(($C$8/(3.7*$C$7))+(5.74/(O9^0.9)),10))^(-2)</f>
        <v>0.026791584682256</v>
      </c>
      <c r="Q9" s="1" t="n">
        <f aca="false">0.25*(LOG(($C$9/(3.7*$C$7))+(5.74/(O9^0.9)),10))^(-2)</f>
        <v>0.0239595693449026</v>
      </c>
      <c r="R9" s="1" t="n">
        <f aca="false">P9 * ($C$15/$C$7) * ((N9^2)/2)</f>
        <v>0.785246039344695</v>
      </c>
      <c r="S9" s="1" t="n">
        <f aca="false">Q9 * ($C$14/$C$7) * ((N9^2)/2)</f>
        <v>1.39454296649298</v>
      </c>
      <c r="T9" s="1" t="n">
        <f aca="false">P9 * ($G$3*$I$3+$G$4*$I$4+$G$5*$I$5+$G$6*$I$6) * (N9^2/2)</f>
        <v>1.30321556788121</v>
      </c>
      <c r="U9" s="1" t="n">
        <f aca="false">Q9 * ($G$7*$I$7+$G$8*$I$8+$G$9*$I$9+$G$10*$I$10+$G$11*$I$11) * (N9^2/2)</f>
        <v>2.32436975380223</v>
      </c>
      <c r="V9" s="1" t="n">
        <f aca="false">SUM(R9:U9)</f>
        <v>5.80737432752111</v>
      </c>
      <c r="W9" s="1" t="n">
        <v>60</v>
      </c>
      <c r="X9" s="1" t="n">
        <f aca="false">(N9^2)/(2*$C$10)+($C$3)+V9/$C$10</f>
        <v>1.03984179803311</v>
      </c>
    </row>
    <row r="10" customFormat="false" ht="20.25" hidden="false" customHeight="true" outlineLevel="0" collapsed="false">
      <c r="B10" s="2" t="s">
        <v>36</v>
      </c>
      <c r="C10" s="2" t="n">
        <v>9.81</v>
      </c>
      <c r="D10" s="2" t="s">
        <v>37</v>
      </c>
      <c r="F10" s="7" t="s">
        <v>23</v>
      </c>
      <c r="G10" s="2" t="n">
        <v>1</v>
      </c>
      <c r="H10" s="2" t="s">
        <v>32</v>
      </c>
      <c r="I10" s="8" t="n">
        <v>60</v>
      </c>
      <c r="N10" s="1" t="n">
        <f aca="false">W10/60000/$C$24</f>
        <v>0.862503199607697</v>
      </c>
      <c r="O10" s="1" t="n">
        <f aca="false">N10*$C$11*$C$7/$G$14</f>
        <v>31964.7697417401</v>
      </c>
      <c r="P10" s="1" t="n">
        <f aca="false">0.25*(LOG(($C$8/(3.7*$C$7))+(5.74/(O10^0.9)),10))^(-2)</f>
        <v>0.0261232760742295</v>
      </c>
      <c r="Q10" s="1" t="n">
        <f aca="false">0.25*(LOG(($C$9/(3.7*$C$7))+(5.74/(O10^0.9)),10))^(-2)</f>
        <v>0.0231001804396293</v>
      </c>
      <c r="R10" s="1" t="n">
        <f aca="false">P10 * ($C$15/$C$7) * ((N10^2)/2)</f>
        <v>1.04214601384967</v>
      </c>
      <c r="S10" s="1" t="n">
        <f aca="false">Q10 * ($C$14/$C$7) * ((N10^2)/2)</f>
        <v>1.83004531388394</v>
      </c>
      <c r="T10" s="1" t="n">
        <f aca="false">P10 * ($G$3*$I$3+$G$4*$I$4+$G$5*$I$5+$G$6*$I$6) * (N10^2/2)</f>
        <v>1.72957371473995</v>
      </c>
      <c r="U10" s="1" t="n">
        <f aca="false">Q10 * ($G$7*$I$7+$G$8*$I$8+$G$9*$I$9+$G$10*$I$10+$G$11*$I$11) * (N10^2/2)</f>
        <v>3.05024805824133</v>
      </c>
      <c r="V10" s="1" t="n">
        <f aca="false">SUM(R10:U10)</f>
        <v>7.65201310071489</v>
      </c>
      <c r="W10" s="1" t="n">
        <v>70</v>
      </c>
      <c r="X10" s="1" t="n">
        <f aca="false">(N10^2)/(2*$C$10)+($C$3)+V10/$C$10</f>
        <v>1.23793771512555</v>
      </c>
    </row>
    <row r="11" customFormat="false" ht="20.25" hidden="false" customHeight="true" outlineLevel="0" collapsed="false">
      <c r="B11" s="2" t="s">
        <v>38</v>
      </c>
      <c r="C11" s="2" t="n">
        <v>998.4</v>
      </c>
      <c r="D11" s="2" t="s">
        <v>39</v>
      </c>
      <c r="F11" s="9" t="s">
        <v>40</v>
      </c>
      <c r="G11" s="10" t="n">
        <v>1</v>
      </c>
      <c r="H11" s="10" t="s">
        <v>32</v>
      </c>
      <c r="I11" s="11" t="n">
        <v>8</v>
      </c>
      <c r="N11" s="1" t="n">
        <f aca="false">W11/60000/$C$24</f>
        <v>0.985717942408797</v>
      </c>
      <c r="O11" s="1" t="n">
        <f aca="false">N11*$C$11*$C$7/$G$14</f>
        <v>36531.1654191316</v>
      </c>
      <c r="P11" s="1" t="n">
        <f aca="false">0.25*(LOG(($C$8/(3.7*$C$7))+(5.74/(O11^0.9)),10))^(-2)</f>
        <v>0.0255901280597048</v>
      </c>
      <c r="Q11" s="1" t="n">
        <f aca="false">0.25*(LOG(($C$9/(3.7*$C$7))+(5.74/(O11^0.9)),10))^(-2)</f>
        <v>0.022393703931125</v>
      </c>
      <c r="R11" s="1" t="n">
        <f aca="false">P11 * ($C$15/$C$7) * ((N11^2)/2)</f>
        <v>1.33339027947436</v>
      </c>
      <c r="S11" s="1" t="n">
        <f aca="false">Q11 * ($C$14/$C$7) * ((N11^2)/2)</f>
        <v>2.31716146378496</v>
      </c>
      <c r="T11" s="1" t="n">
        <f aca="false">P11 * ($G$3*$I$3+$G$4*$I$4+$G$5*$I$5+$G$6*$I$6) * (N11^2/2)</f>
        <v>2.21293057615751</v>
      </c>
      <c r="U11" s="1" t="n">
        <f aca="false">Q11 * ($G$7*$I$7+$G$8*$I$8+$G$9*$I$9+$G$10*$I$10+$G$11*$I$11) * (N11^2/2)</f>
        <v>3.86215423296888</v>
      </c>
      <c r="V11" s="1" t="n">
        <f aca="false">SUM(R11:U11)</f>
        <v>9.72563655238571</v>
      </c>
      <c r="W11" s="1" t="n">
        <v>80</v>
      </c>
      <c r="X11" s="1" t="n">
        <f aca="false">(N11^2)/(2*$C$10)+($C$3)+V11/$C$10</f>
        <v>1.46092318892752</v>
      </c>
    </row>
    <row r="12" customFormat="false" ht="20.25" hidden="false" customHeight="true" outlineLevel="0" collapsed="false">
      <c r="N12" s="1" t="n">
        <f aca="false">W12/60000/$C$24</f>
        <v>1.1089326852099</v>
      </c>
      <c r="O12" s="1" t="n">
        <f aca="false">N12*$C$11*$C$7/$G$14</f>
        <v>41097.561096523</v>
      </c>
      <c r="P12" s="1" t="n">
        <f aca="false">0.25*(LOG(($C$8/(3.7*$C$7))+(5.74/(O12^0.9)),10))^(-2)</f>
        <v>0.0251531897942557</v>
      </c>
      <c r="Q12" s="1" t="n">
        <f aca="false">0.25*(LOG(($C$9/(3.7*$C$7))+(5.74/(O12^0.9)),10))^(-2)</f>
        <v>0.0217980468805592</v>
      </c>
      <c r="R12" s="1" t="n">
        <f aca="false">P12 * ($C$15/$C$7) * ((N12^2)/2)</f>
        <v>1.65875764791131</v>
      </c>
      <c r="S12" s="1" t="n">
        <f aca="false">Q12 * ($C$14/$C$7) * ((N12^2)/2)</f>
        <v>2.85465081515873</v>
      </c>
      <c r="T12" s="1" t="n">
        <f aca="false">P12 * ($G$3*$I$3+$G$4*$I$4+$G$5*$I$5+$G$6*$I$6) * (N12^2/2)</f>
        <v>2.75291906203569</v>
      </c>
      <c r="U12" s="1" t="n">
        <f aca="false">Q12 * ($G$7*$I$7+$G$8*$I$8+$G$9*$I$9+$G$10*$I$10+$G$11*$I$11) * (N12^2/2)</f>
        <v>4.75802049262653</v>
      </c>
      <c r="V12" s="1" t="n">
        <f aca="false">SUM(R12:U12)</f>
        <v>12.0243480177323</v>
      </c>
      <c r="W12" s="1" t="n">
        <v>90</v>
      </c>
      <c r="X12" s="1" t="n">
        <f aca="false">(N12^2)/(2*$C$10)+($C$3)+V12/$C$10</f>
        <v>1.7084010059017</v>
      </c>
    </row>
    <row r="13" customFormat="false" ht="20.25" hidden="false" customHeight="true" outlineLevel="0" collapsed="false">
      <c r="B13" s="2" t="s">
        <v>41</v>
      </c>
      <c r="C13" s="2"/>
      <c r="D13" s="2"/>
      <c r="F13" s="2" t="s">
        <v>7</v>
      </c>
      <c r="G13" s="2" t="n">
        <f aca="false">(C25*C11*C7)/G14</f>
        <v>90477.2028146611</v>
      </c>
      <c r="N13" s="1" t="n">
        <f aca="false">W13/60000/$C$24</f>
        <v>1.232147428011</v>
      </c>
      <c r="O13" s="1" t="n">
        <f aca="false">N13*$C$11*$C$7/$G$14</f>
        <v>45663.9567739145</v>
      </c>
      <c r="P13" s="1" t="n">
        <f aca="false">0.25*(LOG(($C$8/(3.7*$C$7))+(5.74/(O13^0.9)),10))^(-2)</f>
        <v>0.0247875082177873</v>
      </c>
      <c r="Q13" s="1" t="n">
        <f aca="false">0.25*(LOG(($C$9/(3.7*$C$7))+(5.74/(O13^0.9)),10))^(-2)</f>
        <v>0.0212859236753526</v>
      </c>
      <c r="R13" s="1" t="n">
        <f aca="false">P13 * ($C$15/$C$7) * ((N13^2)/2)</f>
        <v>2.01807695340047</v>
      </c>
      <c r="S13" s="1" t="n">
        <f aca="false">Q13 * ($C$14/$C$7) * ((N13^2)/2)</f>
        <v>3.44146131244178</v>
      </c>
      <c r="T13" s="1" t="n">
        <f aca="false">P13 * ($G$3*$I$3+$G$4*$I$4+$G$5*$I$5+$G$6*$I$6) * (N13^2/2)</f>
        <v>3.34925510104903</v>
      </c>
      <c r="U13" s="1" t="n">
        <f aca="false">Q13 * ($G$7*$I$7+$G$8*$I$8+$G$9*$I$9+$G$10*$I$10+$G$11*$I$11) * (N13^2/2)</f>
        <v>5.73609331208831</v>
      </c>
      <c r="V13" s="1" t="n">
        <f aca="false">SUM(R13:U13)</f>
        <v>14.5448866789796</v>
      </c>
      <c r="W13" s="1" t="n">
        <v>100</v>
      </c>
      <c r="X13" s="1" t="n">
        <f aca="false">(N13^2)/(2*$C$10)+($C$3)+V13/$C$10</f>
        <v>1.98003876872137</v>
      </c>
    </row>
    <row r="14" customFormat="false" ht="20.25" hidden="false" customHeight="true" outlineLevel="0" collapsed="false">
      <c r="B14" s="2" t="s">
        <v>32</v>
      </c>
      <c r="C14" s="2" t="n">
        <v>8.839</v>
      </c>
      <c r="D14" s="2" t="s">
        <v>18</v>
      </c>
      <c r="F14" s="2" t="s">
        <v>42</v>
      </c>
      <c r="G14" s="2" t="n">
        <v>0.001118</v>
      </c>
      <c r="N14" s="1" t="n">
        <f aca="false">W14/60000/$C$24</f>
        <v>1.3553621708121</v>
      </c>
      <c r="O14" s="1" t="n">
        <f aca="false">N14*$C$11*$C$7/$G$14</f>
        <v>50230.3524513059</v>
      </c>
      <c r="P14" s="1" t="n">
        <f aca="false">0.25*(LOG(($C$8/(3.7*$C$7))+(5.74/(O14^0.9)),10))^(-2)</f>
        <v>0.0244762705655545</v>
      </c>
      <c r="Q14" s="1" t="n">
        <f aca="false">0.25*(LOG(($C$9/(3.7*$C$7))+(5.74/(O14^0.9)),10))^(-2)</f>
        <v>0.020838732372692</v>
      </c>
      <c r="R14" s="1" t="n">
        <f aca="false">P14 * ($C$15/$C$7) * ((N14^2)/2)</f>
        <v>2.41121239337378</v>
      </c>
      <c r="S14" s="1" t="n">
        <f aca="false">Q14 * ($C$14/$C$7) * ((N14^2)/2)</f>
        <v>4.07668409176091</v>
      </c>
      <c r="T14" s="1" t="n">
        <f aca="false">P14 * ($G$3*$I$3+$G$4*$I$4+$G$5*$I$5+$G$6*$I$6) * (N14^2/2)</f>
        <v>4.00171331158214</v>
      </c>
      <c r="U14" s="1" t="n">
        <f aca="false">Q14 * ($G$7*$I$7+$G$8*$I$8+$G$9*$I$9+$G$10*$I$10+$G$11*$I$11) * (N14^2/2)</f>
        <v>6.79485783254527</v>
      </c>
      <c r="V14" s="1" t="n">
        <f aca="false">SUM(R14:U14)</f>
        <v>17.2844676292621</v>
      </c>
      <c r="W14" s="1" t="n">
        <v>110</v>
      </c>
      <c r="X14" s="1" t="n">
        <f aca="false">(N14^2)/(2*$C$10)+($C$3)+V14/$C$10</f>
        <v>2.27555259289463</v>
      </c>
    </row>
    <row r="15" customFormat="false" ht="20.25" hidden="false" customHeight="true" outlineLevel="0" collapsed="false">
      <c r="B15" s="2" t="s">
        <v>43</v>
      </c>
      <c r="C15" s="2" t="n">
        <v>4.451</v>
      </c>
      <c r="D15" s="2" t="s">
        <v>18</v>
      </c>
      <c r="N15" s="1" t="n">
        <f aca="false">W15/60000/$C$24</f>
        <v>1.4785769136132</v>
      </c>
      <c r="O15" s="1" t="n">
        <f aca="false">N15*$C$11*$C$7/$G$14</f>
        <v>54796.7481286974</v>
      </c>
      <c r="P15" s="1" t="n">
        <f aca="false">0.25*(LOG(($C$8/(3.7*$C$7))+(5.74/(O15^0.9)),10))^(-2)</f>
        <v>0.024207687919088</v>
      </c>
      <c r="Q15" s="1" t="n">
        <f aca="false">0.25*(LOG(($C$9/(3.7*$C$7))+(5.74/(O15^0.9)),10))^(-2)</f>
        <v>0.0204432757567197</v>
      </c>
      <c r="R15" s="1" t="n">
        <f aca="false">P15 * ($C$15/$C$7) * ((N15^2)/2)</f>
        <v>2.8380540062262</v>
      </c>
      <c r="S15" s="1" t="n">
        <f aca="false">Q15 * ($C$14/$C$7) * ((N15^2)/2)</f>
        <v>4.75952234503334</v>
      </c>
      <c r="T15" s="1" t="n">
        <f aca="false">P15 * ($G$3*$I$3+$G$4*$I$4+$G$5*$I$5+$G$6*$I$6) * (N15^2/2)</f>
        <v>4.71011119838081</v>
      </c>
      <c r="U15" s="1" t="n">
        <f aca="false">Q15 * ($G$7*$I$7+$G$8*$I$8+$G$9*$I$9+$G$10*$I$10+$G$11*$I$11) * (N15^2/2)</f>
        <v>7.93298596540374</v>
      </c>
      <c r="V15" s="1" t="n">
        <f aca="false">SUM(R15:U15)</f>
        <v>20.2406735150441</v>
      </c>
      <c r="W15" s="1" t="n">
        <v>120</v>
      </c>
      <c r="X15" s="1" t="n">
        <f aca="false">(N15^2)/(2*$C$10)+($C$3)+V15/$C$10</f>
        <v>2.59469606113956</v>
      </c>
    </row>
    <row r="16" customFormat="false" ht="20.25" hidden="false" customHeight="true" outlineLevel="0" collapsed="false">
      <c r="N16" s="1" t="n">
        <f aca="false">W16/60000/$C$24</f>
        <v>1.60179165641429</v>
      </c>
      <c r="O16" s="1" t="n">
        <f aca="false">N16*$C$11*$C$7/$G$14</f>
        <v>59363.1438060888</v>
      </c>
      <c r="P16" s="1" t="n">
        <f aca="false">0.25*(LOG(($C$8/(3.7*$C$7))+(5.74/(O16^0.9)),10))^(-2)</f>
        <v>0.0239732221979656</v>
      </c>
      <c r="Q16" s="1" t="n">
        <f aca="false">0.25*(LOG(($C$9/(3.7*$C$7))+(5.74/(O16^0.9)),10))^(-2)</f>
        <v>0.0200898837987609</v>
      </c>
      <c r="R16" s="1" t="n">
        <f aca="false">P16 * ($C$15/$C$7) * ((N16^2)/2)</f>
        <v>3.29851122902102</v>
      </c>
      <c r="S16" s="1" t="n">
        <f aca="false">Q16 * ($C$14/$C$7) * ((N16^2)/2)</f>
        <v>5.48926908569885</v>
      </c>
      <c r="T16" s="1" t="n">
        <f aca="false">P16 * ($G$3*$I$3+$G$4*$I$4+$G$5*$I$5+$G$6*$I$6) * (N16^2/2)</f>
        <v>5.47429846074551</v>
      </c>
      <c r="U16" s="1" t="n">
        <f aca="false">Q16 * ($G$7*$I$7+$G$8*$I$8+$G$9*$I$9+$G$10*$I$10+$G$11*$I$11) * (N16^2/2)</f>
        <v>9.14929933307596</v>
      </c>
      <c r="V16" s="1" t="n">
        <f aca="false">SUM(R16:U16)</f>
        <v>23.4113781085413</v>
      </c>
      <c r="W16" s="1" t="n">
        <v>130</v>
      </c>
      <c r="X16" s="1" t="n">
        <f aca="false">(N16^2)/(2*$C$10)+($C$3)+V16/$C$10</f>
        <v>2.93725243260148</v>
      </c>
    </row>
    <row r="17" customFormat="false" ht="20.25" hidden="false" customHeight="true" outlineLevel="0" collapsed="false">
      <c r="B17" s="12"/>
      <c r="C17" s="13"/>
      <c r="D17" s="13"/>
      <c r="E17" s="14"/>
      <c r="F17" s="14"/>
      <c r="G17" s="14"/>
      <c r="H17" s="14"/>
      <c r="I17" s="14"/>
      <c r="J17" s="14"/>
      <c r="K17" s="15"/>
      <c r="N17" s="1" t="n">
        <f aca="false">W17/60000/$C$24</f>
        <v>1.72500639921539</v>
      </c>
      <c r="O17" s="1" t="n">
        <f aca="false">N17*$C$11*$C$7/$G$14</f>
        <v>63929.5394834803</v>
      </c>
      <c r="P17" s="1" t="n">
        <f aca="false">0.25*(LOG(($C$8/(3.7*$C$7))+(5.74/(O17^0.9)),10))^(-2)</f>
        <v>0.0237665217781685</v>
      </c>
      <c r="Q17" s="1" t="n">
        <f aca="false">0.25*(LOG(($C$9/(3.7*$C$7))+(5.74/(O17^0.9)),10))^(-2)</f>
        <v>0.0197712791473142</v>
      </c>
      <c r="R17" s="1" t="n">
        <f aca="false">P17 * ($C$15/$C$7) * ((N17^2)/2)</f>
        <v>3.79250839195063</v>
      </c>
      <c r="S17" s="1" t="n">
        <f aca="false">Q17 * ($C$14/$C$7) * ((N17^2)/2)</f>
        <v>6.2652907578092</v>
      </c>
      <c r="T17" s="1" t="n">
        <f aca="false">P17 * ($G$3*$I$3+$G$4*$I$4+$G$5*$I$5+$G$6*$I$6) * (N17^2/2)</f>
        <v>6.29414951501669</v>
      </c>
      <c r="U17" s="1" t="n">
        <f aca="false">Q17 * ($G$7*$I$7+$G$8*$I$8+$G$9*$I$9+$G$10*$I$10+$G$11*$I$11) * (N17^2/2)</f>
        <v>10.4427419492504</v>
      </c>
      <c r="V17" s="1" t="n">
        <f aca="false">SUM(R17:U17)</f>
        <v>26.7946906140269</v>
      </c>
      <c r="W17" s="1" t="n">
        <v>140</v>
      </c>
      <c r="X17" s="1" t="n">
        <f aca="false">(N17^2)/(2*$C$10)+($C$3)+V17/$C$10</f>
        <v>3.3030289656161</v>
      </c>
    </row>
    <row r="18" customFormat="false" ht="20.25" hidden="false" customHeight="true" outlineLevel="0" collapsed="false">
      <c r="B18" s="16" t="s">
        <v>44</v>
      </c>
      <c r="C18" s="17"/>
      <c r="D18" s="1" t="s">
        <v>45</v>
      </c>
      <c r="E18" s="18" t="s">
        <v>46</v>
      </c>
      <c r="F18" s="19" t="n">
        <f aca="false">C20+C27+G20</f>
        <v>6.12554436157082</v>
      </c>
      <c r="G18" s="17"/>
      <c r="H18" s="17"/>
      <c r="I18" s="17"/>
      <c r="J18" s="17"/>
      <c r="K18" s="20"/>
      <c r="L18" s="17"/>
      <c r="M18" s="17"/>
      <c r="N18" s="1" t="n">
        <f aca="false">W18/60000/$C$24</f>
        <v>1.84822114201649</v>
      </c>
      <c r="O18" s="1" t="n">
        <f aca="false">N18*$C$11*$C$7/$G$14</f>
        <v>68495.9351608717</v>
      </c>
      <c r="P18" s="1" t="n">
        <f aca="false">0.25*(LOG(($C$8/(3.7*$C$7))+(5.74/(O18^0.9)),10))^(-2)</f>
        <v>0.0235827536995765</v>
      </c>
      <c r="Q18" s="1" t="n">
        <f aca="false">0.25*(LOG(($C$9/(3.7*$C$7))+(5.74/(O18^0.9)),10))^(-2)</f>
        <v>0.0194818606387321</v>
      </c>
      <c r="R18" s="1" t="n">
        <f aca="false">P18 * ($C$15/$C$7) * ((N18^2)/2)</f>
        <v>4.31998147903941</v>
      </c>
      <c r="S18" s="1" t="n">
        <f aca="false">Q18 * ($C$14/$C$7) * ((N18^2)/2)</f>
        <v>7.08701483133094</v>
      </c>
      <c r="T18" s="1" t="n">
        <f aca="false">P18 * ($G$3*$I$3+$G$4*$I$4+$G$5*$I$5+$G$6*$I$6) * (N18^2/2)</f>
        <v>7.16955811854957</v>
      </c>
      <c r="U18" s="1" t="n">
        <f aca="false">Q18 * ($G$7*$I$7+$G$8*$I$8+$G$9*$I$9+$G$10*$I$10+$G$11*$I$11) * (N18^2/2)</f>
        <v>11.812359543227</v>
      </c>
      <c r="V18" s="1" t="n">
        <f aca="false">SUM(R18:U18)</f>
        <v>30.3889139721469</v>
      </c>
      <c r="W18" s="1" t="n">
        <v>150</v>
      </c>
      <c r="X18" s="1" t="n">
        <f aca="false">(N18^2)/(2*$C$10)+($C$3)+V18/$C$10</f>
        <v>3.69185266738484</v>
      </c>
    </row>
    <row r="19" customFormat="false" ht="20.25" hidden="false" customHeight="true" outlineLevel="0" collapsed="false">
      <c r="B19" s="21"/>
      <c r="I19" s="17"/>
      <c r="J19" s="17"/>
      <c r="K19" s="20"/>
      <c r="L19" s="17"/>
      <c r="N19" s="1" t="n">
        <f aca="false">W19/60000/$C$24</f>
        <v>1.97143588481759</v>
      </c>
      <c r="O19" s="1" t="n">
        <f aca="false">N19*$C$11*$C$7/$G$14</f>
        <v>73062.3308382632</v>
      </c>
      <c r="P19" s="1" t="n">
        <f aca="false">0.25*(LOG(($C$8/(3.7*$C$7))+(5.74/(O19^0.9)),10))^(-2)</f>
        <v>0.0234181689442283</v>
      </c>
      <c r="Q19" s="1" t="n">
        <f aca="false">0.25*(LOG(($C$9/(3.7*$C$7))+(5.74/(O19^0.9)),10))^(-2)</f>
        <v>0.0192172337734149</v>
      </c>
      <c r="R19" s="1" t="n">
        <f aca="false">P19 * ($C$15/$C$7) * ((N19^2)/2)</f>
        <v>4.88087574403213</v>
      </c>
      <c r="S19" s="1" t="n">
        <f aca="false">Q19 * ($C$14/$C$7) * ((N19^2)/2)</f>
        <v>7.95392020493984</v>
      </c>
      <c r="T19" s="1" t="n">
        <f aca="false">P19 * ($G$3*$I$3+$G$4*$I$4+$G$5*$I$5+$G$6*$I$6) * (N19^2/2)</f>
        <v>8.10043341297806</v>
      </c>
      <c r="U19" s="1" t="n">
        <f aca="false">Q19 * ($G$7*$I$7+$G$8*$I$8+$G$9*$I$9+$G$10*$I$10+$G$11*$I$11) * (N19^2/2)</f>
        <v>13.2572835636697</v>
      </c>
      <c r="V19" s="1" t="n">
        <f aca="false">SUM(R19:U19)</f>
        <v>34.1925129256197</v>
      </c>
      <c r="W19" s="1" t="n">
        <v>160</v>
      </c>
      <c r="X19" s="1" t="n">
        <f aca="false">(N19^2)/(2*$C$10)+($C$3)+V19/$C$10</f>
        <v>4.10356703869449</v>
      </c>
    </row>
    <row r="20" customFormat="false" ht="20.25" hidden="false" customHeight="true" outlineLevel="0" collapsed="false">
      <c r="B20" s="22" t="s">
        <v>47</v>
      </c>
      <c r="C20" s="14" t="n">
        <f aca="false">(C25^2)/(2*C10)</f>
        <v>0.303778894275264</v>
      </c>
      <c r="D20" s="15"/>
      <c r="F20" s="22" t="s">
        <v>48</v>
      </c>
      <c r="G20" s="14" t="n">
        <f aca="false">G33/C10</f>
        <v>5.40176546729556</v>
      </c>
      <c r="H20" s="14"/>
      <c r="I20" s="14"/>
      <c r="J20" s="14"/>
      <c r="K20" s="15"/>
      <c r="N20" s="1" t="n">
        <f aca="false">W20/60000/$C$24</f>
        <v>2.09465062761869</v>
      </c>
      <c r="O20" s="1" t="n">
        <f aca="false">N20*$C$11*$C$7/$G$14</f>
        <v>77628.7265156546</v>
      </c>
      <c r="P20" s="1" t="n">
        <f aca="false">0.25*(LOG(($C$8/(3.7*$C$7))+(5.74/(O20^0.9)),10))^(-2)</f>
        <v>0.023269810428138</v>
      </c>
      <c r="Q20" s="1" t="n">
        <f aca="false">0.25*(LOG(($C$9/(3.7*$C$7))+(5.74/(O20^0.9)),10))^(-2)</f>
        <v>0.0189738932212593</v>
      </c>
      <c r="R20" s="1" t="n">
        <f aca="false">P20 * ($C$15/$C$7) * ((N20^2)/2)</f>
        <v>5.47514391998583</v>
      </c>
      <c r="S20" s="1" t="n">
        <f aca="false">Q20 * ($C$14/$C$7) * ((N20^2)/2)</f>
        <v>8.86552964009722</v>
      </c>
      <c r="T20" s="1" t="n">
        <f aca="false">P20 * ($G$3*$I$3+$G$4*$I$4+$G$5*$I$5+$G$6*$I$6) * (N20^2/2)</f>
        <v>9.08669695280506</v>
      </c>
      <c r="U20" s="1" t="n">
        <f aca="false">Q20 * ($G$7*$I$7+$G$8*$I$8+$G$9*$I$9+$G$10*$I$10+$G$11*$I$11) * (N20^2/2)</f>
        <v>14.7767185680204</v>
      </c>
      <c r="V20" s="1" t="n">
        <f aca="false">SUM(R20:U20)</f>
        <v>38.2040890809085</v>
      </c>
      <c r="W20" s="1" t="n">
        <v>170</v>
      </c>
      <c r="X20" s="1" t="n">
        <f aca="false">(N20^2)/(2*$C$10)+($C$3)+V20/$C$10</f>
        <v>4.53802953178391</v>
      </c>
    </row>
    <row r="21" customFormat="false" ht="20.25" hidden="false" customHeight="true" outlineLevel="0" collapsed="false">
      <c r="B21" s="21"/>
      <c r="D21" s="23"/>
      <c r="F21" s="21"/>
      <c r="K21" s="23"/>
      <c r="N21" s="1" t="n">
        <f aca="false">W21/60000/$C$24</f>
        <v>2.21786537041979</v>
      </c>
      <c r="O21" s="1" t="n">
        <f aca="false">N21*$C$11*$C$7/$G$14</f>
        <v>82195.1221930461</v>
      </c>
      <c r="P21" s="1" t="n">
        <f aca="false">0.25*(LOG(($C$8/(3.7*$C$7))+(5.74/(O21^0.9)),10))^(-2)</f>
        <v>0.0231353114926872</v>
      </c>
      <c r="Q21" s="1" t="n">
        <f aca="false">0.25*(LOG(($C$9/(3.7*$C$7))+(5.74/(O21^0.9)),10))^(-2)</f>
        <v>0.0187490022534487</v>
      </c>
      <c r="R21" s="1" t="n">
        <f aca="false">P21 * ($C$15/$C$7) * ((N21^2)/2)</f>
        <v>6.10274485092453</v>
      </c>
      <c r="S21" s="1" t="n">
        <f aca="false">Q21 * ($C$14/$C$7) * ((N21^2)/2)</f>
        <v>9.82140369905421</v>
      </c>
      <c r="T21" s="1" t="n">
        <f aca="false">P21 * ($G$3*$I$3+$G$4*$I$4+$G$5*$I$5+$G$6*$I$6) * (N21^2/2)</f>
        <v>10.1282804344596</v>
      </c>
      <c r="U21" s="1" t="n">
        <f aca="false">Q21 * ($G$7*$I$7+$G$8*$I$8+$G$9*$I$9+$G$10*$I$10+$G$11*$I$11) * (N21^2/2)</f>
        <v>16.3699321186012</v>
      </c>
      <c r="V21" s="1" t="n">
        <f aca="false">SUM(R21:U21)</f>
        <v>42.4223611030395</v>
      </c>
      <c r="W21" s="1" t="n">
        <v>180</v>
      </c>
      <c r="X21" s="1" t="n">
        <f aca="false">(N21^2)/(2*$C$10)+($C$3)+V21/$C$10</f>
        <v>4.9951095314672</v>
      </c>
    </row>
    <row r="22" customFormat="false" ht="20.25" hidden="false" customHeight="true" outlineLevel="0" collapsed="false">
      <c r="B22" s="24" t="s">
        <v>49</v>
      </c>
      <c r="C22" s="24"/>
      <c r="D22" s="24"/>
      <c r="F22" s="25" t="s">
        <v>50</v>
      </c>
      <c r="K22" s="23"/>
      <c r="N22" s="1" t="n">
        <f aca="false">W22/60000/$C$24</f>
        <v>2.34108011322089</v>
      </c>
      <c r="O22" s="1" t="n">
        <f aca="false">N22*$C$11*$C$7/$G$14</f>
        <v>86761.5178704375</v>
      </c>
      <c r="P22" s="1" t="n">
        <f aca="false">0.25*(LOG(($C$8/(3.7*$C$7))+(5.74/(O22^0.9)),10))^(-2)</f>
        <v>0.0230127535459285</v>
      </c>
      <c r="Q22" s="1" t="n">
        <f aca="false">0.25*(LOG(($C$9/(3.7*$C$7))+(5.74/(O22^0.9)),10))^(-2)</f>
        <v>0.0185402358685244</v>
      </c>
      <c r="R22" s="1" t="n">
        <f aca="false">P22 * ($C$15/$C$7) * ((N22^2)/2)</f>
        <v>6.76364242979896</v>
      </c>
      <c r="S22" s="1" t="n">
        <f aca="false">Q22 * ($C$14/$C$7) * ((N22^2)/2)</f>
        <v>10.8211358187676</v>
      </c>
      <c r="T22" s="1" t="n">
        <f aca="false">P22 * ($G$3*$I$3+$G$4*$I$4+$G$5*$I$5+$G$6*$I$6) * (N22^2/2)</f>
        <v>11.2251239337059</v>
      </c>
      <c r="U22" s="1" t="n">
        <f aca="false">Q22 * ($G$7*$I$7+$G$8*$I$8+$G$9*$I$9+$G$10*$I$10+$G$11*$I$11) * (N22^2/2)</f>
        <v>18.0362465720096</v>
      </c>
      <c r="V22" s="1" t="n">
        <f aca="false">SUM(R22:U22)</f>
        <v>46.846148754282</v>
      </c>
      <c r="W22" s="1" t="n">
        <v>190</v>
      </c>
      <c r="X22" s="1" t="n">
        <f aca="false">(N22^2)/(2*$C$10)+($C$3)+V22/$C$10</f>
        <v>5.47468672808779</v>
      </c>
    </row>
    <row r="23" customFormat="false" ht="20.25" hidden="false" customHeight="true" outlineLevel="0" collapsed="false">
      <c r="B23" s="21" t="s">
        <v>51</v>
      </c>
      <c r="C23" s="1" t="n">
        <f aca="false">C4/(C5*C11)</f>
        <v>0.00330228365384615</v>
      </c>
      <c r="D23" s="23" t="s">
        <v>52</v>
      </c>
      <c r="F23" s="21"/>
      <c r="K23" s="23"/>
      <c r="N23" s="1" t="n">
        <f aca="false">W23/60000/$C$24</f>
        <v>2.46429485602199</v>
      </c>
      <c r="O23" s="1" t="n">
        <f aca="false">N23*$C$11*$C$7/$G$14</f>
        <v>91327.913547829</v>
      </c>
      <c r="P23" s="1" t="n">
        <f aca="false">0.25*(LOG(($C$8/(3.7*$C$7))+(5.74/(O23^0.9)),10))^(-2)</f>
        <v>0.022900563396942</v>
      </c>
      <c r="Q23" s="1" t="n">
        <f aca="false">0.25*(LOG(($C$9/(3.7*$C$7))+(5.74/(O23^0.9)),10))^(-2)</f>
        <v>0.018345666894579</v>
      </c>
      <c r="R23" s="1" t="n">
        <f aca="false">P23 * ($C$15/$C$7) * ((N23^2)/2)</f>
        <v>7.45780476281862</v>
      </c>
      <c r="S23" s="1" t="n">
        <f aca="false">Q23 * ($C$14/$C$7) * ((N23^2)/2)</f>
        <v>11.8643482578572</v>
      </c>
      <c r="T23" s="1" t="n">
        <f aca="false">P23 * ($G$3*$I$3+$G$4*$I$4+$G$5*$I$5+$G$6*$I$6) * (N23^2/2)</f>
        <v>12.3771745187466</v>
      </c>
      <c r="U23" s="1" t="n">
        <f aca="false">Q23 * ($G$7*$I$7+$G$8*$I$8+$G$9*$I$9+$G$10*$I$10+$G$11*$I$11) * (N23^2/2)</f>
        <v>19.7750323236657</v>
      </c>
      <c r="V23" s="1" t="n">
        <f aca="false">SUM(R23:U23)</f>
        <v>51.4743598630882</v>
      </c>
      <c r="W23" s="1" t="n">
        <v>200</v>
      </c>
      <c r="X23" s="1" t="n">
        <f aca="false">(N23^2)/(2*$C$10)+($C$3)+V23/$C$10</f>
        <v>5.97664978917394</v>
      </c>
      <c r="AD23" s="1" t="n">
        <v>217.5</v>
      </c>
    </row>
    <row r="24" customFormat="false" ht="20.25" hidden="false" customHeight="true" outlineLevel="0" collapsed="false">
      <c r="B24" s="21" t="s">
        <v>53</v>
      </c>
      <c r="C24" s="1" t="n">
        <f aca="false">PI()*(C7/2)^2</f>
        <v>0.00135265198691126</v>
      </c>
      <c r="D24" s="23" t="s">
        <v>54</v>
      </c>
      <c r="F24" s="25" t="s">
        <v>55</v>
      </c>
      <c r="J24" s="26" t="s">
        <v>56</v>
      </c>
      <c r="K24" s="23"/>
      <c r="N24" s="1" t="n">
        <f aca="false">W24/60000/$C$24</f>
        <v>2.58750959882309</v>
      </c>
      <c r="O24" s="1" t="n">
        <f aca="false">N24*$C$11*$C$7/$G$14</f>
        <v>95894.3092252204</v>
      </c>
      <c r="P24" s="1" t="n">
        <f aca="false">0.25*(LOG(($C$8/(3.7*$C$7))+(5.74/(O24^0.9)),10))^(-2)</f>
        <v>0.0227974378522736</v>
      </c>
      <c r="Q24" s="1" t="n">
        <f aca="false">0.25*(LOG(($C$9/(3.7*$C$7))+(5.74/(O24^0.9)),10))^(-2)</f>
        <v>0.0181636817705854</v>
      </c>
      <c r="R24" s="1" t="n">
        <f aca="false">P24 * ($C$15/$C$7) * ((N24^2)/2)</f>
        <v>8.18520350380286</v>
      </c>
      <c r="S24" s="1" t="n">
        <f aca="false">Q24 * ($C$14/$C$7) * ((N24^2)/2)</f>
        <v>12.9506887249688</v>
      </c>
      <c r="T24" s="1" t="n">
        <f aca="false">P24 * ($G$3*$I$3+$G$4*$I$4+$G$5*$I$5+$G$6*$I$6) * (N24^2/2)</f>
        <v>13.5843851454935</v>
      </c>
      <c r="U24" s="1" t="n">
        <f aca="false">Q24 * ($G$7*$I$7+$G$8*$I$8+$G$9*$I$9+$G$10*$I$10+$G$11*$I$11) * (N24^2/2)</f>
        <v>21.5857021880985</v>
      </c>
      <c r="V24" s="1" t="n">
        <f aca="false">SUM(R24:U24)</f>
        <v>56.3059795623636</v>
      </c>
      <c r="W24" s="1" t="n">
        <v>210</v>
      </c>
      <c r="X24" s="1" t="n">
        <f aca="false">(N24^2)/(2*$C$10)+($C$3)+V24/$C$10</f>
        <v>6.50089526242247</v>
      </c>
      <c r="AD24" s="27" t="n">
        <v>6.9</v>
      </c>
    </row>
    <row r="25" customFormat="false" ht="20.25" hidden="false" customHeight="true" outlineLevel="0" collapsed="false">
      <c r="B25" s="28" t="s">
        <v>57</v>
      </c>
      <c r="C25" s="29" t="n">
        <f aca="false">C23/C24</f>
        <v>2.44134018638958</v>
      </c>
      <c r="D25" s="30" t="s">
        <v>58</v>
      </c>
      <c r="F25" s="21"/>
      <c r="K25" s="23"/>
      <c r="N25" s="1" t="n">
        <f aca="false">W25/60000/$C$24</f>
        <v>2.71072434162419</v>
      </c>
      <c r="O25" s="1" t="n">
        <f aca="false">N25*$C$11*$C$7/$G$14</f>
        <v>100460.704902612</v>
      </c>
      <c r="P25" s="1" t="n">
        <f aca="false">0.25*(LOG(($C$8/(3.7*$C$7))+(5.74/(O25^0.9)),10))^(-2)</f>
        <v>0.0227022874264447</v>
      </c>
      <c r="Q25" s="1" t="n">
        <f aca="false">0.25*(LOG(($C$9/(3.7*$C$7))+(5.74/(O25^0.9)),10))^(-2)</f>
        <v>0.0179929172512867</v>
      </c>
      <c r="R25" s="1" t="n">
        <f aca="false">P25 * ($C$15/$C$7) * ((N25^2)/2)</f>
        <v>8.9458133180817</v>
      </c>
      <c r="S25" s="1" t="n">
        <f aca="false">Q25 * ($C$14/$C$7) * ((N25^2)/2)</f>
        <v>14.0798275462885</v>
      </c>
      <c r="T25" s="1" t="n">
        <f aca="false">P25 * ($G$3*$I$3+$G$4*$I$4+$G$5*$I$5+$G$6*$I$6) * (N25^2/2)</f>
        <v>14.8467137678431</v>
      </c>
      <c r="U25" s="1" t="n">
        <f aca="false">Q25 * ($G$7*$I$7+$G$8*$I$8+$G$9*$I$9+$G$10*$I$10+$G$11*$I$11) * (N25^2/2)</f>
        <v>23.4677066778703</v>
      </c>
      <c r="V25" s="1" t="n">
        <f aca="false">SUM(R25:U25)</f>
        <v>61.3400613100835</v>
      </c>
      <c r="W25" s="1" t="n">
        <v>220</v>
      </c>
      <c r="X25" s="1" t="n">
        <f aca="false">(N25^2)/(2*$C$10)+($C$3)+V25/$C$10</f>
        <v>7.04732666036906</v>
      </c>
    </row>
    <row r="26" customFormat="false" ht="20.25" hidden="false" customHeight="true" outlineLevel="0" collapsed="false">
      <c r="B26" s="21"/>
      <c r="F26" s="25" t="s">
        <v>59</v>
      </c>
      <c r="K26" s="23"/>
      <c r="N26" s="1" t="n">
        <f aca="false">W26/60000/$C$24</f>
        <v>2.83393908442529</v>
      </c>
      <c r="O26" s="1" t="n">
        <f aca="false">N26*$C$11*$C$7/$G$14</f>
        <v>105027.100580003</v>
      </c>
      <c r="P26" s="1" t="n">
        <f aca="false">0.25*(LOG(($C$8/(3.7*$C$7))+(5.74/(O26^0.9)),10))^(-2)</f>
        <v>0.0226141937028785</v>
      </c>
      <c r="Q26" s="1" t="n">
        <f aca="false">0.25*(LOG(($C$9/(3.7*$C$7))+(5.74/(O26^0.9)),10))^(-2)</f>
        <v>0.0178322121375251</v>
      </c>
      <c r="R26" s="1" t="n">
        <f aca="false">P26 * ($C$15/$C$7) * ((N26^2)/2)</f>
        <v>9.73961144640034</v>
      </c>
      <c r="S26" s="1" t="n">
        <f aca="false">Q26 * ($C$14/$C$7) * ((N26^2)/2)</f>
        <v>15.2514552649057</v>
      </c>
      <c r="T26" s="1" t="n">
        <f aca="false">P26 * ($G$3*$I$3+$G$4*$I$4+$G$5*$I$5+$G$6*$I$6) * (N26^2/2)</f>
        <v>16.1641226139203</v>
      </c>
      <c r="U26" s="1" t="n">
        <f aca="false">Q26 * ($G$7*$I$7+$G$8*$I$8+$G$9*$I$9+$G$10*$I$10+$G$11*$I$11) * (N26^2/2)</f>
        <v>25.4205300022879</v>
      </c>
      <c r="V26" s="1" t="n">
        <f aca="false">SUM(R26:U26)</f>
        <v>66.5757193275142</v>
      </c>
      <c r="W26" s="1" t="n">
        <v>230</v>
      </c>
      <c r="X26" s="1" t="n">
        <f aca="false">(N26^2)/(2*$C$10)+($C$3)+V26/$C$10</f>
        <v>7.61585368956481</v>
      </c>
    </row>
    <row r="27" customFormat="false" ht="20.25" hidden="false" customHeight="true" outlineLevel="0" collapsed="false">
      <c r="B27" s="31" t="s">
        <v>60</v>
      </c>
      <c r="C27" s="32" t="n">
        <f aca="false">C3</f>
        <v>0.42</v>
      </c>
      <c r="F27" s="33" t="s">
        <v>61</v>
      </c>
      <c r="G27" s="1" t="n">
        <f aca="false">0.25*(LOG((C8/(3.7*C7))+(5.74/(G13^0.9)),10))^(-2)</f>
        <v>0.0229207412849822</v>
      </c>
      <c r="K27" s="23"/>
      <c r="N27" s="1" t="n">
        <f aca="false">W27/60000/$C$24</f>
        <v>2.95715382722639</v>
      </c>
      <c r="O27" s="1" t="n">
        <f aca="false">N27*$C$11*$C$7/$G$14</f>
        <v>109593.496257395</v>
      </c>
      <c r="P27" s="1" t="n">
        <f aca="false">0.25*(LOG(($C$8/(3.7*$C$7))+(5.74/(O27^0.9)),10))^(-2)</f>
        <v>0.0225323766061446</v>
      </c>
      <c r="Q27" s="1" t="n">
        <f aca="false">0.25*(LOG(($C$9/(3.7*$C$7))+(5.74/(O27^0.9)),10))^(-2)</f>
        <v>0.0176805699768584</v>
      </c>
      <c r="R27" s="1" t="n">
        <f aca="false">P27 * ($C$15/$C$7) * ((N27^2)/2)</f>
        <v>10.5665773469332</v>
      </c>
      <c r="S27" s="1" t="n">
        <f aca="false">Q27 * ($C$14/$C$7) * ((N27^2)/2)</f>
        <v>16.4652805899021</v>
      </c>
      <c r="T27" s="1" t="n">
        <f aca="false">P27 * ($G$3*$I$3+$G$4*$I$4+$G$5*$I$5+$G$6*$I$6) * (N27^2/2)</f>
        <v>17.5365775919559</v>
      </c>
      <c r="U27" s="1" t="n">
        <f aca="false">Q27 * ($G$7*$I$7+$G$8*$I$8+$G$9*$I$9+$G$10*$I$10+$G$11*$I$11) * (N27^2/2)</f>
        <v>27.4436866490251</v>
      </c>
      <c r="V27" s="1" t="n">
        <f aca="false">SUM(R27:U27)</f>
        <v>72.0121221778164</v>
      </c>
      <c r="W27" s="1" t="n">
        <v>240</v>
      </c>
      <c r="X27" s="1" t="n">
        <f aca="false">(N27^2)/(2*$C$10)+($C$3)+V27/$C$10</f>
        <v>8.20639159599961</v>
      </c>
    </row>
    <row r="28" customFormat="false" ht="20.25" hidden="false" customHeight="true" outlineLevel="0" collapsed="false">
      <c r="B28" s="21"/>
      <c r="F28" s="21" t="s">
        <v>62</v>
      </c>
      <c r="G28" s="1" t="n">
        <f aca="false">0.25*(LOG((C9/(3.7*C7))+(5.74/(G13^0.9)),10))^(-2)</f>
        <v>0.018380916288609</v>
      </c>
      <c r="K28" s="23"/>
    </row>
    <row r="29" customFormat="false" ht="20.25" hidden="false" customHeight="true" outlineLevel="0" collapsed="false">
      <c r="B29" s="21"/>
      <c r="F29" s="21"/>
      <c r="K29" s="23"/>
    </row>
    <row r="30" customFormat="false" ht="20.25" hidden="false" customHeight="true" outlineLevel="0" collapsed="false">
      <c r="B30" s="21"/>
      <c r="F30" s="21" t="s">
        <v>63</v>
      </c>
      <c r="G30" s="1" t="n">
        <f aca="false">G27 * (C15/C7) * ((C25^2)/2)</f>
        <v>7.32596367743424</v>
      </c>
      <c r="I30" s="1" t="s">
        <v>64</v>
      </c>
      <c r="J30" s="1" t="n">
        <f aca="false">G8*$G$27*(I8)*(($C$25^2)/2) + G9*$G$27*(I9)*(($C$25^2)/2)+G10*$G$27*(I10)*(($C$25^2)/2)+G11*$G$27*(I11)*(($C$25^2)/2)+G7*$G$27*(I7)*(($C$25^2)/2)</f>
        <v>24.2484295389351</v>
      </c>
      <c r="K30" s="23"/>
    </row>
    <row r="31" customFormat="false" ht="20.25" hidden="false" customHeight="true" outlineLevel="0" collapsed="false">
      <c r="B31" s="21"/>
      <c r="F31" s="21" t="s">
        <v>65</v>
      </c>
      <c r="G31" s="1" t="n">
        <f aca="false">G28 * (C14/C7) * ((C25^2)/2)</f>
        <v>11.6667206379475</v>
      </c>
      <c r="I31" s="1" t="s">
        <v>66</v>
      </c>
      <c r="J31" s="1" t="n">
        <f aca="false">G4*$G$28*(I4)*(($C$25^2)/2)+G5*$G$28*(I5)*(($C$25^2)/2)+G6*$G$28*(I6)*(($C$25^2)/2)+G3*$G$28*(I3)*(($C$25^2)/2)</f>
        <v>9.75020537985268</v>
      </c>
      <c r="K31" s="23"/>
    </row>
    <row r="32" customFormat="false" ht="20.25" hidden="false" customHeight="true" outlineLevel="0" collapsed="false">
      <c r="B32" s="21"/>
      <c r="F32" s="21"/>
      <c r="K32" s="23"/>
    </row>
    <row r="33" customFormat="false" ht="20.25" hidden="false" customHeight="true" outlineLevel="0" collapsed="false">
      <c r="B33" s="21"/>
      <c r="F33" s="21" t="s">
        <v>67</v>
      </c>
      <c r="G33" s="1" t="n">
        <f aca="false">G30+G31+J30+J31</f>
        <v>52.9913192341694</v>
      </c>
      <c r="K33" s="23"/>
    </row>
    <row r="34" customFormat="false" ht="20.25" hidden="false" customHeight="true" outlineLevel="0" collapsed="false">
      <c r="B34" s="28"/>
      <c r="C34" s="29"/>
      <c r="D34" s="29"/>
      <c r="E34" s="29"/>
      <c r="F34" s="28"/>
      <c r="G34" s="29"/>
      <c r="H34" s="29"/>
      <c r="I34" s="29"/>
      <c r="J34" s="29"/>
      <c r="K34" s="30"/>
    </row>
    <row r="50" customFormat="false" ht="17.35" hidden="false" customHeight="false" outlineLevel="0" collapsed="false">
      <c r="A50" s="34" t="s">
        <v>68</v>
      </c>
      <c r="B50" s="34"/>
      <c r="C50" s="34"/>
      <c r="D50" s="34"/>
      <c r="E50" s="34"/>
      <c r="F50" s="0"/>
      <c r="K50" s="0"/>
      <c r="L50" s="0"/>
      <c r="M50" s="0"/>
      <c r="N50" s="0"/>
      <c r="O50" s="35"/>
      <c r="P50" s="35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0"/>
      <c r="C51" s="0"/>
      <c r="D51" s="0"/>
      <c r="E51" s="0"/>
      <c r="F51" s="0"/>
      <c r="K51" s="0"/>
      <c r="L51" s="0"/>
      <c r="M51" s="0"/>
      <c r="N51" s="0"/>
      <c r="O51" s="35"/>
      <c r="P51" s="35"/>
      <c r="Q51" s="36" t="s">
        <v>69</v>
      </c>
      <c r="R51" s="37" t="s">
        <v>70</v>
      </c>
      <c r="S51" s="38" t="s">
        <v>71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39" t="s">
        <v>0</v>
      </c>
      <c r="B52" s="39"/>
      <c r="C52" s="0"/>
      <c r="D52" s="0"/>
      <c r="E52" s="0"/>
      <c r="F52" s="0"/>
      <c r="G52" s="0"/>
      <c r="H52" s="40" t="s">
        <v>72</v>
      </c>
      <c r="I52" s="40"/>
      <c r="J52" s="40"/>
      <c r="K52" s="40"/>
      <c r="L52" s="40"/>
      <c r="M52" s="0"/>
      <c r="N52" s="0"/>
      <c r="O52" s="35"/>
      <c r="P52" s="35"/>
      <c r="Q52" s="41" t="n">
        <f aca="false">H66*$B$57</f>
        <v>0.00307944291924756</v>
      </c>
      <c r="R52" s="2" t="n">
        <f aca="false">(Q52)*1000*60</f>
        <v>184.766575154853</v>
      </c>
      <c r="S52" s="42" t="n">
        <f aca="false">M66</f>
        <v>9.95171842968172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43" t="s">
        <v>73</v>
      </c>
      <c r="B53" s="2" t="n">
        <v>1000</v>
      </c>
      <c r="C53" s="0"/>
      <c r="D53" s="44"/>
      <c r="E53" s="0"/>
      <c r="F53" s="0"/>
      <c r="G53" s="0"/>
      <c r="H53" s="45" t="s">
        <v>74</v>
      </c>
      <c r="I53" s="45" t="s">
        <v>75</v>
      </c>
      <c r="J53" s="45" t="s">
        <v>76</v>
      </c>
      <c r="K53" s="45" t="s">
        <v>77</v>
      </c>
      <c r="L53" s="45" t="s">
        <v>78</v>
      </c>
      <c r="M53" s="0"/>
      <c r="N53" s="0"/>
      <c r="O53" s="35"/>
      <c r="P53" s="35"/>
      <c r="Q53" s="41" t="n">
        <f aca="false">H67*$B$57</f>
        <v>0.00294919560638179</v>
      </c>
      <c r="R53" s="2" t="n">
        <f aca="false">(Q53)*1000*60</f>
        <v>176.951736382908</v>
      </c>
      <c r="S53" s="42" t="n">
        <f aca="false">M67</f>
        <v>10.6026145376845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43" t="s">
        <v>79</v>
      </c>
      <c r="B54" s="2" t="n">
        <v>13595</v>
      </c>
      <c r="C54" s="0"/>
      <c r="D54" s="0"/>
      <c r="E54" s="0"/>
      <c r="F54" s="0"/>
      <c r="G54" s="0"/>
      <c r="H54" s="41" t="n">
        <v>1</v>
      </c>
      <c r="I54" s="41" t="n">
        <v>0.675</v>
      </c>
      <c r="J54" s="41" t="n">
        <v>0.63</v>
      </c>
      <c r="K54" s="46" t="n">
        <v>0.157</v>
      </c>
      <c r="L54" s="47" t="n">
        <v>960</v>
      </c>
      <c r="M54" s="0"/>
      <c r="N54" s="0"/>
      <c r="O54" s="35"/>
      <c r="P54" s="35"/>
      <c r="Q54" s="41" t="n">
        <f aca="false">H68*$B$57</f>
        <v>0.0027256801280933</v>
      </c>
      <c r="R54" s="2" t="n">
        <f aca="false">(Q54)*1000*60</f>
        <v>163.540807685598</v>
      </c>
      <c r="S54" s="42" t="n">
        <f aca="false">M68</f>
        <v>11.4643902548464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43" t="s">
        <v>80</v>
      </c>
      <c r="B55" s="2" t="n">
        <v>9.81</v>
      </c>
      <c r="C55" s="0"/>
      <c r="D55" s="0"/>
      <c r="E55" s="0"/>
      <c r="F55" s="0"/>
      <c r="G55" s="0"/>
      <c r="H55" s="41" t="n">
        <v>2</v>
      </c>
      <c r="I55" s="41" t="n">
        <v>0.815</v>
      </c>
      <c r="J55" s="41" t="n">
        <v>0.69</v>
      </c>
      <c r="K55" s="46" t="n">
        <v>0.144</v>
      </c>
      <c r="L55" s="47" t="n">
        <v>940</v>
      </c>
      <c r="M55" s="0"/>
      <c r="N55" s="0"/>
      <c r="O55" s="35"/>
      <c r="P55" s="35"/>
      <c r="Q55" s="41" t="n">
        <f aca="false">H69*$B$57</f>
        <v>0.00258930864652276</v>
      </c>
      <c r="R55" s="2" t="n">
        <f aca="false">(Q55)*1000*60</f>
        <v>155.358518791366</v>
      </c>
      <c r="S55" s="42" t="n">
        <f aca="false">M69</f>
        <v>12.1491337256697</v>
      </c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48" t="s">
        <v>81</v>
      </c>
      <c r="B56" s="2" t="n">
        <f aca="false">40.5/1000</f>
        <v>0.0405</v>
      </c>
      <c r="C56" s="0"/>
      <c r="D56" s="0"/>
      <c r="E56" s="0"/>
      <c r="F56" s="0"/>
      <c r="G56" s="0"/>
      <c r="H56" s="41" t="n">
        <v>3</v>
      </c>
      <c r="I56" s="41" t="n">
        <v>0.865</v>
      </c>
      <c r="J56" s="41" t="n">
        <v>0.76</v>
      </c>
      <c r="K56" s="46" t="n">
        <v>0.123</v>
      </c>
      <c r="L56" s="47" t="n">
        <v>920</v>
      </c>
      <c r="M56" s="0"/>
      <c r="N56" s="0"/>
      <c r="O56" s="35"/>
      <c r="P56" s="35"/>
      <c r="Q56" s="41" t="n">
        <f aca="false">H70*$B$57</f>
        <v>0.00237008437115007</v>
      </c>
      <c r="R56" s="2" t="n">
        <f aca="false">(Q56)*1000*60</f>
        <v>142.205062269004</v>
      </c>
      <c r="S56" s="42" t="n">
        <f aca="false">M70</f>
        <v>13.0214693702328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48" t="s">
        <v>82</v>
      </c>
      <c r="B57" s="2" t="n">
        <f aca="false">(PI()*B56^2)/4</f>
        <v>0.00128824933751266</v>
      </c>
      <c r="C57" s="0"/>
      <c r="D57" s="0"/>
      <c r="E57" s="0"/>
      <c r="F57" s="0"/>
      <c r="G57" s="0"/>
      <c r="H57" s="41" t="n">
        <v>4</v>
      </c>
      <c r="I57" s="41" t="n">
        <v>0.905</v>
      </c>
      <c r="J57" s="41" t="n">
        <v>0.815</v>
      </c>
      <c r="K57" s="46" t="n">
        <v>0.111</v>
      </c>
      <c r="L57" s="47" t="n">
        <v>900</v>
      </c>
      <c r="M57" s="0"/>
      <c r="N57" s="0"/>
      <c r="O57" s="35"/>
      <c r="P57" s="35"/>
      <c r="Q57" s="41" t="n">
        <f aca="false">H71*$B$57</f>
        <v>0.00198143126073331</v>
      </c>
      <c r="R57" s="2" t="n">
        <f aca="false">(Q57)*1000*60</f>
        <v>118.885875643998</v>
      </c>
      <c r="S57" s="42" t="n">
        <f aca="false">M71</f>
        <v>14.1997987668157</v>
      </c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43" t="s">
        <v>83</v>
      </c>
      <c r="B58" s="2" t="n">
        <v>0.48</v>
      </c>
      <c r="C58" s="0"/>
      <c r="D58" s="0"/>
      <c r="E58" s="0"/>
      <c r="F58" s="0"/>
      <c r="G58" s="0"/>
      <c r="H58" s="41" t="n">
        <v>5</v>
      </c>
      <c r="I58" s="41" t="n">
        <v>0.95</v>
      </c>
      <c r="J58" s="41" t="n">
        <v>0.885</v>
      </c>
      <c r="K58" s="46" t="n">
        <v>0.093</v>
      </c>
      <c r="L58" s="41" t="n">
        <v>870</v>
      </c>
      <c r="M58" s="0"/>
      <c r="N58" s="0"/>
      <c r="O58" s="35"/>
      <c r="P58" s="35"/>
      <c r="Q58" s="41" t="n">
        <f aca="false">H72*$B$57</f>
        <v>0.0013461174667587</v>
      </c>
      <c r="R58" s="2" t="n">
        <f aca="false">(Q58)*1000*60</f>
        <v>80.7670480055218</v>
      </c>
      <c r="S58" s="42" t="n">
        <f aca="false">M72</f>
        <v>15.3022323015351</v>
      </c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43" t="s">
        <v>84</v>
      </c>
      <c r="B59" s="41" t="n">
        <v>1.3</v>
      </c>
      <c r="C59" s="0"/>
      <c r="D59" s="0"/>
      <c r="E59" s="0"/>
      <c r="F59" s="0"/>
      <c r="G59" s="0"/>
      <c r="H59" s="41" t="n">
        <v>6</v>
      </c>
      <c r="I59" s="41" t="n">
        <v>1.01</v>
      </c>
      <c r="J59" s="41" t="n">
        <v>0.98</v>
      </c>
      <c r="K59" s="46" t="n">
        <v>0.065</v>
      </c>
      <c r="L59" s="41" t="n">
        <v>800</v>
      </c>
      <c r="M59" s="0"/>
      <c r="N59" s="0"/>
      <c r="O59" s="35"/>
      <c r="P59" s="35"/>
      <c r="Q59" s="41" t="n">
        <f aca="false">H73*$B$57</f>
        <v>0.000919573293804975</v>
      </c>
      <c r="R59" s="2" t="n">
        <f aca="false">(Q59)*1000*60</f>
        <v>55.1743976282985</v>
      </c>
      <c r="S59" s="42" t="n">
        <f aca="false">M73</f>
        <v>15.9845506431968</v>
      </c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  <c r="H60" s="41" t="n">
        <v>7</v>
      </c>
      <c r="I60" s="41" t="n">
        <v>1.065</v>
      </c>
      <c r="J60" s="41" t="n">
        <v>1.07</v>
      </c>
      <c r="K60" s="46" t="n">
        <v>0.03</v>
      </c>
      <c r="L60" s="41" t="n">
        <v>700</v>
      </c>
      <c r="M60" s="0"/>
      <c r="N60" s="0"/>
      <c r="O60" s="35"/>
      <c r="P60" s="35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0"/>
      <c r="C61" s="0"/>
      <c r="D61" s="0"/>
      <c r="E61" s="0"/>
      <c r="F61" s="0"/>
      <c r="G61" s="0"/>
      <c r="H61" s="41" t="n">
        <v>8</v>
      </c>
      <c r="I61" s="41" t="n">
        <v>1.1</v>
      </c>
      <c r="J61" s="41" t="n">
        <v>1.125</v>
      </c>
      <c r="K61" s="46" t="n">
        <v>0.014</v>
      </c>
      <c r="L61" s="41" t="n">
        <v>600</v>
      </c>
      <c r="M61" s="0"/>
      <c r="N61" s="0"/>
      <c r="O61" s="35"/>
      <c r="P61" s="35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35"/>
      <c r="P62" s="35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35"/>
      <c r="P63" s="35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0"/>
      <c r="B64" s="0"/>
      <c r="C64" s="0"/>
      <c r="D64" s="0"/>
      <c r="E64" s="49" t="s">
        <v>85</v>
      </c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35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0"/>
      <c r="B65" s="0"/>
      <c r="C65" s="0"/>
      <c r="D65" s="0"/>
      <c r="E65" s="50" t="s">
        <v>74</v>
      </c>
      <c r="F65" s="50" t="s">
        <v>86</v>
      </c>
      <c r="G65" s="50" t="s">
        <v>87</v>
      </c>
      <c r="H65" s="50" t="s">
        <v>88</v>
      </c>
      <c r="I65" s="50" t="s">
        <v>89</v>
      </c>
      <c r="J65" s="50" t="s">
        <v>90</v>
      </c>
      <c r="K65" s="50" t="s">
        <v>91</v>
      </c>
      <c r="L65" s="50" t="s">
        <v>92</v>
      </c>
      <c r="M65" s="50" t="s">
        <v>71</v>
      </c>
      <c r="N65" s="50" t="s">
        <v>93</v>
      </c>
      <c r="O65" s="50" t="s">
        <v>94</v>
      </c>
      <c r="P65" s="35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0"/>
      <c r="B66" s="0"/>
      <c r="C66" s="0"/>
      <c r="D66" s="0"/>
      <c r="E66" s="2" t="n">
        <f aca="false">H54</f>
        <v>1</v>
      </c>
      <c r="F66" s="42" t="n">
        <f aca="false">($B$54-$B$53)*$B$55*K54</f>
        <v>19398.44115</v>
      </c>
      <c r="G66" s="42" t="n">
        <f aca="false">0.02211*(F66^(1/2))</f>
        <v>3.07944291924756</v>
      </c>
      <c r="H66" s="42" t="n">
        <f aca="false">G66/($B$53*$B$57)</f>
        <v>2.39040908431073</v>
      </c>
      <c r="I66" s="42" t="n">
        <f aca="false">9.8*(($B$54*J54)+1000*($B$59-I54))</f>
        <v>90060.53</v>
      </c>
      <c r="J66" s="42" t="n">
        <f aca="false">H66^2/(2*$B$55)</f>
        <v>0.291236268621574</v>
      </c>
      <c r="K66" s="2" t="n">
        <f aca="false">I66/($B$53*$B$55)</f>
        <v>9.18048216106014</v>
      </c>
      <c r="L66" s="2" t="n">
        <f aca="false">$B$58</f>
        <v>0.48</v>
      </c>
      <c r="M66" s="42" t="n">
        <f aca="false">SUM(J66:L66)</f>
        <v>9.95171842968172</v>
      </c>
      <c r="N66" s="2" t="n">
        <f aca="false">M66*G66*$B$55</f>
        <v>300.634796244288</v>
      </c>
      <c r="O66" s="51" t="n">
        <f aca="false">N66/(L54*(220/380))</f>
        <v>0.540914879606201</v>
      </c>
      <c r="P66" s="35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0"/>
      <c r="B67" s="0"/>
      <c r="C67" s="0"/>
      <c r="D67" s="0"/>
      <c r="E67" s="2" t="n">
        <f aca="false">H55</f>
        <v>2</v>
      </c>
      <c r="F67" s="42" t="n">
        <f aca="false">($B$54-$B$53)*$B$55*K55</f>
        <v>17792.2008</v>
      </c>
      <c r="G67" s="42" t="n">
        <f aca="false">0.02211*(F67^(1/2))</f>
        <v>2.94919560638179</v>
      </c>
      <c r="H67" s="42" t="n">
        <f aca="false">G67/($B$53*$B$57)</f>
        <v>2.28930496644079</v>
      </c>
      <c r="I67" s="42" t="n">
        <f aca="false">9.8*(($B$54*J55)+1000*($B$59-I55))</f>
        <v>96682.39</v>
      </c>
      <c r="J67" s="42" t="n">
        <f aca="false">H67^2/(2*$B$55)</f>
        <v>0.267121163576475</v>
      </c>
      <c r="K67" s="2" t="n">
        <f aca="false">I67/($B$53*$B$55)</f>
        <v>9.85549337410805</v>
      </c>
      <c r="L67" s="2" t="n">
        <f aca="false">$B$58</f>
        <v>0.48</v>
      </c>
      <c r="M67" s="42" t="n">
        <f aca="false">SUM(J67:L67)</f>
        <v>10.6026145376845</v>
      </c>
      <c r="N67" s="2" t="n">
        <f aca="false">M67*G67*$B$55</f>
        <v>306.750697106957</v>
      </c>
      <c r="O67" s="51" t="n">
        <f aca="false">N67/(L55*(220/380))</f>
        <v>0.563661822536961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0"/>
      <c r="B68" s="0"/>
      <c r="C68" s="0"/>
      <c r="D68" s="0"/>
      <c r="E68" s="2" t="n">
        <f aca="false">H56</f>
        <v>3</v>
      </c>
      <c r="F68" s="42" t="n">
        <f aca="false">($B$54-$B$53)*$B$55*K56</f>
        <v>15197.50485</v>
      </c>
      <c r="G68" s="42" t="n">
        <f aca="false">0.02211*(F68^(1/2))</f>
        <v>2.7256801280933</v>
      </c>
      <c r="H68" s="42" t="n">
        <f aca="false">G68/($B$53*$B$57)</f>
        <v>2.11580169205133</v>
      </c>
      <c r="I68" s="42" t="n">
        <f aca="false">9.8*(($B$54*J56)+1000*($B$59-I56))</f>
        <v>105518.56</v>
      </c>
      <c r="J68" s="42" t="n">
        <f aca="false">H68^2/(2*$B$55)</f>
        <v>0.228165993888239</v>
      </c>
      <c r="K68" s="2" t="n">
        <f aca="false">I68/($B$53*$B$55)</f>
        <v>10.7562242609582</v>
      </c>
      <c r="L68" s="2" t="n">
        <f aca="false">$B$58</f>
        <v>0.48</v>
      </c>
      <c r="M68" s="42" t="n">
        <f aca="false">SUM(J68:L68)</f>
        <v>11.4643902548464</v>
      </c>
      <c r="N68" s="2" t="n">
        <f aca="false">M68*G68*$B$55</f>
        <v>306.545437450729</v>
      </c>
      <c r="O68" s="51" t="n">
        <f aca="false">N68/(L56*(220/380))</f>
        <v>0.575529971498404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0"/>
      <c r="B69" s="0"/>
      <c r="C69" s="0"/>
      <c r="D69" s="0"/>
      <c r="E69" s="2" t="n">
        <f aca="false">H57</f>
        <v>4</v>
      </c>
      <c r="F69" s="42" t="n">
        <f aca="false">($B$54-$B$53)*$B$55*K57</f>
        <v>13714.82145</v>
      </c>
      <c r="G69" s="42" t="n">
        <f aca="false">0.02211*(F69^(1/2))</f>
        <v>2.58930864652276</v>
      </c>
      <c r="H69" s="42" t="n">
        <f aca="false">G69/($B$53*$B$57)</f>
        <v>2.00994370509219</v>
      </c>
      <c r="I69" s="42" t="n">
        <f aca="false">9.8*(($B$54*J57)+1000*($B$59-I57))</f>
        <v>112454.265</v>
      </c>
      <c r="J69" s="42" t="n">
        <f aca="false">H69^2/(2*$B$55)</f>
        <v>0.205905896923533</v>
      </c>
      <c r="K69" s="2" t="n">
        <f aca="false">I69/($B$53*$B$55)</f>
        <v>11.4632278287462</v>
      </c>
      <c r="L69" s="2" t="n">
        <f aca="false">$B$58</f>
        <v>0.48</v>
      </c>
      <c r="M69" s="42" t="n">
        <f aca="false">SUM(J69:L69)</f>
        <v>12.1491337256697</v>
      </c>
      <c r="N69" s="2" t="n">
        <f aca="false">M69*G69*$B$55</f>
        <v>308.601577205688</v>
      </c>
      <c r="O69" s="51" t="n">
        <f aca="false">N69/(L57*(220/380))</f>
        <v>0.592265653223037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0"/>
      <c r="B70" s="0"/>
      <c r="C70" s="0"/>
      <c r="D70" s="0"/>
      <c r="E70" s="2" t="n">
        <f aca="false">H58</f>
        <v>5</v>
      </c>
      <c r="F70" s="42" t="n">
        <f aca="false">($B$54-$B$53)*$B$55*K58</f>
        <v>11490.79635</v>
      </c>
      <c r="G70" s="42" t="n">
        <f aca="false">0.02211*(F70^(1/2))</f>
        <v>2.37008437115007</v>
      </c>
      <c r="H70" s="42" t="n">
        <f aca="false">G70/($B$53*$B$57)</f>
        <v>1.8397714651468</v>
      </c>
      <c r="I70" s="42" t="n">
        <f aca="false">9.8*(($B$54*J58)+1000*($B$59-I58))</f>
        <v>121339.435</v>
      </c>
      <c r="J70" s="42" t="n">
        <f aca="false">H70^2/(2*$B$55)</f>
        <v>0.172515751476474</v>
      </c>
      <c r="K70" s="2" t="n">
        <f aca="false">I70/($B$53*$B$55)</f>
        <v>12.3689536187564</v>
      </c>
      <c r="L70" s="2" t="n">
        <f aca="false">$B$58</f>
        <v>0.48</v>
      </c>
      <c r="M70" s="42" t="n">
        <f aca="false">SUM(J70:L70)</f>
        <v>13.0214693702328</v>
      </c>
      <c r="N70" s="2" t="n">
        <f aca="false">M70*G70*$B$55</f>
        <v>302.756034039661</v>
      </c>
      <c r="O70" s="51" t="n">
        <f aca="false">N70/(L58*(220/380))</f>
        <v>0.601083035188459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0"/>
      <c r="B71" s="0"/>
      <c r="C71" s="0"/>
      <c r="D71" s="0"/>
      <c r="E71" s="2" t="n">
        <f aca="false">H59</f>
        <v>6</v>
      </c>
      <c r="F71" s="42" t="n">
        <f aca="false">($B$54-$B$53)*$B$55*K59</f>
        <v>8031.20175</v>
      </c>
      <c r="G71" s="42" t="n">
        <f aca="false">0.02211*(F71^(1/2))</f>
        <v>1.98143126073331</v>
      </c>
      <c r="H71" s="42" t="n">
        <f aca="false">G71/($B$53*$B$57)</f>
        <v>1.5380805586588</v>
      </c>
      <c r="I71" s="42" t="n">
        <f aca="false">9.8*(($B$54*J59)+1000*($B$59-I59))</f>
        <v>133408.38</v>
      </c>
      <c r="J71" s="42" t="n">
        <f aca="false">H71^2/(2*$B$55)</f>
        <v>0.120575525225492</v>
      </c>
      <c r="K71" s="2" t="n">
        <f aca="false">I71/($B$53*$B$55)</f>
        <v>13.5992232415902</v>
      </c>
      <c r="L71" s="2" t="n">
        <f aca="false">$B$58</f>
        <v>0.48</v>
      </c>
      <c r="M71" s="42" t="n">
        <f aca="false">SUM(J71:L71)</f>
        <v>14.1997987668157</v>
      </c>
      <c r="N71" s="2" t="n">
        <f aca="false">M71*G71*$B$55</f>
        <v>276.013425944098</v>
      </c>
      <c r="O71" s="51" t="n">
        <f aca="false">N71/(L59*(220/380))</f>
        <v>0.595938078742938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0"/>
      <c r="B72" s="0"/>
      <c r="C72" s="0"/>
      <c r="D72" s="0"/>
      <c r="E72" s="2" t="n">
        <f aca="false">H60</f>
        <v>7</v>
      </c>
      <c r="F72" s="42" t="n">
        <f aca="false">($B$54-$B$53)*$B$55*K60</f>
        <v>3706.7085</v>
      </c>
      <c r="G72" s="42" t="n">
        <f aca="false">0.02211*(F72^(1/2))</f>
        <v>1.3461174667587</v>
      </c>
      <c r="H72" s="42" t="n">
        <f aca="false">G72/($B$53*$B$57)</f>
        <v>1.04491997594019</v>
      </c>
      <c r="I72" s="42" t="n">
        <f aca="false">9.8*(($B$54*J60)+1000*($B$59-I60))</f>
        <v>144860.17</v>
      </c>
      <c r="J72" s="42" t="n">
        <f aca="false">H72^2/(2*$B$55)</f>
        <v>0.0556502424117657</v>
      </c>
      <c r="K72" s="2" t="n">
        <f aca="false">I72/($B$53*$B$55)</f>
        <v>14.7665820591233</v>
      </c>
      <c r="L72" s="2" t="n">
        <f aca="false">$B$58</f>
        <v>0.48</v>
      </c>
      <c r="M72" s="42" t="n">
        <f aca="false">SUM(J72:L72)</f>
        <v>15.3022323015351</v>
      </c>
      <c r="N72" s="2" t="n">
        <f aca="false">M72*G72*$B$55</f>
        <v>202.072287400471</v>
      </c>
      <c r="O72" s="51" t="n">
        <f aca="false">N72/(L60*(220/380))</f>
        <v>0.498619929949215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/>
      <c r="B73" s="0"/>
      <c r="C73" s="0"/>
      <c r="D73" s="0"/>
      <c r="E73" s="2" t="n">
        <f aca="false">H61</f>
        <v>8</v>
      </c>
      <c r="F73" s="42" t="n">
        <f aca="false">($B$54-$B$53)*$B$55*K61</f>
        <v>1729.7973</v>
      </c>
      <c r="G73" s="42" t="n">
        <f aca="false">0.02211*(F73^(1/2))</f>
        <v>0.919573293804975</v>
      </c>
      <c r="H73" s="42" t="n">
        <f aca="false">G73/($B$53*$B$57)</f>
        <v>0.713816236521786</v>
      </c>
      <c r="I73" s="42" t="n">
        <f aca="false">9.8*(($B$54*J61)+1000*($B$59-I61))</f>
        <v>151844.875</v>
      </c>
      <c r="J73" s="42" t="n">
        <f aca="false">H73^2/(2*$B$55)</f>
        <v>0.0259701131254907</v>
      </c>
      <c r="K73" s="2" t="n">
        <f aca="false">I73/($B$53*$B$55)</f>
        <v>15.4785805300714</v>
      </c>
      <c r="L73" s="2" t="n">
        <f aca="false">$B$58</f>
        <v>0.48</v>
      </c>
      <c r="M73" s="42" t="n">
        <f aca="false">SUM(J73:L73)</f>
        <v>15.9845506431968</v>
      </c>
      <c r="N73" s="2" t="n">
        <f aca="false">M73*G73*$B$55</f>
        <v>144.196855331428</v>
      </c>
      <c r="O73" s="51" t="n">
        <f aca="false">N73/(L61*(220/380))</f>
        <v>0.415112159287443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35"/>
      <c r="G75" s="52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35"/>
      <c r="G76" s="52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35"/>
      <c r="G77" s="52"/>
      <c r="H77" s="0"/>
      <c r="I77" s="0"/>
      <c r="J77" s="0"/>
      <c r="K77" s="0"/>
      <c r="L77" s="0"/>
      <c r="M77" s="0"/>
      <c r="N77" s="0"/>
      <c r="O77" s="0"/>
      <c r="P77" s="53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53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53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53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53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53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53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</sheetData>
  <mergeCells count="7">
    <mergeCell ref="B2:D2"/>
    <mergeCell ref="B13:D13"/>
    <mergeCell ref="B22:D22"/>
    <mergeCell ref="A50:E50"/>
    <mergeCell ref="A52:B52"/>
    <mergeCell ref="H52:L52"/>
    <mergeCell ref="E64:O6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90F44C92960C4AB531FD95DD633474" ma:contentTypeVersion="13" ma:contentTypeDescription="Crie um novo documento." ma:contentTypeScope="" ma:versionID="fcab2536ff46a2acd8b260b218fc50b8">
  <xsd:schema xmlns:xsd="http://www.w3.org/2001/XMLSchema" xmlns:xs="http://www.w3.org/2001/XMLSchema" xmlns:p="http://schemas.microsoft.com/office/2006/metadata/properties" xmlns:ns3="fa983fae-e61a-4ac7-817f-e7ce0a1311a8" xmlns:ns4="09ac50ac-8816-472f-995c-982ef96ba377" targetNamespace="http://schemas.microsoft.com/office/2006/metadata/properties" ma:root="true" ma:fieldsID="63421470bbd0aa39bac2ee020fb3b859" ns3:_="" ns4:_="">
    <xsd:import namespace="fa983fae-e61a-4ac7-817f-e7ce0a1311a8"/>
    <xsd:import namespace="09ac50ac-8816-472f-995c-982ef96ba3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83fae-e61a-4ac7-817f-e7ce0a131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50ac-8816-472f-995c-982ef96ba3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FBF9A6-DBD7-407B-B9B2-9A716A74C3A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a983fae-e61a-4ac7-817f-e7ce0a1311a8"/>
    <ds:schemaRef ds:uri="09ac50ac-8816-472f-995c-982ef96ba377"/>
  </ds:schemaRefs>
</ds:datastoreItem>
</file>

<file path=customXml/itemProps2.xml><?xml version="1.0" encoding="utf-8"?>
<ds:datastoreItem xmlns:ds="http://schemas.openxmlformats.org/officeDocument/2006/customXml" ds:itemID="{0F099127-140A-4092-B13B-180B33B02E74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D6DF64BC-E1B3-4B21-8898-AEA365245D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2022-09-08T20:25:48Z</dcterms:created>
  <dc:creator>Enaile</dc:creator>
  <dc:description/>
  <dc:language>pt-BR</dc:language>
  <cp:lastModifiedBy>Luiz Dembicki</cp:lastModifiedBy>
  <dcterms:modified xsi:type="dcterms:W3CDTF">2023-02-10T19:29:25Z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0x0101002590F44C92960C4AB531FD95DD633474</vt:lpwstr>
  </property>
</Properties>
</file>