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quivos\Documentos\UFPR\integração\"/>
    </mc:Choice>
  </mc:AlternateContent>
  <xr:revisionPtr revIDLastSave="0" documentId="8_{73C82EC8-9AAE-4AC1-8D82-8C9D0CBA9C9D}" xr6:coauthVersionLast="47" xr6:coauthVersionMax="47" xr10:uidLastSave="{00000000-0000-0000-0000-000000000000}"/>
  <bookViews>
    <workbookView xWindow="-120" yWindow="-120" windowWidth="20730" windowHeight="11160" xr2:uid="{4077C5F6-FA75-46C3-81E2-D8084BF8EC87}"/>
  </bookViews>
  <sheets>
    <sheet name="BM OE" sheetId="1" r:id="rId1"/>
  </sheets>
  <definedNames>
    <definedName name="solver_adj" localSheetId="0" hidden="1">'BM OE'!$G$5,'BM OE'!$G$6,'BM OE'!$G$8</definedName>
    <definedName name="solver_cvg" localSheetId="0" hidden="1">0.00001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'BM OE'!$G$13</definedName>
    <definedName name="solver_lhs10" localSheetId="0" hidden="1">'BM OE'!$G$6</definedName>
    <definedName name="solver_lhs11" localSheetId="0" hidden="1">'BM OE'!$N$33</definedName>
    <definedName name="solver_lhs12" localSheetId="0" hidden="1">'BM OE'!$N$33</definedName>
    <definedName name="solver_lhs13" localSheetId="0" hidden="1">'BM OE'!$P$6</definedName>
    <definedName name="solver_lhs2" localSheetId="0" hidden="1">'BM OE'!$G$14</definedName>
    <definedName name="solver_lhs3" localSheetId="0" hidden="1">'BM OE'!$G$15</definedName>
    <definedName name="solver_lhs4" localSheetId="0" hidden="1">'BM OE'!$G$16</definedName>
    <definedName name="solver_lhs5" localSheetId="0" hidden="1">'BM OE'!$G$17</definedName>
    <definedName name="solver_lhs6" localSheetId="0" hidden="1">'BM OE'!$G$17</definedName>
    <definedName name="solver_lhs7" localSheetId="0" hidden="1">'BM OE'!$G$5</definedName>
    <definedName name="solver_lhs8" localSheetId="0" hidden="1">'BM OE'!$G$5</definedName>
    <definedName name="solver_lhs9" localSheetId="0" hidden="1">'BM OE'!$G$6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'BM OE'!$G$5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'BM OE'!$H$13</definedName>
    <definedName name="solver_rhs10" localSheetId="0" hidden="1">0.000001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2" localSheetId="0" hidden="1">'BM OE'!$H$14</definedName>
    <definedName name="solver_rhs3" localSheetId="0" hidden="1">'BM OE'!$H$15</definedName>
    <definedName name="solver_rhs4" localSheetId="0" hidden="1">'BM OE'!$H$16</definedName>
    <definedName name="solver_rhs5" localSheetId="0" hidden="1">'BM OE'!$H$17</definedName>
    <definedName name="solver_rhs6" localSheetId="0" hidden="1">'BM OE'!$H$17</definedName>
    <definedName name="solver_rhs7" localSheetId="0" hidden="1">0.999</definedName>
    <definedName name="solver_rhs8" localSheetId="0" hidden="1">0.0001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2</definedName>
    <definedName name="solver_ver" localSheetId="0" hidden="1">3</definedName>
  </definedNames>
  <calcPr calcId="191029" iterate="1" iterateCount="5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42" i="1" l="1"/>
  <c r="AI42" i="1"/>
  <c r="AH42" i="1"/>
  <c r="AG42" i="1"/>
  <c r="AC42" i="1"/>
  <c r="Z42" i="1"/>
  <c r="V42" i="1"/>
  <c r="U42" i="1"/>
  <c r="T42" i="1"/>
  <c r="S42" i="1"/>
  <c r="R42" i="1"/>
  <c r="Q42" i="1"/>
  <c r="M42" i="1"/>
  <c r="L42" i="1"/>
  <c r="K42" i="1"/>
  <c r="C39" i="1"/>
  <c r="C38" i="1"/>
  <c r="C37" i="1"/>
  <c r="C36" i="1"/>
  <c r="C35" i="1"/>
  <c r="R33" i="1"/>
  <c r="C33" i="1"/>
  <c r="AB41" i="1" s="1"/>
  <c r="AA41" i="1" s="1"/>
  <c r="V31" i="1"/>
  <c r="V33" i="1" s="1"/>
  <c r="C29" i="1"/>
  <c r="C32" i="1" s="1"/>
  <c r="C26" i="1"/>
  <c r="C23" i="1"/>
  <c r="W20" i="1"/>
  <c r="U20" i="1"/>
  <c r="T20" i="1"/>
  <c r="S20" i="1"/>
  <c r="N20" i="1"/>
  <c r="L20" i="1"/>
  <c r="K20" i="1"/>
  <c r="AB19" i="1"/>
  <c r="AA19" i="1"/>
  <c r="AE18" i="1"/>
  <c r="AB18" i="1"/>
  <c r="AA18" i="1"/>
  <c r="V18" i="1"/>
  <c r="O18" i="1"/>
  <c r="AB17" i="1"/>
  <c r="AA17" i="1"/>
  <c r="H17" i="1"/>
  <c r="C17" i="1"/>
  <c r="AB16" i="1"/>
  <c r="AA16" i="1"/>
  <c r="AB15" i="1"/>
  <c r="AA15" i="1"/>
  <c r="AB14" i="1"/>
  <c r="AA14" i="1"/>
  <c r="AB13" i="1"/>
  <c r="AB20" i="1" s="1"/>
  <c r="AA13" i="1"/>
  <c r="AA20" i="1" s="1"/>
  <c r="H13" i="1"/>
  <c r="AB10" i="1"/>
  <c r="AB35" i="1" l="1"/>
  <c r="C31" i="1"/>
  <c r="AA35" i="1" l="1"/>
  <c r="AA42" i="1" s="1"/>
  <c r="AB42" i="1"/>
  <c r="C3" i="1" l="1"/>
  <c r="G3" i="1"/>
  <c r="H3" i="1"/>
  <c r="C4" i="1"/>
  <c r="G4" i="1"/>
  <c r="M4" i="1"/>
  <c r="N4" i="1"/>
  <c r="O4" i="1"/>
  <c r="S4" i="1"/>
  <c r="U4" i="1"/>
  <c r="V4" i="1"/>
  <c r="W4" i="1"/>
  <c r="X4" i="1"/>
  <c r="AA4" i="1"/>
  <c r="AB4" i="1"/>
  <c r="AE4" i="1"/>
  <c r="AF4" i="1"/>
  <c r="C5" i="1"/>
  <c r="L5" i="1"/>
  <c r="M5" i="1"/>
  <c r="N5" i="1"/>
  <c r="O5" i="1"/>
  <c r="S5" i="1"/>
  <c r="U5" i="1"/>
  <c r="V5" i="1"/>
  <c r="W5" i="1"/>
  <c r="X5" i="1"/>
  <c r="AA5" i="1"/>
  <c r="AB5" i="1"/>
  <c r="AE5" i="1"/>
  <c r="AF5" i="1"/>
  <c r="C6" i="1"/>
  <c r="L6" i="1"/>
  <c r="M6" i="1"/>
  <c r="N6" i="1"/>
  <c r="O6" i="1"/>
  <c r="P6" i="1"/>
  <c r="S6" i="1"/>
  <c r="U6" i="1"/>
  <c r="V6" i="1"/>
  <c r="W6" i="1"/>
  <c r="X6" i="1"/>
  <c r="AA6" i="1"/>
  <c r="AB6" i="1"/>
  <c r="AE6" i="1"/>
  <c r="AF6" i="1"/>
  <c r="C7" i="1"/>
  <c r="K7" i="1"/>
  <c r="M7" i="1"/>
  <c r="N7" i="1"/>
  <c r="O7" i="1"/>
  <c r="S7" i="1"/>
  <c r="U7" i="1"/>
  <c r="V7" i="1"/>
  <c r="W7" i="1"/>
  <c r="X7" i="1"/>
  <c r="AA7" i="1"/>
  <c r="AB7" i="1"/>
  <c r="AE7" i="1"/>
  <c r="AF7" i="1"/>
  <c r="C8" i="1"/>
  <c r="M8" i="1"/>
  <c r="N8" i="1"/>
  <c r="O8" i="1"/>
  <c r="S8" i="1"/>
  <c r="U8" i="1"/>
  <c r="V8" i="1"/>
  <c r="W8" i="1"/>
  <c r="X8" i="1"/>
  <c r="AA8" i="1"/>
  <c r="AB8" i="1"/>
  <c r="AE8" i="1"/>
  <c r="AF8" i="1"/>
  <c r="C9" i="1"/>
  <c r="H9" i="1"/>
  <c r="M9" i="1"/>
  <c r="N9" i="1"/>
  <c r="O9" i="1"/>
  <c r="S9" i="1"/>
  <c r="T9" i="1"/>
  <c r="U9" i="1"/>
  <c r="V9" i="1"/>
  <c r="W9" i="1"/>
  <c r="X9" i="1"/>
  <c r="AA9" i="1"/>
  <c r="AB9" i="1"/>
  <c r="AC9" i="1"/>
  <c r="AD9" i="1"/>
  <c r="AE9" i="1"/>
  <c r="AF9" i="1"/>
  <c r="C10" i="1"/>
  <c r="H10" i="1"/>
  <c r="M10" i="1"/>
  <c r="N10" i="1"/>
  <c r="O10" i="1"/>
  <c r="S10" i="1"/>
  <c r="U10" i="1"/>
  <c r="V10" i="1"/>
  <c r="W10" i="1"/>
  <c r="X10" i="1"/>
  <c r="AA10" i="1"/>
  <c r="AE10" i="1"/>
  <c r="AF10" i="1"/>
  <c r="K11" i="1"/>
  <c r="L11" i="1"/>
  <c r="M11" i="1"/>
  <c r="N11" i="1"/>
  <c r="O11" i="1"/>
  <c r="S11" i="1"/>
  <c r="T11" i="1"/>
  <c r="U11" i="1"/>
  <c r="V11" i="1"/>
  <c r="W11" i="1"/>
  <c r="X11" i="1"/>
  <c r="AA11" i="1"/>
  <c r="AB11" i="1"/>
  <c r="AC11" i="1"/>
  <c r="AD11" i="1"/>
  <c r="AE11" i="1"/>
  <c r="AF11" i="1"/>
  <c r="G13" i="1"/>
  <c r="M13" i="1"/>
  <c r="O13" i="1"/>
  <c r="V13" i="1"/>
  <c r="AC13" i="1"/>
  <c r="AD13" i="1"/>
  <c r="AE13" i="1"/>
  <c r="G14" i="1"/>
  <c r="H14" i="1"/>
  <c r="M14" i="1"/>
  <c r="O14" i="1"/>
  <c r="V14" i="1"/>
  <c r="AC14" i="1"/>
  <c r="AD14" i="1"/>
  <c r="AE14" i="1"/>
  <c r="G15" i="1"/>
  <c r="M15" i="1"/>
  <c r="O15" i="1"/>
  <c r="V15" i="1"/>
  <c r="AC15" i="1"/>
  <c r="AD15" i="1"/>
  <c r="AE15" i="1"/>
  <c r="G16" i="1"/>
  <c r="H16" i="1"/>
  <c r="M16" i="1"/>
  <c r="O16" i="1"/>
  <c r="V16" i="1"/>
  <c r="AC16" i="1"/>
  <c r="AD16" i="1"/>
  <c r="AE16" i="1"/>
  <c r="G17" i="1"/>
  <c r="M17" i="1"/>
  <c r="O17" i="1"/>
  <c r="V17" i="1"/>
  <c r="AC17" i="1"/>
  <c r="AD17" i="1"/>
  <c r="AE17" i="1"/>
  <c r="M18" i="1"/>
  <c r="AC18" i="1"/>
  <c r="AD18" i="1"/>
  <c r="M19" i="1"/>
  <c r="O19" i="1"/>
  <c r="V19" i="1"/>
  <c r="AC19" i="1"/>
  <c r="AD19" i="1"/>
  <c r="AE19" i="1"/>
  <c r="M20" i="1"/>
  <c r="O20" i="1"/>
  <c r="V20" i="1"/>
  <c r="AC20" i="1"/>
  <c r="AD20" i="1"/>
  <c r="AE20" i="1"/>
  <c r="K26" i="1"/>
  <c r="L26" i="1"/>
  <c r="M26" i="1"/>
  <c r="N26" i="1"/>
  <c r="S26" i="1"/>
  <c r="U26" i="1"/>
  <c r="Z26" i="1"/>
  <c r="AA26" i="1"/>
  <c r="AB26" i="1"/>
  <c r="AG26" i="1"/>
  <c r="AI26" i="1"/>
  <c r="AJ26" i="1"/>
  <c r="K27" i="1"/>
  <c r="L27" i="1"/>
  <c r="N27" i="1"/>
  <c r="S27" i="1"/>
  <c r="T27" i="1"/>
  <c r="U27" i="1"/>
  <c r="K28" i="1"/>
  <c r="L28" i="1"/>
  <c r="N28" i="1"/>
  <c r="S28" i="1"/>
  <c r="T28" i="1"/>
  <c r="U28" i="1"/>
  <c r="K29" i="1"/>
  <c r="L29" i="1"/>
  <c r="N29" i="1"/>
  <c r="S29" i="1"/>
  <c r="T29" i="1"/>
  <c r="U29" i="1"/>
  <c r="K30" i="1"/>
  <c r="L30" i="1"/>
  <c r="N30" i="1"/>
  <c r="S30" i="1"/>
  <c r="T30" i="1"/>
  <c r="U30" i="1"/>
  <c r="K31" i="1"/>
  <c r="M31" i="1"/>
  <c r="N31" i="1"/>
  <c r="Q31" i="1"/>
  <c r="U31" i="1"/>
  <c r="Z31" i="1"/>
  <c r="AC31" i="1"/>
  <c r="K32" i="1"/>
  <c r="M32" i="1"/>
  <c r="N32" i="1"/>
  <c r="Z32" i="1"/>
  <c r="AA32" i="1"/>
  <c r="AB32" i="1"/>
  <c r="AC32" i="1"/>
  <c r="AG32" i="1"/>
  <c r="AI32" i="1"/>
  <c r="AJ32" i="1"/>
  <c r="K33" i="1"/>
  <c r="L33" i="1"/>
  <c r="M33" i="1"/>
  <c r="N33" i="1"/>
  <c r="Q33" i="1"/>
  <c r="S33" i="1"/>
  <c r="T33" i="1"/>
  <c r="U33" i="1"/>
  <c r="W33" i="1"/>
  <c r="Z33" i="1"/>
  <c r="AA33" i="1"/>
  <c r="AB33" i="1"/>
  <c r="AC33" i="1"/>
  <c r="AD33" i="1"/>
  <c r="AG33" i="1"/>
  <c r="AI33" i="1"/>
  <c r="AJ33" i="1"/>
  <c r="AK33" i="1"/>
</calcChain>
</file>

<file path=xl/sharedStrings.xml><?xml version="1.0" encoding="utf-8"?>
<sst xmlns="http://schemas.openxmlformats.org/spreadsheetml/2006/main" count="211" uniqueCount="87">
  <si>
    <t>DADOS</t>
  </si>
  <si>
    <t>VARIÁVEIS</t>
  </si>
  <si>
    <t>Aliment.</t>
  </si>
  <si>
    <t>REATOR</t>
  </si>
  <si>
    <t>LAVADORA 1</t>
  </si>
  <si>
    <t>STRIPPING</t>
  </si>
  <si>
    <t>ξ1</t>
  </si>
  <si>
    <t>c. 1</t>
  </si>
  <si>
    <t>7c</t>
  </si>
  <si>
    <t>BM</t>
  </si>
  <si>
    <t>5 (a)</t>
  </si>
  <si>
    <t>8c (a)</t>
  </si>
  <si>
    <t>6 (f)</t>
  </si>
  <si>
    <t>7a (t)</t>
  </si>
  <si>
    <t>7b (p)</t>
  </si>
  <si>
    <t>6 (a)</t>
  </si>
  <si>
    <t>14c (a)</t>
  </si>
  <si>
    <t>8 (f)</t>
  </si>
  <si>
    <t>8d (p)</t>
  </si>
  <si>
    <t>10 (t)</t>
  </si>
  <si>
    <t>ξ2</t>
  </si>
  <si>
    <t>c. 2</t>
  </si>
  <si>
    <t>OE</t>
  </si>
  <si>
    <t>Prod. OE</t>
  </si>
  <si>
    <t>Rec. Reat</t>
  </si>
  <si>
    <t>O2</t>
  </si>
  <si>
    <t>Cons. O2</t>
  </si>
  <si>
    <t>Rec. H2O</t>
  </si>
  <si>
    <t>N2</t>
  </si>
  <si>
    <t>Cons. Et.</t>
  </si>
  <si>
    <t>Make-up</t>
  </si>
  <si>
    <t>C2H4</t>
  </si>
  <si>
    <t>Prod. CO2</t>
  </si>
  <si>
    <t>Pur. H2O</t>
  </si>
  <si>
    <t>CO2</t>
  </si>
  <si>
    <t>Prod. H2O</t>
  </si>
  <si>
    <t>H2O</t>
  </si>
  <si>
    <t>Prod. Ac.</t>
  </si>
  <si>
    <t>CH3COH</t>
  </si>
  <si>
    <t>Total</t>
  </si>
  <si>
    <t>Rec Ac</t>
  </si>
  <si>
    <t>RESTRIÇÕES</t>
  </si>
  <si>
    <t>Rec OE</t>
  </si>
  <si>
    <t>H2O/OE (ali. Lav. 1)</t>
  </si>
  <si>
    <t>Ab N2</t>
  </si>
  <si>
    <t>Ali. Reator O2</t>
  </si>
  <si>
    <t>Ab O2</t>
  </si>
  <si>
    <t>H2O/g (ali. Lav. 2)</t>
  </si>
  <si>
    <t>Ab CO2</t>
  </si>
  <si>
    <t>BM de N2</t>
  </si>
  <si>
    <t>Ab C2H4</t>
  </si>
  <si>
    <t>Produção</t>
  </si>
  <si>
    <t>X H2O (t)</t>
  </si>
  <si>
    <t>H2O Restri</t>
  </si>
  <si>
    <t>Ph2o</t>
  </si>
  <si>
    <t>Pt</t>
  </si>
  <si>
    <t>CONDENSADOR</t>
  </si>
  <si>
    <t>LAVADORA 2</t>
  </si>
  <si>
    <t>DESTILADORA</t>
  </si>
  <si>
    <t>VASO DE SEPARAÇÃO</t>
  </si>
  <si>
    <t>X OE (f)</t>
  </si>
  <si>
    <t>10 (a)</t>
  </si>
  <si>
    <t>11 (t)</t>
  </si>
  <si>
    <t>12 (f)</t>
  </si>
  <si>
    <t>8d (a)</t>
  </si>
  <si>
    <t>9 M (a)</t>
  </si>
  <si>
    <t>11 (a)</t>
  </si>
  <si>
    <t>13 (t)</t>
  </si>
  <si>
    <t>14 (f)</t>
  </si>
  <si>
    <t>14b (p)</t>
  </si>
  <si>
    <t>12 (a)</t>
  </si>
  <si>
    <t>15c (a)</t>
  </si>
  <si>
    <t>15 (t)</t>
  </si>
  <si>
    <t>16 (f)</t>
  </si>
  <si>
    <t>15b (a)</t>
  </si>
  <si>
    <t>17 (g)</t>
  </si>
  <si>
    <t>15c (r)</t>
  </si>
  <si>
    <t>15d (p)</t>
  </si>
  <si>
    <t>Rem g</t>
  </si>
  <si>
    <t>kg/h</t>
  </si>
  <si>
    <t>kmol/h</t>
  </si>
  <si>
    <t>CH3CHO</t>
  </si>
  <si>
    <t>Frac. Ac.</t>
  </si>
  <si>
    <t>MM (kg/kmol)</t>
  </si>
  <si>
    <t>C2H4O</t>
  </si>
  <si>
    <t>tempo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</si>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</sst>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.5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A398E8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CB4E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</cellXfs>
  <cellStyles count="1">
    <cellStyle name="Normal" xfId="0" builtinId="0"/>
  </cellStyles>
  <dxfs count="2">
    <dxf>
      <font>
        <color rgb="FFFFFFFF"/>
      </font>
      <fill>
        <patternFill patternType="solid">
          <bgColor rgb="FFFF6699"/>
        </patternFill>
      </fill>
    </dxf>
    <dxf>
      <font>
        <color rgb="FFFFFFFF"/>
      </font>
      <fill>
        <patternFill patternType="solid"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CA7B-8331-485E-AE30-6287E8CC86F0}">
  <dimension ref="B2:AK43"/>
  <sheetViews>
    <sheetView tabSelected="1" zoomScale="91" zoomScaleNormal="91" workbookViewId="0">
      <selection activeCell="W1" sqref="W1"/>
    </sheetView>
  </sheetViews>
  <sheetFormatPr defaultRowHeight="15" x14ac:dyDescent="0.25"/>
  <cols>
    <col min="7" max="7" width="9.140625" customWidth="1"/>
    <col min="12" max="13" width="9.140625" customWidth="1"/>
    <col min="21" max="21" width="9.140625" customWidth="1"/>
  </cols>
  <sheetData>
    <row r="2" spans="2:32" x14ac:dyDescent="0.25">
      <c r="B2" s="1" t="s">
        <v>0</v>
      </c>
      <c r="C2" s="1"/>
      <c r="F2" s="2" t="s">
        <v>1</v>
      </c>
      <c r="G2" s="2"/>
      <c r="H2" s="3" t="s">
        <v>2</v>
      </c>
      <c r="J2" s="4" t="s">
        <v>3</v>
      </c>
      <c r="K2" s="4"/>
      <c r="L2" s="4"/>
      <c r="M2" s="4"/>
      <c r="N2" s="4"/>
      <c r="O2" s="4"/>
      <c r="P2" s="4"/>
      <c r="R2" s="5" t="s">
        <v>4</v>
      </c>
      <c r="S2" s="5"/>
      <c r="T2" s="5"/>
      <c r="U2" s="5"/>
      <c r="V2" s="5"/>
      <c r="W2" s="5"/>
      <c r="X2" s="5"/>
      <c r="Z2" s="6" t="s">
        <v>5</v>
      </c>
      <c r="AA2" s="6"/>
      <c r="AB2" s="6"/>
      <c r="AC2" s="6"/>
      <c r="AD2" s="6"/>
      <c r="AE2" s="6"/>
      <c r="AF2" s="6"/>
    </row>
    <row r="3" spans="2:32" x14ac:dyDescent="0.25">
      <c r="B3" s="7" t="s">
        <v>6</v>
      </c>
      <c r="C3" s="8">
        <f ca="1">0.1036*0.79*M7</f>
        <v>229.06178951853491</v>
      </c>
      <c r="F3" s="3" t="s">
        <v>7</v>
      </c>
      <c r="G3" s="9">
        <f ca="1">H10-O7</f>
        <v>2794.7277484464621</v>
      </c>
      <c r="H3" s="10">
        <f ca="1">G3+G4</f>
        <v>9450.1339547619173</v>
      </c>
      <c r="J3" s="11"/>
      <c r="K3" s="11">
        <v>1</v>
      </c>
      <c r="L3" s="11">
        <v>2</v>
      </c>
      <c r="M3" s="11">
        <v>3</v>
      </c>
      <c r="N3" s="11">
        <v>5</v>
      </c>
      <c r="O3" s="11" t="s">
        <v>8</v>
      </c>
      <c r="P3" s="11" t="s">
        <v>9</v>
      </c>
      <c r="R3" s="12"/>
      <c r="S3" s="12" t="s">
        <v>10</v>
      </c>
      <c r="T3" s="12" t="s">
        <v>11</v>
      </c>
      <c r="U3" s="12" t="s">
        <v>12</v>
      </c>
      <c r="V3" s="12" t="s">
        <v>13</v>
      </c>
      <c r="W3" s="12" t="s">
        <v>14</v>
      </c>
      <c r="X3" s="12" t="s">
        <v>9</v>
      </c>
      <c r="Z3" s="13"/>
      <c r="AA3" s="13" t="s">
        <v>15</v>
      </c>
      <c r="AB3" s="13" t="s">
        <v>16</v>
      </c>
      <c r="AC3" s="13" t="s">
        <v>17</v>
      </c>
      <c r="AD3" s="13" t="s">
        <v>18</v>
      </c>
      <c r="AE3" s="13" t="s">
        <v>19</v>
      </c>
      <c r="AF3" s="13" t="s">
        <v>9</v>
      </c>
    </row>
    <row r="4" spans="2:32" x14ac:dyDescent="0.25">
      <c r="B4" s="14" t="s">
        <v>20</v>
      </c>
      <c r="C4" s="8">
        <f ca="1">0.1036*0.21*M7</f>
        <v>60.889842783408007</v>
      </c>
      <c r="F4" s="3" t="s">
        <v>21</v>
      </c>
      <c r="G4" s="9">
        <f ca="1">((H10/2)-O5)/0.21</f>
        <v>6655.4062063154543</v>
      </c>
      <c r="H4" s="10"/>
      <c r="J4" s="11" t="s">
        <v>22</v>
      </c>
      <c r="K4" s="15"/>
      <c r="L4" s="15"/>
      <c r="M4" s="15">
        <f ca="1">O4</f>
        <v>1.8282690181774053E-3</v>
      </c>
      <c r="N4" s="15">
        <f ca="1">C5-C10+M4</f>
        <v>226.31487631333067</v>
      </c>
      <c r="O4" s="15">
        <f ca="1">G$5*V4</f>
        <v>1.8282690181774053E-3</v>
      </c>
      <c r="P4" s="11"/>
      <c r="R4" s="12" t="s">
        <v>22</v>
      </c>
      <c r="S4" s="16">
        <f ca="1">N4</f>
        <v>226.31487631333067</v>
      </c>
      <c r="T4" s="16"/>
      <c r="U4" s="16">
        <f ca="1">C13*S4</f>
        <v>225.18330193176402</v>
      </c>
      <c r="V4" s="16">
        <f ca="1">S4-U4</f>
        <v>1.1315743815666508</v>
      </c>
      <c r="W4" s="16">
        <f ca="1">V4-O4</f>
        <v>1.1297461125484733</v>
      </c>
      <c r="X4" s="12">
        <f ca="1">(S4+T4)-(V4+U4)</f>
        <v>0</v>
      </c>
      <c r="Z4" s="13" t="s">
        <v>22</v>
      </c>
      <c r="AA4" s="17">
        <f ca="1">U4</f>
        <v>225.18330193176402</v>
      </c>
      <c r="AB4" s="17">
        <f ca="1">U26*$G$6</f>
        <v>0.22013771956490125</v>
      </c>
      <c r="AC4" s="17"/>
      <c r="AD4" s="17"/>
      <c r="AE4" s="17">
        <f ca="1">(AA4+AB4)-AC4</f>
        <v>225.40343965132891</v>
      </c>
      <c r="AF4" s="13">
        <f ca="1">(AA4+AB4)-(AC4+AE4)</f>
        <v>0</v>
      </c>
    </row>
    <row r="5" spans="2:32" x14ac:dyDescent="0.25">
      <c r="B5" s="18" t="s">
        <v>23</v>
      </c>
      <c r="C5" s="8">
        <f ca="1">C3</f>
        <v>229.06178951853491</v>
      </c>
      <c r="F5" s="3" t="s">
        <v>24</v>
      </c>
      <c r="G5" s="9">
        <v>1.6156861165822695E-3</v>
      </c>
      <c r="J5" s="11" t="s">
        <v>25</v>
      </c>
      <c r="K5" s="15"/>
      <c r="L5" s="15">
        <f ca="1">L14*G4</f>
        <v>1397.6353033262453</v>
      </c>
      <c r="M5" s="15">
        <f ca="1">L5+O5</f>
        <v>1399.3804647777167</v>
      </c>
      <c r="N5" s="15">
        <f ca="1">M5+C6</f>
        <v>1102.1800416682254</v>
      </c>
      <c r="O5" s="15">
        <f t="shared" ref="O5:O10" ca="1" si="0">G$5*V5</f>
        <v>1.7451614514714706</v>
      </c>
      <c r="P5" s="11"/>
      <c r="R5" s="12" t="s">
        <v>25</v>
      </c>
      <c r="S5" s="16">
        <f t="shared" ref="S5:S10" ca="1" si="1">N5</f>
        <v>1102.1800416682254</v>
      </c>
      <c r="T5" s="16"/>
      <c r="U5" s="16">
        <f ca="1">C15*S5</f>
        <v>22.043600833364508</v>
      </c>
      <c r="V5" s="16">
        <f t="shared" ref="V5:V8" ca="1" si="2">S5-U5</f>
        <v>1080.1364408348609</v>
      </c>
      <c r="W5" s="16">
        <f t="shared" ref="W5:W10" ca="1" si="3">V5-O5</f>
        <v>1078.3912793833895</v>
      </c>
      <c r="X5" s="12">
        <f t="shared" ref="X5:X11" ca="1" si="4">(S5+T5)-(V5+U5)</f>
        <v>0</v>
      </c>
      <c r="Z5" s="13" t="s">
        <v>25</v>
      </c>
      <c r="AA5" s="17">
        <f t="shared" ref="AA5:AA10" ca="1" si="5">U5</f>
        <v>22.043600833364508</v>
      </c>
      <c r="AB5" s="17">
        <f t="shared" ref="AB5:AB10" ca="1" si="6">U27*$G$6</f>
        <v>2.154967964687755E-2</v>
      </c>
      <c r="AC5" s="17"/>
      <c r="AD5" s="17"/>
      <c r="AE5" s="17">
        <f t="shared" ref="AE5:AE8" ca="1" si="7">(AA5+AB5)-AC5</f>
        <v>22.065150513011385</v>
      </c>
      <c r="AF5" s="13">
        <f t="shared" ref="AF5:AF11" ca="1" si="8">(AA5+AB5)-(AC5+AE5)</f>
        <v>0</v>
      </c>
    </row>
    <row r="6" spans="2:32" x14ac:dyDescent="0.25">
      <c r="B6" s="18" t="s">
        <v>26</v>
      </c>
      <c r="C6" s="8">
        <f ca="1">-(C3/2)-(3*C4)</f>
        <v>-297.20042310949145</v>
      </c>
      <c r="F6" s="3" t="s">
        <v>27</v>
      </c>
      <c r="G6" s="9">
        <v>0.97663868796968289</v>
      </c>
      <c r="J6" s="11" t="s">
        <v>28</v>
      </c>
      <c r="K6" s="15"/>
      <c r="L6" s="15">
        <f ca="1">L15*G4</f>
        <v>5257.7709029892094</v>
      </c>
      <c r="M6" s="15">
        <f ca="1">L6+O6</f>
        <v>5266.1943348925788</v>
      </c>
      <c r="N6" s="15">
        <f ca="1">M6</f>
        <v>5266.1943348925788</v>
      </c>
      <c r="O6" s="15">
        <f t="shared" ca="1" si="0"/>
        <v>8.4234319033690372</v>
      </c>
      <c r="P6" s="11">
        <f ca="1">(L6+O6)-N6</f>
        <v>0</v>
      </c>
      <c r="R6" s="12" t="s">
        <v>28</v>
      </c>
      <c r="S6" s="16">
        <f t="shared" ca="1" si="1"/>
        <v>5266.1943348925788</v>
      </c>
      <c r="T6" s="16"/>
      <c r="U6" s="16">
        <f ca="1">C14*S6</f>
        <v>52.661943348925789</v>
      </c>
      <c r="V6" s="16">
        <f t="shared" ca="1" si="2"/>
        <v>5213.5323915436529</v>
      </c>
      <c r="W6" s="16">
        <f t="shared" ca="1" si="3"/>
        <v>5205.1089596402835</v>
      </c>
      <c r="X6" s="12">
        <f t="shared" ca="1" si="4"/>
        <v>0</v>
      </c>
      <c r="Z6" s="13" t="s">
        <v>28</v>
      </c>
      <c r="AA6" s="17">
        <f t="shared" ca="1" si="5"/>
        <v>52.661943348925789</v>
      </c>
      <c r="AB6" s="17">
        <f t="shared" ca="1" si="6"/>
        <v>5.1481970542385597E-2</v>
      </c>
      <c r="AC6" s="17"/>
      <c r="AD6" s="17"/>
      <c r="AE6" s="17">
        <f t="shared" ca="1" si="7"/>
        <v>52.713425319468172</v>
      </c>
      <c r="AF6" s="13">
        <f t="shared" ca="1" si="8"/>
        <v>0</v>
      </c>
    </row>
    <row r="7" spans="2:32" x14ac:dyDescent="0.25">
      <c r="B7" s="18" t="s">
        <v>29</v>
      </c>
      <c r="C7" s="8">
        <f ca="1">-C4-C3</f>
        <v>-289.95163230194294</v>
      </c>
      <c r="F7" s="3" t="s">
        <v>30</v>
      </c>
      <c r="G7" s="9"/>
      <c r="J7" s="11" t="s">
        <v>31</v>
      </c>
      <c r="K7" s="15">
        <f ca="1">G3</f>
        <v>2794.7277484464621</v>
      </c>
      <c r="L7" s="15"/>
      <c r="M7" s="15">
        <f ca="1">K7+O7</f>
        <v>2798.7609295554334</v>
      </c>
      <c r="N7" s="15">
        <f ca="1">M7+C7</f>
        <v>2508.8092972534905</v>
      </c>
      <c r="O7" s="15">
        <f t="shared" ca="1" si="0"/>
        <v>4.0331811089713598</v>
      </c>
      <c r="P7" s="11"/>
      <c r="R7" s="12" t="s">
        <v>31</v>
      </c>
      <c r="S7" s="16">
        <f t="shared" ca="1" si="1"/>
        <v>2508.8092972534905</v>
      </c>
      <c r="T7" s="16"/>
      <c r="U7" s="16">
        <f ca="1">C17*S7</f>
        <v>12.544046486267453</v>
      </c>
      <c r="V7" s="16">
        <f t="shared" ca="1" si="2"/>
        <v>2496.2652507672233</v>
      </c>
      <c r="W7" s="16">
        <f t="shared" ca="1" si="3"/>
        <v>2492.2320696582519</v>
      </c>
      <c r="X7" s="12">
        <f t="shared" ca="1" si="4"/>
        <v>0</v>
      </c>
      <c r="Z7" s="13" t="s">
        <v>31</v>
      </c>
      <c r="AA7" s="17">
        <f t="shared" ca="1" si="5"/>
        <v>12.544046486267453</v>
      </c>
      <c r="AB7" s="17">
        <f t="shared" ca="1" si="6"/>
        <v>1.2262977600531501E-2</v>
      </c>
      <c r="AC7" s="17"/>
      <c r="AD7" s="17"/>
      <c r="AE7" s="17">
        <f t="shared" ca="1" si="7"/>
        <v>12.556309463867985</v>
      </c>
      <c r="AF7" s="13">
        <f t="shared" ca="1" si="8"/>
        <v>0</v>
      </c>
    </row>
    <row r="8" spans="2:32" x14ac:dyDescent="0.25">
      <c r="B8" s="18" t="s">
        <v>32</v>
      </c>
      <c r="C8" s="8">
        <f ca="1">2*C4</f>
        <v>121.77968556681601</v>
      </c>
      <c r="F8" s="3" t="s">
        <v>33</v>
      </c>
      <c r="G8" s="9">
        <v>38.10497530630817</v>
      </c>
      <c r="J8" s="11" t="s">
        <v>34</v>
      </c>
      <c r="K8" s="15"/>
      <c r="L8" s="15"/>
      <c r="M8" s="15">
        <f ca="1">O8</f>
        <v>0.18326006934169081</v>
      </c>
      <c r="N8" s="15">
        <f ca="1">M8+C8</f>
        <v>121.9629456361577</v>
      </c>
      <c r="O8" s="15">
        <f t="shared" ca="1" si="0"/>
        <v>0.18326006934169081</v>
      </c>
      <c r="P8" s="11"/>
      <c r="R8" s="12" t="s">
        <v>34</v>
      </c>
      <c r="S8" s="16">
        <f t="shared" ca="1" si="1"/>
        <v>121.9629456361577</v>
      </c>
      <c r="T8" s="16"/>
      <c r="U8" s="16">
        <f ca="1">C16*S8</f>
        <v>8.5374061945310391</v>
      </c>
      <c r="V8" s="16">
        <f t="shared" ca="1" si="2"/>
        <v>113.42553944162665</v>
      </c>
      <c r="W8" s="16">
        <f t="shared" ca="1" si="3"/>
        <v>113.24227937228497</v>
      </c>
      <c r="X8" s="12">
        <f t="shared" ca="1" si="4"/>
        <v>0</v>
      </c>
      <c r="Z8" s="13" t="s">
        <v>34</v>
      </c>
      <c r="AA8" s="17">
        <f t="shared" ca="1" si="5"/>
        <v>8.5374061945310391</v>
      </c>
      <c r="AB8" s="17">
        <f t="shared" ca="1" si="6"/>
        <v>8.34611232067713E-3</v>
      </c>
      <c r="AC8" s="17"/>
      <c r="AD8" s="17"/>
      <c r="AE8" s="17">
        <f t="shared" ca="1" si="7"/>
        <v>8.5457523068517158</v>
      </c>
      <c r="AF8" s="13">
        <f t="shared" ca="1" si="8"/>
        <v>0</v>
      </c>
    </row>
    <row r="9" spans="2:32" x14ac:dyDescent="0.25">
      <c r="B9" s="18" t="s">
        <v>35</v>
      </c>
      <c r="C9" s="8">
        <f ca="1">2*C4</f>
        <v>121.77968556681601</v>
      </c>
      <c r="H9">
        <f ca="1">(H14-O5)/L14</f>
        <v>6655.4062063154543</v>
      </c>
      <c r="J9" s="11" t="s">
        <v>36</v>
      </c>
      <c r="K9" s="15"/>
      <c r="L9" s="15"/>
      <c r="M9" s="15">
        <f ca="1">O9</f>
        <v>2.1612713273167355E-2</v>
      </c>
      <c r="N9" s="15">
        <f ca="1">C9+M9</f>
        <v>121.80129828008918</v>
      </c>
      <c r="O9" s="15">
        <f t="shared" ca="1" si="0"/>
        <v>2.1612713273167355E-2</v>
      </c>
      <c r="P9" s="11"/>
      <c r="R9" s="12" t="s">
        <v>36</v>
      </c>
      <c r="S9" s="16">
        <f t="shared" ca="1" si="1"/>
        <v>121.80129828008918</v>
      </c>
      <c r="T9" s="16">
        <f ca="1">G6*AC9</f>
        <v>9609.7459357165208</v>
      </c>
      <c r="U9" s="16">
        <f ca="1">T9+S9-V9</f>
        <v>9718.1704319981582</v>
      </c>
      <c r="V9" s="16">
        <f ca="1">V18*V11</f>
        <v>13.376801998451073</v>
      </c>
      <c r="W9" s="16">
        <f t="shared" ca="1" si="3"/>
        <v>13.355189285177905</v>
      </c>
      <c r="X9" s="12">
        <f t="shared" ca="1" si="4"/>
        <v>0</v>
      </c>
      <c r="Z9" s="13" t="s">
        <v>36</v>
      </c>
      <c r="AA9" s="17">
        <f t="shared" ca="1" si="5"/>
        <v>9718.1704319981582</v>
      </c>
      <c r="AB9" s="17">
        <f t="shared" ca="1" si="6"/>
        <v>187.28148024807439</v>
      </c>
      <c r="AC9" s="17">
        <f ca="1">(AA9+AB9)-AE9</f>
        <v>9839.6121862569798</v>
      </c>
      <c r="AD9" s="17">
        <f ca="1">AC9-T9</f>
        <v>229.86625054045908</v>
      </c>
      <c r="AE9" s="17">
        <f ca="1">AE18*AE11</f>
        <v>65.839725989252827</v>
      </c>
      <c r="AF9" s="13">
        <f t="shared" ca="1" si="8"/>
        <v>0</v>
      </c>
    </row>
    <row r="10" spans="2:32" x14ac:dyDescent="0.25">
      <c r="B10" s="18" t="s">
        <v>37</v>
      </c>
      <c r="C10" s="8">
        <f ca="1">1.2%*C5</f>
        <v>2.748741474222419</v>
      </c>
      <c r="H10">
        <f ca="1">(C31+W4)/(0.988*0.1036*0.79)</f>
        <v>2798.7609295554334</v>
      </c>
      <c r="J10" s="11" t="s">
        <v>38</v>
      </c>
      <c r="K10" s="15"/>
      <c r="L10" s="15"/>
      <c r="M10" s="15">
        <f ca="1">O10</f>
        <v>0</v>
      </c>
      <c r="N10" s="15">
        <f ca="1">C10+M10</f>
        <v>2.748741474222419</v>
      </c>
      <c r="O10" s="15">
        <f t="shared" ca="1" si="0"/>
        <v>0</v>
      </c>
      <c r="P10" s="11"/>
      <c r="R10" s="12" t="s">
        <v>38</v>
      </c>
      <c r="S10" s="16">
        <f t="shared" ca="1" si="1"/>
        <v>2.748741474222419</v>
      </c>
      <c r="T10" s="16"/>
      <c r="U10" s="16">
        <f ca="1">C12*S10</f>
        <v>2.748741474222419</v>
      </c>
      <c r="V10" s="16">
        <f ca="1">S10-U10</f>
        <v>0</v>
      </c>
      <c r="W10" s="16">
        <f t="shared" ca="1" si="3"/>
        <v>0</v>
      </c>
      <c r="X10" s="12">
        <f t="shared" ca="1" si="4"/>
        <v>0</v>
      </c>
      <c r="Z10" s="13" t="s">
        <v>38</v>
      </c>
      <c r="AA10" s="17">
        <f t="shared" ca="1" si="5"/>
        <v>2.748741474222419</v>
      </c>
      <c r="AB10" s="17">
        <f t="shared" si="6"/>
        <v>0</v>
      </c>
      <c r="AC10" s="17"/>
      <c r="AD10" s="17"/>
      <c r="AE10" s="17">
        <f ca="1">(AA10+AB10)-AC10</f>
        <v>2.748741474222419</v>
      </c>
      <c r="AF10" s="13">
        <f t="shared" ca="1" si="8"/>
        <v>0</v>
      </c>
    </row>
    <row r="11" spans="2:32" x14ac:dyDescent="0.25">
      <c r="B11" s="1" t="s">
        <v>4</v>
      </c>
      <c r="C11" s="1"/>
      <c r="J11" s="11" t="s">
        <v>39</v>
      </c>
      <c r="K11" s="15">
        <f ca="1">SUM(K4:K10)</f>
        <v>2794.7277484464621</v>
      </c>
      <c r="L11" s="15">
        <f t="shared" ref="L11:M11" ca="1" si="9">SUM(L4:L10)</f>
        <v>6655.4062063154543</v>
      </c>
      <c r="M11" s="15">
        <f t="shared" ca="1" si="9"/>
        <v>9464.5424302773627</v>
      </c>
      <c r="N11" s="15">
        <f ca="1">SUM(N4:N10)</f>
        <v>9350.0115355180933</v>
      </c>
      <c r="O11" s="15">
        <f ca="1">G5*V11</f>
        <v>14.408475515444904</v>
      </c>
      <c r="P11" s="11"/>
      <c r="R11" s="12" t="s">
        <v>39</v>
      </c>
      <c r="S11" s="16">
        <f ca="1">SUM(S4:S10)</f>
        <v>9350.0115355180933</v>
      </c>
      <c r="T11" s="16">
        <f t="shared" ref="T11:W11" ca="1" si="10">SUM(T4:T10)</f>
        <v>9609.7459357165208</v>
      </c>
      <c r="U11" s="16">
        <f t="shared" ca="1" si="10"/>
        <v>10041.889472267234</v>
      </c>
      <c r="V11" s="16">
        <f ca="1">SUM(V4:V8,V10)/(1-V18)</f>
        <v>8917.8679989673819</v>
      </c>
      <c r="W11" s="16">
        <f t="shared" ca="1" si="10"/>
        <v>8903.4595234519365</v>
      </c>
      <c r="X11" s="12">
        <f t="shared" ca="1" si="4"/>
        <v>0</v>
      </c>
      <c r="Z11" s="13" t="s">
        <v>39</v>
      </c>
      <c r="AA11" s="17">
        <f ca="1">SUM(AA4:AA10)</f>
        <v>10041.889472267234</v>
      </c>
      <c r="AB11" s="17">
        <f ca="1">SUM(AB4:AB10)</f>
        <v>187.59525870774976</v>
      </c>
      <c r="AC11" s="17">
        <f t="shared" ref="AC11" ca="1" si="11">SUM(AC4:AC10)</f>
        <v>9839.6121862569798</v>
      </c>
      <c r="AD11" s="17">
        <f ca="1">SUM(AD4:AD10)</f>
        <v>229.86625054045908</v>
      </c>
      <c r="AE11" s="17">
        <f ca="1">(AE4+AE5+AE6+AE7+AE8+AE10)/(1-AE18)</f>
        <v>389.87254471800344</v>
      </c>
      <c r="AF11" s="13">
        <f t="shared" ca="1" si="8"/>
        <v>0</v>
      </c>
    </row>
    <row r="12" spans="2:32" x14ac:dyDescent="0.25">
      <c r="B12" s="14" t="s">
        <v>40</v>
      </c>
      <c r="C12" s="8">
        <v>1</v>
      </c>
      <c r="E12" s="19" t="s">
        <v>41</v>
      </c>
      <c r="F12" s="19"/>
      <c r="G12" s="19"/>
      <c r="H12" s="19"/>
      <c r="J12" s="11"/>
      <c r="K12" s="11"/>
      <c r="L12" s="11"/>
      <c r="M12" s="11"/>
      <c r="N12" s="11"/>
      <c r="O12" s="11"/>
      <c r="P12" s="11"/>
      <c r="R12" s="12"/>
      <c r="S12" s="12"/>
      <c r="T12" s="12"/>
      <c r="U12" s="12"/>
      <c r="V12" s="12"/>
      <c r="W12" s="12"/>
      <c r="X12" s="12"/>
      <c r="Z12" s="13"/>
      <c r="AA12" s="13"/>
      <c r="AB12" s="13"/>
      <c r="AC12" s="13"/>
      <c r="AD12" s="13"/>
      <c r="AE12" s="13"/>
      <c r="AF12" s="13"/>
    </row>
    <row r="13" spans="2:32" x14ac:dyDescent="0.25">
      <c r="B13" s="14" t="s">
        <v>42</v>
      </c>
      <c r="C13" s="8">
        <v>0.995</v>
      </c>
      <c r="E13" s="19" t="s">
        <v>43</v>
      </c>
      <c r="F13" s="19"/>
      <c r="G13" s="20">
        <f ca="1">(T9+S9)/S4</f>
        <v>43.00003337174963</v>
      </c>
      <c r="H13" s="20">
        <f>43</f>
        <v>43</v>
      </c>
      <c r="J13" s="11" t="s">
        <v>22</v>
      </c>
      <c r="K13" s="15">
        <v>0</v>
      </c>
      <c r="L13" s="15">
        <v>0</v>
      </c>
      <c r="M13" s="15">
        <f ca="1">M4/M$11</f>
        <v>1.931703546838901E-7</v>
      </c>
      <c r="N13" s="15"/>
      <c r="O13" s="15">
        <f ca="1">V13</f>
        <v>1.2688844258489565E-4</v>
      </c>
      <c r="P13" s="11"/>
      <c r="R13" s="12" t="s">
        <v>22</v>
      </c>
      <c r="S13" s="16"/>
      <c r="T13" s="16"/>
      <c r="U13" s="16"/>
      <c r="V13" s="16">
        <f ca="1">V4/V11</f>
        <v>1.2688844258489565E-4</v>
      </c>
      <c r="W13" s="16"/>
      <c r="X13" s="12"/>
      <c r="Z13" s="13" t="s">
        <v>22</v>
      </c>
      <c r="AA13" s="17">
        <f>U13</f>
        <v>0</v>
      </c>
      <c r="AB13" s="17">
        <f>V35</f>
        <v>0</v>
      </c>
      <c r="AC13" s="17">
        <f ca="1">AC4/AC$11</f>
        <v>0</v>
      </c>
      <c r="AD13" s="17">
        <f ca="1">AD4/AD$11</f>
        <v>0</v>
      </c>
      <c r="AE13" s="17">
        <f ca="1">AE4/AE$11</f>
        <v>0.57814648070272356</v>
      </c>
      <c r="AF13" s="13"/>
    </row>
    <row r="14" spans="2:32" x14ac:dyDescent="0.25">
      <c r="B14" s="14" t="s">
        <v>44</v>
      </c>
      <c r="C14" s="8">
        <v>0.01</v>
      </c>
      <c r="E14" s="19" t="s">
        <v>45</v>
      </c>
      <c r="F14" s="19"/>
      <c r="G14" s="20">
        <f ca="1">M5</f>
        <v>1399.3804647777167</v>
      </c>
      <c r="H14" s="20">
        <f ca="1">M7/2</f>
        <v>1399.3804647777167</v>
      </c>
      <c r="J14" s="11" t="s">
        <v>25</v>
      </c>
      <c r="K14" s="15">
        <v>0</v>
      </c>
      <c r="L14" s="15">
        <v>0.21</v>
      </c>
      <c r="M14" s="15">
        <f t="shared" ref="M14:M19" ca="1" si="12">M5/M$11</f>
        <v>0.14785505745117222</v>
      </c>
      <c r="N14" s="15"/>
      <c r="O14" s="15">
        <f t="shared" ref="O14:O19" ca="1" si="13">V14</f>
        <v>0.12112047867942563</v>
      </c>
      <c r="P14" s="11"/>
      <c r="R14" s="12" t="s">
        <v>25</v>
      </c>
      <c r="S14" s="16"/>
      <c r="T14" s="16"/>
      <c r="U14" s="16"/>
      <c r="V14" s="16">
        <f ca="1">V5/V11</f>
        <v>0.12112047867942563</v>
      </c>
      <c r="W14" s="16"/>
      <c r="X14" s="12"/>
      <c r="Z14" s="13" t="s">
        <v>25</v>
      </c>
      <c r="AA14" s="17">
        <f t="shared" ref="AA14:AA19" si="14">U14</f>
        <v>0</v>
      </c>
      <c r="AB14" s="17">
        <f t="shared" ref="AB14:AB19" si="15">V36</f>
        <v>0</v>
      </c>
      <c r="AC14" s="17">
        <f t="shared" ref="AC14:AE19" ca="1" si="16">AC5/AC$11</f>
        <v>0</v>
      </c>
      <c r="AD14" s="17">
        <f t="shared" ca="1" si="16"/>
        <v>0</v>
      </c>
      <c r="AE14" s="17">
        <f t="shared" ca="1" si="16"/>
        <v>5.6595804993068204E-2</v>
      </c>
      <c r="AF14" s="13"/>
    </row>
    <row r="15" spans="2:32" x14ac:dyDescent="0.25">
      <c r="B15" s="14" t="s">
        <v>46</v>
      </c>
      <c r="C15" s="8">
        <v>0.02</v>
      </c>
      <c r="E15" s="19" t="s">
        <v>47</v>
      </c>
      <c r="F15" s="19"/>
      <c r="G15" s="20">
        <f ca="1">(SUM(Q31:R31))/(SUM(S27:S30))</f>
        <v>2.0000000002894471</v>
      </c>
      <c r="H15" s="20">
        <v>2</v>
      </c>
      <c r="J15" s="11" t="s">
        <v>28</v>
      </c>
      <c r="K15" s="15">
        <v>0</v>
      </c>
      <c r="L15" s="15">
        <v>0.79</v>
      </c>
      <c r="M15" s="15">
        <f t="shared" ca="1" si="12"/>
        <v>0.55641298812775786</v>
      </c>
      <c r="N15" s="15"/>
      <c r="O15" s="15">
        <f t="shared" ca="1" si="13"/>
        <v>0.5846164567750205</v>
      </c>
      <c r="P15" s="11"/>
      <c r="R15" s="12" t="s">
        <v>28</v>
      </c>
      <c r="S15" s="16"/>
      <c r="T15" s="16"/>
      <c r="U15" s="16"/>
      <c r="V15" s="16">
        <f ca="1">V6/V11</f>
        <v>0.5846164567750205</v>
      </c>
      <c r="W15" s="16"/>
      <c r="X15" s="12"/>
      <c r="Z15" s="13" t="s">
        <v>28</v>
      </c>
      <c r="AA15" s="17">
        <f t="shared" si="14"/>
        <v>0</v>
      </c>
      <c r="AB15" s="17">
        <f t="shared" si="15"/>
        <v>0</v>
      </c>
      <c r="AC15" s="17">
        <f t="shared" ca="1" si="16"/>
        <v>0</v>
      </c>
      <c r="AD15" s="17">
        <f t="shared" ca="1" si="16"/>
        <v>0</v>
      </c>
      <c r="AE15" s="17">
        <f t="shared" ca="1" si="16"/>
        <v>0.13520681574948046</v>
      </c>
      <c r="AF15" s="13"/>
    </row>
    <row r="16" spans="2:32" x14ac:dyDescent="0.25">
      <c r="B16" s="14" t="s">
        <v>48</v>
      </c>
      <c r="C16" s="8">
        <v>7.0000000000000007E-2</v>
      </c>
      <c r="E16" s="19" t="s">
        <v>49</v>
      </c>
      <c r="F16" s="19"/>
      <c r="G16" s="20">
        <f ca="1">L6</f>
        <v>5257.7709029892094</v>
      </c>
      <c r="H16" s="20">
        <f ca="1">T28+W6</f>
        <v>5257.7696715344318</v>
      </c>
      <c r="J16" s="11" t="s">
        <v>31</v>
      </c>
      <c r="K16" s="15">
        <v>1</v>
      </c>
      <c r="L16" s="15">
        <v>0</v>
      </c>
      <c r="M16" s="15">
        <f t="shared" ca="1" si="12"/>
        <v>0.29571011490234445</v>
      </c>
      <c r="N16" s="15"/>
      <c r="O16" s="15">
        <f t="shared" ca="1" si="13"/>
        <v>0.27991726846105713</v>
      </c>
      <c r="P16" s="11"/>
      <c r="R16" s="12" t="s">
        <v>31</v>
      </c>
      <c r="S16" s="16"/>
      <c r="T16" s="16"/>
      <c r="U16" s="16"/>
      <c r="V16" s="16">
        <f ca="1">V7/V11</f>
        <v>0.27991726846105713</v>
      </c>
      <c r="W16" s="16"/>
      <c r="X16" s="12"/>
      <c r="Z16" s="13" t="s">
        <v>31</v>
      </c>
      <c r="AA16" s="17">
        <f t="shared" si="14"/>
        <v>0</v>
      </c>
      <c r="AB16" s="17">
        <f t="shared" si="15"/>
        <v>0</v>
      </c>
      <c r="AC16" s="17">
        <f t="shared" ca="1" si="16"/>
        <v>0</v>
      </c>
      <c r="AD16" s="17">
        <f t="shared" ca="1" si="16"/>
        <v>0</v>
      </c>
      <c r="AE16" s="17">
        <f t="shared" ca="1" si="16"/>
        <v>3.220619054606684E-2</v>
      </c>
      <c r="AF16" s="13"/>
    </row>
    <row r="17" spans="2:37" x14ac:dyDescent="0.25">
      <c r="B17" s="14" t="s">
        <v>50</v>
      </c>
      <c r="C17" s="8">
        <f>0.5/100</f>
        <v>5.0000000000000001E-3</v>
      </c>
      <c r="E17" s="19" t="s">
        <v>51</v>
      </c>
      <c r="F17" s="19"/>
      <c r="G17" s="20">
        <f ca="1">AJ33</f>
        <v>226.99398811661047</v>
      </c>
      <c r="H17" s="20">
        <f>C29</f>
        <v>226.99929630218148</v>
      </c>
      <c r="J17" s="11" t="s">
        <v>34</v>
      </c>
      <c r="K17" s="15">
        <v>0</v>
      </c>
      <c r="L17" s="15">
        <v>0</v>
      </c>
      <c r="M17" s="15">
        <f t="shared" ca="1" si="12"/>
        <v>1.9362802871001583E-5</v>
      </c>
      <c r="N17" s="15"/>
      <c r="O17" s="15">
        <f t="shared" ca="1" si="13"/>
        <v>1.271890764191177E-2</v>
      </c>
      <c r="P17" s="11"/>
      <c r="R17" s="12" t="s">
        <v>34</v>
      </c>
      <c r="S17" s="16"/>
      <c r="T17" s="16"/>
      <c r="U17" s="16"/>
      <c r="V17" s="16">
        <f ca="1">V8/V11</f>
        <v>1.271890764191177E-2</v>
      </c>
      <c r="W17" s="16"/>
      <c r="X17" s="12"/>
      <c r="Z17" s="13" t="s">
        <v>34</v>
      </c>
      <c r="AA17" s="17">
        <f t="shared" si="14"/>
        <v>0</v>
      </c>
      <c r="AB17" s="17">
        <f t="shared" si="15"/>
        <v>0</v>
      </c>
      <c r="AC17" s="17">
        <f t="shared" ca="1" si="16"/>
        <v>0</v>
      </c>
      <c r="AD17" s="17">
        <f t="shared" ca="1" si="16"/>
        <v>0</v>
      </c>
      <c r="AE17" s="17">
        <f t="shared" ca="1" si="16"/>
        <v>2.1919348829841038E-2</v>
      </c>
      <c r="AF17" s="13"/>
    </row>
    <row r="18" spans="2:37" x14ac:dyDescent="0.25">
      <c r="B18" s="14" t="s">
        <v>52</v>
      </c>
      <c r="C18" s="8">
        <v>1.5E-3</v>
      </c>
      <c r="E18" s="19" t="s">
        <v>53</v>
      </c>
      <c r="F18" s="19"/>
      <c r="G18" s="20"/>
      <c r="H18" s="20"/>
      <c r="J18" s="11" t="s">
        <v>36</v>
      </c>
      <c r="K18" s="15">
        <v>0</v>
      </c>
      <c r="L18" s="15">
        <v>0</v>
      </c>
      <c r="M18" s="15">
        <f t="shared" ca="1" si="12"/>
        <v>2.2835454996775779E-6</v>
      </c>
      <c r="N18" s="15"/>
      <c r="O18" s="15">
        <f t="shared" si="13"/>
        <v>1.5E-3</v>
      </c>
      <c r="P18" s="11"/>
      <c r="R18" s="12" t="s">
        <v>36</v>
      </c>
      <c r="S18" s="16"/>
      <c r="T18" s="16"/>
      <c r="U18" s="16"/>
      <c r="V18" s="16">
        <f>C18</f>
        <v>1.5E-3</v>
      </c>
      <c r="W18" s="16"/>
      <c r="X18" s="12"/>
      <c r="Z18" s="13" t="s">
        <v>36</v>
      </c>
      <c r="AA18" s="17">
        <f t="shared" si="14"/>
        <v>0</v>
      </c>
      <c r="AB18" s="17">
        <f t="shared" si="15"/>
        <v>0</v>
      </c>
      <c r="AC18" s="17">
        <f t="shared" ca="1" si="16"/>
        <v>1</v>
      </c>
      <c r="AD18" s="17">
        <f t="shared" ca="1" si="16"/>
        <v>1</v>
      </c>
      <c r="AE18" s="17">
        <f>C20/C21</f>
        <v>0.168875</v>
      </c>
      <c r="AF18" s="13"/>
    </row>
    <row r="19" spans="2:37" x14ac:dyDescent="0.25">
      <c r="B19" s="1" t="s">
        <v>5</v>
      </c>
      <c r="C19" s="1"/>
      <c r="E19" s="19"/>
      <c r="F19" s="19"/>
      <c r="G19" s="20"/>
      <c r="H19" s="20"/>
      <c r="J19" s="11" t="s">
        <v>38</v>
      </c>
      <c r="K19" s="15">
        <v>0</v>
      </c>
      <c r="L19" s="15">
        <v>0</v>
      </c>
      <c r="M19" s="15">
        <f t="shared" ca="1" si="12"/>
        <v>0</v>
      </c>
      <c r="N19" s="15"/>
      <c r="O19" s="15">
        <f t="shared" ca="1" si="13"/>
        <v>0</v>
      </c>
      <c r="P19" s="11"/>
      <c r="R19" s="12" t="s">
        <v>38</v>
      </c>
      <c r="S19" s="16"/>
      <c r="T19" s="16"/>
      <c r="U19" s="16"/>
      <c r="V19" s="16">
        <f ca="1">V10/V11</f>
        <v>0</v>
      </c>
      <c r="W19" s="16"/>
      <c r="X19" s="12"/>
      <c r="Z19" s="13" t="s">
        <v>38</v>
      </c>
      <c r="AA19" s="17">
        <f t="shared" si="14"/>
        <v>0</v>
      </c>
      <c r="AB19" s="17">
        <f t="shared" si="15"/>
        <v>0</v>
      </c>
      <c r="AC19" s="17">
        <f t="shared" ca="1" si="16"/>
        <v>0</v>
      </c>
      <c r="AD19" s="17">
        <f t="shared" ca="1" si="16"/>
        <v>0</v>
      </c>
      <c r="AE19" s="17">
        <f ca="1">AE10/AE$11</f>
        <v>7.050359178819827E-3</v>
      </c>
      <c r="AF19" s="13"/>
    </row>
    <row r="20" spans="2:37" x14ac:dyDescent="0.25">
      <c r="B20" s="14" t="s">
        <v>54</v>
      </c>
      <c r="C20" s="8">
        <v>1.01325</v>
      </c>
      <c r="J20" s="11" t="s">
        <v>39</v>
      </c>
      <c r="K20" s="15">
        <f>SUM(K13:K19)</f>
        <v>1</v>
      </c>
      <c r="L20" s="15">
        <f t="shared" ref="L20:M20" si="17">SUM(L13:L19)</f>
        <v>1</v>
      </c>
      <c r="M20" s="15">
        <f t="shared" ca="1" si="17"/>
        <v>0.99999999999999989</v>
      </c>
      <c r="N20" s="15">
        <f>SUM(N13:N19)</f>
        <v>0</v>
      </c>
      <c r="O20" s="15">
        <f ca="1">SUM(O13:O19)</f>
        <v>0.99999999999999989</v>
      </c>
      <c r="P20" s="11"/>
      <c r="R20" s="12" t="s">
        <v>39</v>
      </c>
      <c r="S20" s="16">
        <f>SUM(S13:S19)</f>
        <v>0</v>
      </c>
      <c r="T20" s="16">
        <f t="shared" ref="T20:W20" si="18">SUM(T13:T19)</f>
        <v>0</v>
      </c>
      <c r="U20" s="16">
        <f t="shared" si="18"/>
        <v>0</v>
      </c>
      <c r="V20" s="16">
        <f t="shared" ca="1" si="18"/>
        <v>0.99999999999999989</v>
      </c>
      <c r="W20" s="16">
        <f t="shared" si="18"/>
        <v>0</v>
      </c>
      <c r="X20" s="12"/>
      <c r="Z20" s="13" t="s">
        <v>39</v>
      </c>
      <c r="AA20" s="17">
        <f>SUM(AA13:AA19)</f>
        <v>0</v>
      </c>
      <c r="AB20" s="17">
        <f t="shared" ref="AB20:AE20" si="19">SUM(AB13:AB19)</f>
        <v>0</v>
      </c>
      <c r="AC20" s="17">
        <f t="shared" ca="1" si="19"/>
        <v>1</v>
      </c>
      <c r="AD20" s="17">
        <f t="shared" ca="1" si="19"/>
        <v>1</v>
      </c>
      <c r="AE20" s="17">
        <f t="shared" ca="1" si="19"/>
        <v>0.99999999999999989</v>
      </c>
      <c r="AF20" s="13"/>
    </row>
    <row r="21" spans="2:37" x14ac:dyDescent="0.25">
      <c r="B21" s="14" t="s">
        <v>55</v>
      </c>
      <c r="C21" s="8">
        <v>6</v>
      </c>
    </row>
    <row r="22" spans="2:37" x14ac:dyDescent="0.25">
      <c r="B22" s="1" t="s">
        <v>56</v>
      </c>
      <c r="C22" s="1"/>
    </row>
    <row r="23" spans="2:37" x14ac:dyDescent="0.25">
      <c r="B23" s="14" t="s">
        <v>42</v>
      </c>
      <c r="C23" s="8">
        <f>99.9%</f>
        <v>0.99900000000000011</v>
      </c>
    </row>
    <row r="24" spans="2:37" x14ac:dyDescent="0.25">
      <c r="B24" s="1" t="s">
        <v>57</v>
      </c>
      <c r="C24" s="1"/>
      <c r="J24" s="21" t="s">
        <v>56</v>
      </c>
      <c r="K24" s="21"/>
      <c r="L24" s="21"/>
      <c r="M24" s="21"/>
      <c r="N24" s="21"/>
      <c r="P24" s="22" t="s">
        <v>57</v>
      </c>
      <c r="Q24" s="22"/>
      <c r="R24" s="22"/>
      <c r="S24" s="22"/>
      <c r="T24" s="22"/>
      <c r="U24" s="22"/>
      <c r="V24" s="22"/>
      <c r="W24" s="22"/>
      <c r="Y24" s="23" t="s">
        <v>58</v>
      </c>
      <c r="Z24" s="23"/>
      <c r="AA24" s="23"/>
      <c r="AB24" s="23"/>
      <c r="AC24" s="23"/>
      <c r="AD24" s="23"/>
      <c r="AF24" s="24" t="s">
        <v>59</v>
      </c>
      <c r="AG24" s="24"/>
      <c r="AH24" s="24"/>
      <c r="AI24" s="24"/>
      <c r="AJ24" s="24"/>
      <c r="AK24" s="24"/>
    </row>
    <row r="25" spans="2:37" x14ac:dyDescent="0.25">
      <c r="B25" s="14" t="s">
        <v>60</v>
      </c>
      <c r="C25" s="8">
        <v>1</v>
      </c>
      <c r="J25" s="25"/>
      <c r="K25" s="25" t="s">
        <v>61</v>
      </c>
      <c r="L25" s="25" t="s">
        <v>62</v>
      </c>
      <c r="M25" s="25" t="s">
        <v>63</v>
      </c>
      <c r="N25" s="25" t="s">
        <v>9</v>
      </c>
      <c r="P25" s="26"/>
      <c r="Q25" s="26" t="s">
        <v>64</v>
      </c>
      <c r="R25" s="26" t="s">
        <v>65</v>
      </c>
      <c r="S25" s="26" t="s">
        <v>66</v>
      </c>
      <c r="T25" s="26" t="s">
        <v>67</v>
      </c>
      <c r="U25" s="26" t="s">
        <v>68</v>
      </c>
      <c r="V25" s="26" t="s">
        <v>69</v>
      </c>
      <c r="W25" s="26" t="s">
        <v>9</v>
      </c>
      <c r="Y25" s="27"/>
      <c r="Z25" s="27" t="s">
        <v>70</v>
      </c>
      <c r="AA25" s="27" t="s">
        <v>71</v>
      </c>
      <c r="AB25" s="27" t="s">
        <v>72</v>
      </c>
      <c r="AC25" s="27" t="s">
        <v>73</v>
      </c>
      <c r="AD25" s="27" t="s">
        <v>9</v>
      </c>
      <c r="AF25" s="28"/>
      <c r="AG25" s="28" t="s">
        <v>74</v>
      </c>
      <c r="AH25" s="28" t="s">
        <v>75</v>
      </c>
      <c r="AI25" s="28" t="s">
        <v>76</v>
      </c>
      <c r="AJ25" s="28" t="s">
        <v>77</v>
      </c>
      <c r="AK25" s="28" t="s">
        <v>9</v>
      </c>
    </row>
    <row r="26" spans="2:37" x14ac:dyDescent="0.25">
      <c r="B26" s="14" t="s">
        <v>78</v>
      </c>
      <c r="C26" s="8">
        <f>99.9%</f>
        <v>0.99900000000000011</v>
      </c>
      <c r="J26" s="25" t="s">
        <v>22</v>
      </c>
      <c r="K26" s="29">
        <f ca="1">AE4</f>
        <v>225.40343965132891</v>
      </c>
      <c r="L26" s="29">
        <f ca="1">K26-M26</f>
        <v>0.22540343965135889</v>
      </c>
      <c r="M26" s="29">
        <f ca="1">C23*K26</f>
        <v>225.17803621167761</v>
      </c>
      <c r="N26" s="25">
        <f ca="1">(K26)-(L26+M26)</f>
        <v>0</v>
      </c>
      <c r="P26" s="26" t="s">
        <v>22</v>
      </c>
      <c r="Q26" s="30"/>
      <c r="R26" s="30"/>
      <c r="S26" s="30">
        <f t="shared" ref="S26:S29" ca="1" si="20">L26</f>
        <v>0.22540343965135889</v>
      </c>
      <c r="T26" s="30"/>
      <c r="U26" s="30">
        <f ca="1">C25*S26</f>
        <v>0.22540343965135889</v>
      </c>
      <c r="V26" s="30"/>
      <c r="W26" s="26"/>
      <c r="Y26" s="27" t="s">
        <v>22</v>
      </c>
      <c r="Z26" s="31">
        <f ca="1">M26</f>
        <v>225.17803621167761</v>
      </c>
      <c r="AA26" s="31">
        <f ca="1">AI26</f>
        <v>450.3560724233551</v>
      </c>
      <c r="AB26" s="31">
        <f ca="1">AA26+Z26</f>
        <v>675.53410863503268</v>
      </c>
      <c r="AC26" s="31"/>
      <c r="AD26" s="27"/>
      <c r="AF26" s="28" t="s">
        <v>22</v>
      </c>
      <c r="AG26" s="32">
        <f ca="1">AB26</f>
        <v>675.53410863503268</v>
      </c>
      <c r="AH26" s="32"/>
      <c r="AI26" s="32">
        <f ca="1">AB26*(2/3)</f>
        <v>450.3560724233551</v>
      </c>
      <c r="AJ26" s="32">
        <f ca="1">AG26-AI26</f>
        <v>225.17803621167758</v>
      </c>
      <c r="AK26" s="28"/>
    </row>
    <row r="27" spans="2:37" x14ac:dyDescent="0.25">
      <c r="B27" s="1" t="s">
        <v>58</v>
      </c>
      <c r="C27" s="1"/>
      <c r="J27" s="25" t="s">
        <v>25</v>
      </c>
      <c r="K27" s="29">
        <f t="shared" ref="K27:K32" ca="1" si="21">AE5</f>
        <v>22.065150513011385</v>
      </c>
      <c r="L27" s="29">
        <f ca="1">K27</f>
        <v>22.065150513011385</v>
      </c>
      <c r="M27" s="29"/>
      <c r="N27" s="25">
        <f ca="1">(K27)-(L27+M27)</f>
        <v>0</v>
      </c>
      <c r="P27" s="26" t="s">
        <v>25</v>
      </c>
      <c r="Q27" s="30"/>
      <c r="R27" s="30"/>
      <c r="S27" s="30">
        <f t="shared" ca="1" si="20"/>
        <v>22.065150513011385</v>
      </c>
      <c r="T27" s="30">
        <f ca="1">C26*S27</f>
        <v>22.043085362498378</v>
      </c>
      <c r="U27" s="30">
        <f ca="1">S27-T27</f>
        <v>2.2065150513007836E-2</v>
      </c>
      <c r="V27" s="30"/>
      <c r="W27" s="26"/>
      <c r="Y27" s="27" t="s">
        <v>25</v>
      </c>
      <c r="Z27" s="31"/>
      <c r="AA27" s="31"/>
      <c r="AB27" s="31"/>
      <c r="AC27" s="31"/>
      <c r="AD27" s="27"/>
      <c r="AF27" s="28" t="s">
        <v>25</v>
      </c>
      <c r="AG27" s="32"/>
      <c r="AH27" s="32"/>
      <c r="AI27" s="32"/>
      <c r="AJ27" s="32"/>
      <c r="AK27" s="28"/>
    </row>
    <row r="28" spans="2:37" x14ac:dyDescent="0.25">
      <c r="B28" s="14" t="s">
        <v>79</v>
      </c>
      <c r="C28" s="8">
        <v>10000</v>
      </c>
      <c r="J28" s="25" t="s">
        <v>28</v>
      </c>
      <c r="K28" s="29">
        <f t="shared" ca="1" si="21"/>
        <v>52.713425319468172</v>
      </c>
      <c r="L28" s="29">
        <f t="shared" ref="L28:L30" ca="1" si="22">K28</f>
        <v>52.713425319468172</v>
      </c>
      <c r="M28" s="29"/>
      <c r="N28" s="25">
        <f t="shared" ref="N28:N33" ca="1" si="23">(K28)-(L28+M28)</f>
        <v>0</v>
      </c>
      <c r="P28" s="26" t="s">
        <v>28</v>
      </c>
      <c r="Q28" s="30"/>
      <c r="R28" s="30"/>
      <c r="S28" s="30">
        <f t="shared" ca="1" si="20"/>
        <v>52.713425319468172</v>
      </c>
      <c r="T28" s="30">
        <f ca="1">C26*S28</f>
        <v>52.660711894148712</v>
      </c>
      <c r="U28" s="30">
        <f t="shared" ref="U28:U30" ca="1" si="24">S28-T28</f>
        <v>5.2713425319460328E-2</v>
      </c>
      <c r="V28" s="30"/>
      <c r="W28" s="26"/>
      <c r="Y28" s="27" t="s">
        <v>28</v>
      </c>
      <c r="Z28" s="31"/>
      <c r="AA28" s="31"/>
      <c r="AB28" s="31"/>
      <c r="AC28" s="31"/>
      <c r="AD28" s="27"/>
      <c r="AF28" s="28" t="s">
        <v>28</v>
      </c>
      <c r="AG28" s="32"/>
      <c r="AH28" s="32"/>
      <c r="AI28" s="32"/>
      <c r="AJ28" s="32"/>
      <c r="AK28" s="28"/>
    </row>
    <row r="29" spans="2:37" x14ac:dyDescent="0.25">
      <c r="B29" s="14" t="s">
        <v>80</v>
      </c>
      <c r="C29" s="8">
        <f>C28/C38</f>
        <v>226.99929630218148</v>
      </c>
      <c r="J29" s="25" t="s">
        <v>31</v>
      </c>
      <c r="K29" s="29">
        <f t="shared" ca="1" si="21"/>
        <v>12.556309463867985</v>
      </c>
      <c r="L29" s="29">
        <f t="shared" ca="1" si="22"/>
        <v>12.556309463867985</v>
      </c>
      <c r="M29" s="29"/>
      <c r="N29" s="25">
        <f t="shared" ca="1" si="23"/>
        <v>0</v>
      </c>
      <c r="P29" s="26" t="s">
        <v>31</v>
      </c>
      <c r="Q29" s="30"/>
      <c r="R29" s="30"/>
      <c r="S29" s="30">
        <f t="shared" ca="1" si="20"/>
        <v>12.556309463867985</v>
      </c>
      <c r="T29" s="30">
        <f ca="1">C26*S29</f>
        <v>12.543753154404119</v>
      </c>
      <c r="U29" s="30">
        <f t="shared" ca="1" si="24"/>
        <v>1.25563094638661E-2</v>
      </c>
      <c r="V29" s="30"/>
      <c r="W29" s="26"/>
      <c r="Y29" s="27" t="s">
        <v>31</v>
      </c>
      <c r="Z29" s="31"/>
      <c r="AA29" s="31"/>
      <c r="AB29" s="31"/>
      <c r="AC29" s="31"/>
      <c r="AD29" s="27"/>
      <c r="AF29" s="28" t="s">
        <v>31</v>
      </c>
      <c r="AG29" s="32"/>
      <c r="AH29" s="32"/>
      <c r="AI29" s="32"/>
      <c r="AJ29" s="32"/>
      <c r="AK29" s="28"/>
    </row>
    <row r="30" spans="2:37" x14ac:dyDescent="0.25">
      <c r="B30" s="1" t="s">
        <v>51</v>
      </c>
      <c r="C30" s="1"/>
      <c r="J30" s="25" t="s">
        <v>34</v>
      </c>
      <c r="K30" s="29">
        <f t="shared" ca="1" si="21"/>
        <v>8.5457523068517158</v>
      </c>
      <c r="L30" s="29">
        <f t="shared" ca="1" si="22"/>
        <v>8.5457523068517158</v>
      </c>
      <c r="M30" s="29"/>
      <c r="N30" s="25">
        <f t="shared" ca="1" si="23"/>
        <v>0</v>
      </c>
      <c r="P30" s="26" t="s">
        <v>34</v>
      </c>
      <c r="Q30" s="30"/>
      <c r="R30" s="30"/>
      <c r="S30" s="30">
        <f ca="1">L30</f>
        <v>8.5457523068517158</v>
      </c>
      <c r="T30" s="30">
        <f ca="1">C26*S30</f>
        <v>8.5372065545448645</v>
      </c>
      <c r="U30" s="30">
        <f t="shared" ca="1" si="24"/>
        <v>8.5457523068512842E-3</v>
      </c>
      <c r="V30" s="30"/>
      <c r="W30" s="26"/>
      <c r="Y30" s="27" t="s">
        <v>34</v>
      </c>
      <c r="Z30" s="31"/>
      <c r="AA30" s="31"/>
      <c r="AB30" s="31"/>
      <c r="AC30" s="31"/>
      <c r="AD30" s="27"/>
      <c r="AF30" s="28" t="s">
        <v>34</v>
      </c>
      <c r="AG30" s="32"/>
      <c r="AH30" s="32"/>
      <c r="AI30" s="32"/>
      <c r="AJ30" s="32"/>
      <c r="AK30" s="28"/>
    </row>
    <row r="31" spans="2:37" x14ac:dyDescent="0.25">
      <c r="B31" s="14" t="s">
        <v>22</v>
      </c>
      <c r="C31" s="8">
        <f>C29-C32</f>
        <v>225.18330193176402</v>
      </c>
      <c r="J31" s="25" t="s">
        <v>36</v>
      </c>
      <c r="K31" s="29">
        <f t="shared" ca="1" si="21"/>
        <v>65.839725989252827</v>
      </c>
      <c r="L31" s="29"/>
      <c r="M31" s="29">
        <f ca="1">K31</f>
        <v>65.839725989252827</v>
      </c>
      <c r="N31" s="25">
        <f t="shared" ca="1" si="23"/>
        <v>0</v>
      </c>
      <c r="P31" s="26" t="s">
        <v>36</v>
      </c>
      <c r="Q31" s="30">
        <f ca="1">AD9-V31</f>
        <v>191.7612752341509</v>
      </c>
      <c r="R31" s="30"/>
      <c r="S31" s="30"/>
      <c r="T31" s="30"/>
      <c r="U31" s="30">
        <f ca="1">Q31+R31</f>
        <v>191.7612752341509</v>
      </c>
      <c r="V31" s="30">
        <f>G8</f>
        <v>38.10497530630817</v>
      </c>
      <c r="W31" s="26"/>
      <c r="Y31" s="27" t="s">
        <v>36</v>
      </c>
      <c r="Z31" s="31">
        <f ca="1">M31</f>
        <v>65.839725989252827</v>
      </c>
      <c r="AA31" s="31"/>
      <c r="AB31" s="31"/>
      <c r="AC31" s="31">
        <f ca="1">Z31</f>
        <v>65.839725989252827</v>
      </c>
      <c r="AD31" s="27"/>
      <c r="AF31" s="28" t="s">
        <v>36</v>
      </c>
      <c r="AG31" s="32"/>
      <c r="AH31" s="32"/>
      <c r="AI31" s="32"/>
      <c r="AJ31" s="32"/>
      <c r="AK31" s="28"/>
    </row>
    <row r="32" spans="2:37" x14ac:dyDescent="0.25">
      <c r="B32" s="14" t="s">
        <v>81</v>
      </c>
      <c r="C32" s="8">
        <f>C33*C29</f>
        <v>1.8159943704174519</v>
      </c>
      <c r="J32" s="25" t="s">
        <v>38</v>
      </c>
      <c r="K32" s="29">
        <f t="shared" ca="1" si="21"/>
        <v>2.748741474222419</v>
      </c>
      <c r="L32" s="29"/>
      <c r="M32" s="29">
        <f ca="1">K32</f>
        <v>2.748741474222419</v>
      </c>
      <c r="N32" s="25">
        <f t="shared" ca="1" si="23"/>
        <v>0</v>
      </c>
      <c r="P32" s="26" t="s">
        <v>38</v>
      </c>
      <c r="Q32" s="30"/>
      <c r="R32" s="30"/>
      <c r="S32" s="30"/>
      <c r="T32" s="30"/>
      <c r="U32" s="30"/>
      <c r="V32" s="30"/>
      <c r="W32" s="26"/>
      <c r="Y32" s="27" t="s">
        <v>38</v>
      </c>
      <c r="Z32" s="31">
        <f ca="1">M32</f>
        <v>2.748741474222419</v>
      </c>
      <c r="AA32" s="31">
        <f ca="1">AI32</f>
        <v>3.6319038098657668</v>
      </c>
      <c r="AB32" s="31">
        <f ca="1">AB33*AB41</f>
        <v>5.4478557147986502</v>
      </c>
      <c r="AC32" s="31">
        <f ca="1">Z32+AA32-AB32</f>
        <v>0.93278956928953516</v>
      </c>
      <c r="AD32" s="27"/>
      <c r="AF32" s="28" t="s">
        <v>38</v>
      </c>
      <c r="AG32" s="32">
        <f ca="1">AB32</f>
        <v>5.4478557147986502</v>
      </c>
      <c r="AH32" s="32"/>
      <c r="AI32" s="32">
        <f ca="1">AB32*(2/3)</f>
        <v>3.6319038098657668</v>
      </c>
      <c r="AJ32" s="32">
        <f ca="1">AG32-AI32</f>
        <v>1.8159519049328834</v>
      </c>
      <c r="AK32" s="28"/>
    </row>
    <row r="33" spans="2:37" x14ac:dyDescent="0.25">
      <c r="B33" s="14" t="s">
        <v>82</v>
      </c>
      <c r="C33" s="8">
        <f>0.008</f>
        <v>8.0000000000000002E-3</v>
      </c>
      <c r="J33" s="25" t="s">
        <v>39</v>
      </c>
      <c r="K33" s="29">
        <f ca="1">SUM(K26:K32)</f>
        <v>389.87254471800344</v>
      </c>
      <c r="L33" s="29">
        <f ca="1">SUM(L26:L32)</f>
        <v>96.10604104285062</v>
      </c>
      <c r="M33" s="29">
        <f t="shared" ref="M33" ca="1" si="25">SUM(M26:M32)</f>
        <v>293.76650367515282</v>
      </c>
      <c r="N33" s="25">
        <f t="shared" ca="1" si="23"/>
        <v>0</v>
      </c>
      <c r="P33" s="26" t="s">
        <v>39</v>
      </c>
      <c r="Q33" s="30">
        <f ca="1">SUM(Q26:Q32)</f>
        <v>191.7612752341509</v>
      </c>
      <c r="R33" s="30">
        <f t="shared" ref="R33:V33" si="26">SUM(R26:R32)</f>
        <v>0</v>
      </c>
      <c r="S33" s="30">
        <f t="shared" ca="1" si="26"/>
        <v>96.10604104285062</v>
      </c>
      <c r="T33" s="30">
        <f t="shared" ca="1" si="26"/>
        <v>95.784756965596074</v>
      </c>
      <c r="U33" s="30">
        <f t="shared" ca="1" si="26"/>
        <v>192.08255931140545</v>
      </c>
      <c r="V33" s="30">
        <f t="shared" si="26"/>
        <v>38.10497530630817</v>
      </c>
      <c r="W33" s="26">
        <f t="shared" ref="W33" ca="1" si="27">(Q33+R33+S33)-(T33+U33)</f>
        <v>0</v>
      </c>
      <c r="Y33" s="27" t="s">
        <v>39</v>
      </c>
      <c r="Z33" s="31">
        <f ca="1">SUM(Z26:Z32)</f>
        <v>293.76650367515282</v>
      </c>
      <c r="AA33" s="31">
        <f ca="1">AA26/AA35</f>
        <v>453.98797623322088</v>
      </c>
      <c r="AB33" s="31">
        <f ca="1">AB26/AB35</f>
        <v>680.98196434983129</v>
      </c>
      <c r="AC33" s="31">
        <f ca="1">SUM(AC26:AC32)</f>
        <v>66.772515558542366</v>
      </c>
      <c r="AD33" s="27">
        <f t="shared" ref="AD33" ca="1" si="28">(Z33+AA33)-(AB33+AC33)</f>
        <v>0</v>
      </c>
      <c r="AF33" s="28" t="s">
        <v>39</v>
      </c>
      <c r="AG33" s="32">
        <f ca="1">SUM(AG26:AG32)</f>
        <v>680.98196434983129</v>
      </c>
      <c r="AH33" s="32"/>
      <c r="AI33" s="32">
        <f t="shared" ref="AI33:AJ33" ca="1" si="29">SUM(AI26:AI32)</f>
        <v>453.98797623322088</v>
      </c>
      <c r="AJ33" s="32">
        <f t="shared" ca="1" si="29"/>
        <v>226.99398811661047</v>
      </c>
      <c r="AK33" s="28">
        <f ca="1">(AG33)-(AI33+AJ33)</f>
        <v>0</v>
      </c>
    </row>
    <row r="34" spans="2:37" x14ac:dyDescent="0.25">
      <c r="B34" s="1" t="s">
        <v>83</v>
      </c>
      <c r="C34" s="1"/>
      <c r="J34" s="25"/>
      <c r="K34" s="25"/>
      <c r="L34" s="25"/>
      <c r="M34" s="25"/>
      <c r="N34" s="25"/>
      <c r="P34" s="26"/>
      <c r="Q34" s="26"/>
      <c r="R34" s="26"/>
      <c r="S34" s="26"/>
      <c r="T34" s="26"/>
      <c r="U34" s="26"/>
      <c r="V34" s="26"/>
      <c r="W34" s="26"/>
      <c r="Y34" s="27"/>
      <c r="Z34" s="27"/>
      <c r="AA34" s="27"/>
      <c r="AB34" s="27"/>
      <c r="AC34" s="27"/>
      <c r="AD34" s="27"/>
      <c r="AF34" s="28"/>
      <c r="AG34" s="28"/>
      <c r="AH34" s="28"/>
      <c r="AI34" s="28"/>
      <c r="AJ34" s="28"/>
      <c r="AK34" s="28"/>
    </row>
    <row r="35" spans="2:37" x14ac:dyDescent="0.25">
      <c r="B35" s="14" t="s">
        <v>28</v>
      </c>
      <c r="C35" s="8">
        <f>28.01348</f>
        <v>28.013480000000001</v>
      </c>
      <c r="J35" s="25" t="s">
        <v>22</v>
      </c>
      <c r="K35" s="29"/>
      <c r="L35" s="29"/>
      <c r="M35" s="29"/>
      <c r="N35" s="25"/>
      <c r="P35" s="26" t="s">
        <v>22</v>
      </c>
      <c r="Q35" s="30"/>
      <c r="R35" s="30"/>
      <c r="S35" s="30"/>
      <c r="T35" s="30"/>
      <c r="U35" s="30"/>
      <c r="V35" s="30"/>
      <c r="W35" s="26"/>
      <c r="Y35" s="27" t="s">
        <v>22</v>
      </c>
      <c r="Z35" s="31"/>
      <c r="AA35" s="31">
        <f>AB35</f>
        <v>0.99199999999999999</v>
      </c>
      <c r="AB35" s="31">
        <f>1-C33</f>
        <v>0.99199999999999999</v>
      </c>
      <c r="AC35" s="31"/>
      <c r="AD35" s="27"/>
      <c r="AF35" s="28" t="s">
        <v>22</v>
      </c>
      <c r="AG35" s="32"/>
      <c r="AH35" s="32"/>
      <c r="AI35" s="32"/>
      <c r="AJ35" s="32"/>
      <c r="AK35" s="28"/>
    </row>
    <row r="36" spans="2:37" x14ac:dyDescent="0.25">
      <c r="B36" s="14" t="s">
        <v>25</v>
      </c>
      <c r="C36" s="8">
        <f>31.9988</f>
        <v>31.998799999999999</v>
      </c>
      <c r="J36" s="25" t="s">
        <v>25</v>
      </c>
      <c r="K36" s="29"/>
      <c r="L36" s="29"/>
      <c r="M36" s="29"/>
      <c r="N36" s="25"/>
      <c r="P36" s="26" t="s">
        <v>25</v>
      </c>
      <c r="Q36" s="30"/>
      <c r="R36" s="30"/>
      <c r="S36" s="30"/>
      <c r="T36" s="30"/>
      <c r="U36" s="30"/>
      <c r="V36" s="30"/>
      <c r="W36" s="26"/>
      <c r="Y36" s="27" t="s">
        <v>25</v>
      </c>
      <c r="Z36" s="31"/>
      <c r="AA36" s="31"/>
      <c r="AB36" s="31"/>
      <c r="AC36" s="31"/>
      <c r="AD36" s="27"/>
      <c r="AF36" s="28" t="s">
        <v>25</v>
      </c>
      <c r="AG36" s="32"/>
      <c r="AH36" s="32"/>
      <c r="AI36" s="32"/>
      <c r="AJ36" s="32"/>
      <c r="AK36" s="28"/>
    </row>
    <row r="37" spans="2:37" x14ac:dyDescent="0.25">
      <c r="B37" s="14" t="s">
        <v>31</v>
      </c>
      <c r="C37" s="8">
        <f>28.054</f>
        <v>28.053999999999998</v>
      </c>
      <c r="J37" s="25" t="s">
        <v>28</v>
      </c>
      <c r="K37" s="29"/>
      <c r="L37" s="29"/>
      <c r="M37" s="29"/>
      <c r="N37" s="25"/>
      <c r="P37" s="26" t="s">
        <v>28</v>
      </c>
      <c r="Q37" s="30"/>
      <c r="R37" s="30"/>
      <c r="S37" s="30"/>
      <c r="T37" s="30"/>
      <c r="U37" s="30"/>
      <c r="V37" s="30"/>
      <c r="W37" s="26"/>
      <c r="Y37" s="27" t="s">
        <v>28</v>
      </c>
      <c r="Z37" s="31"/>
      <c r="AA37" s="31"/>
      <c r="AB37" s="31"/>
      <c r="AC37" s="31"/>
      <c r="AD37" s="27"/>
      <c r="AF37" s="28" t="s">
        <v>28</v>
      </c>
      <c r="AG37" s="32"/>
      <c r="AH37" s="32"/>
      <c r="AI37" s="32"/>
      <c r="AJ37" s="32"/>
      <c r="AK37" s="28"/>
    </row>
    <row r="38" spans="2:37" x14ac:dyDescent="0.25">
      <c r="B38" s="14" t="s">
        <v>84</v>
      </c>
      <c r="C38" s="8">
        <f>44.053</f>
        <v>44.052999999999997</v>
      </c>
      <c r="J38" s="25" t="s">
        <v>31</v>
      </c>
      <c r="K38" s="29"/>
      <c r="L38" s="29"/>
      <c r="M38" s="29"/>
      <c r="N38" s="25"/>
      <c r="P38" s="26" t="s">
        <v>31</v>
      </c>
      <c r="Q38" s="30"/>
      <c r="R38" s="30"/>
      <c r="S38" s="30"/>
      <c r="T38" s="30"/>
      <c r="U38" s="30"/>
      <c r="V38" s="30"/>
      <c r="W38" s="26"/>
      <c r="Y38" s="27" t="s">
        <v>31</v>
      </c>
      <c r="Z38" s="31"/>
      <c r="AA38" s="31"/>
      <c r="AB38" s="31"/>
      <c r="AC38" s="31"/>
      <c r="AD38" s="27"/>
      <c r="AF38" s="28" t="s">
        <v>31</v>
      </c>
      <c r="AG38" s="32"/>
      <c r="AH38" s="32"/>
      <c r="AI38" s="32"/>
      <c r="AJ38" s="32"/>
      <c r="AK38" s="28"/>
    </row>
    <row r="39" spans="2:37" x14ac:dyDescent="0.25">
      <c r="B39" s="14" t="s">
        <v>81</v>
      </c>
      <c r="C39" s="8">
        <f>44.053</f>
        <v>44.052999999999997</v>
      </c>
      <c r="J39" s="25" t="s">
        <v>34</v>
      </c>
      <c r="K39" s="29"/>
      <c r="L39" s="29"/>
      <c r="M39" s="29"/>
      <c r="N39" s="25"/>
      <c r="P39" s="26" t="s">
        <v>34</v>
      </c>
      <c r="Q39" s="30"/>
      <c r="R39" s="30"/>
      <c r="S39" s="30"/>
      <c r="T39" s="30"/>
      <c r="U39" s="30"/>
      <c r="V39" s="30"/>
      <c r="W39" s="26"/>
      <c r="Y39" s="27" t="s">
        <v>34</v>
      </c>
      <c r="Z39" s="31"/>
      <c r="AA39" s="31"/>
      <c r="AB39" s="31"/>
      <c r="AC39" s="31"/>
      <c r="AD39" s="27"/>
      <c r="AF39" s="28" t="s">
        <v>34</v>
      </c>
      <c r="AG39" s="32"/>
      <c r="AH39" s="32"/>
      <c r="AI39" s="32"/>
      <c r="AJ39" s="32"/>
      <c r="AK39" s="28"/>
    </row>
    <row r="40" spans="2:37" x14ac:dyDescent="0.25">
      <c r="B40" s="14" t="s">
        <v>34</v>
      </c>
      <c r="C40" s="8">
        <v>44.009</v>
      </c>
      <c r="J40" s="25" t="s">
        <v>36</v>
      </c>
      <c r="K40" s="29"/>
      <c r="L40" s="29"/>
      <c r="M40" s="29"/>
      <c r="N40" s="25"/>
      <c r="P40" s="26" t="s">
        <v>36</v>
      </c>
      <c r="Q40" s="30"/>
      <c r="R40" s="30"/>
      <c r="S40" s="30"/>
      <c r="T40" s="30"/>
      <c r="U40" s="30"/>
      <c r="V40" s="30"/>
      <c r="W40" s="26"/>
      <c r="Y40" s="27" t="s">
        <v>36</v>
      </c>
      <c r="Z40" s="31"/>
      <c r="AA40" s="31"/>
      <c r="AB40" s="31"/>
      <c r="AC40" s="31"/>
      <c r="AD40" s="27"/>
      <c r="AF40" s="28" t="s">
        <v>36</v>
      </c>
      <c r="AG40" s="32"/>
      <c r="AH40" s="32"/>
      <c r="AI40" s="32"/>
      <c r="AJ40" s="32"/>
      <c r="AK40" s="28"/>
    </row>
    <row r="41" spans="2:37" x14ac:dyDescent="0.25">
      <c r="B41" s="14" t="s">
        <v>36</v>
      </c>
      <c r="C41" s="8">
        <v>18.015000000000001</v>
      </c>
      <c r="J41" s="25" t="s">
        <v>38</v>
      </c>
      <c r="K41" s="29"/>
      <c r="L41" s="29"/>
      <c r="M41" s="29"/>
      <c r="N41" s="25"/>
      <c r="P41" s="26" t="s">
        <v>38</v>
      </c>
      <c r="Q41" s="30"/>
      <c r="R41" s="30"/>
      <c r="S41" s="30"/>
      <c r="T41" s="30"/>
      <c r="U41" s="30"/>
      <c r="V41" s="30"/>
      <c r="W41" s="26"/>
      <c r="Y41" s="27" t="s">
        <v>38</v>
      </c>
      <c r="Z41" s="31"/>
      <c r="AA41" s="31">
        <f>AB41</f>
        <v>8.0000000000000002E-3</v>
      </c>
      <c r="AB41" s="31">
        <f>C33</f>
        <v>8.0000000000000002E-3</v>
      </c>
      <c r="AC41" s="31"/>
      <c r="AD41" s="27"/>
      <c r="AF41" s="28" t="s">
        <v>38</v>
      </c>
      <c r="AG41" s="32"/>
      <c r="AH41" s="32"/>
      <c r="AI41" s="32"/>
      <c r="AJ41" s="32"/>
      <c r="AK41" s="28"/>
    </row>
    <row r="42" spans="2:37" x14ac:dyDescent="0.25">
      <c r="B42" s="1" t="s">
        <v>85</v>
      </c>
      <c r="C42" s="1"/>
      <c r="J42" s="25" t="s">
        <v>39</v>
      </c>
      <c r="K42" s="29">
        <f>SUM(K35:K41)</f>
        <v>0</v>
      </c>
      <c r="L42" s="29">
        <f t="shared" ref="L42:M42" si="30">SUM(L35:L41)</f>
        <v>0</v>
      </c>
      <c r="M42" s="29">
        <f t="shared" si="30"/>
        <v>0</v>
      </c>
      <c r="N42" s="25"/>
      <c r="P42" s="26" t="s">
        <v>39</v>
      </c>
      <c r="Q42" s="30">
        <f>SUM(Q35:Q41)</f>
        <v>0</v>
      </c>
      <c r="R42" s="30">
        <f t="shared" ref="R42:V42" si="31">SUM(R35:R41)</f>
        <v>0</v>
      </c>
      <c r="S42" s="30">
        <f t="shared" si="31"/>
        <v>0</v>
      </c>
      <c r="T42" s="30">
        <f t="shared" si="31"/>
        <v>0</v>
      </c>
      <c r="U42" s="30">
        <f t="shared" si="31"/>
        <v>0</v>
      </c>
      <c r="V42" s="30">
        <f t="shared" si="31"/>
        <v>0</v>
      </c>
      <c r="W42" s="26"/>
      <c r="Y42" s="27" t="s">
        <v>39</v>
      </c>
      <c r="Z42" s="31">
        <f>SUM(Z35:Z41)</f>
        <v>0</v>
      </c>
      <c r="AA42" s="31">
        <f>SUM(AA35:AA41)</f>
        <v>1</v>
      </c>
      <c r="AB42" s="31">
        <f t="shared" ref="AB42" si="32">SUM(AB35:AB41)</f>
        <v>1</v>
      </c>
      <c r="AC42" s="31">
        <f>SUM(AC35:AC41)</f>
        <v>0</v>
      </c>
      <c r="AD42" s="27"/>
      <c r="AF42" s="28" t="s">
        <v>39</v>
      </c>
      <c r="AG42" s="32">
        <f>SUM(AG35:AG41)</f>
        <v>0</v>
      </c>
      <c r="AH42" s="32">
        <f>SUM(AH35:AH41)</f>
        <v>0</v>
      </c>
      <c r="AI42" s="32">
        <f t="shared" ref="AI42:AJ42" si="33">SUM(AI35:AI41)</f>
        <v>0</v>
      </c>
      <c r="AJ42" s="32">
        <f t="shared" si="33"/>
        <v>0</v>
      </c>
      <c r="AK42" s="28"/>
    </row>
    <row r="43" spans="2:37" x14ac:dyDescent="0.25">
      <c r="B43" s="14" t="s">
        <v>86</v>
      </c>
      <c r="C43" s="8">
        <v>1</v>
      </c>
    </row>
  </sheetData>
  <scenarios current="0">
    <scenario name="FOI" count="4" user="Isabelli Krul Vieira" comment="Criado por Isabelli Krul Vieira em 5/1/2023">
      <inputCells r="G3" val="517.162164327932"/>
      <inputCells r="G4" val="1958.47558714539"/>
      <inputCells r="G5" val="0.913065154819415"/>
      <inputCells r="G6" val="0.958276452910449"/>
    </scenario>
    <scenario name="CONSEGUI" count="4" user="Isabelli Krul Vieira" comment="Criado por Isabelli Krul Vieira em 5/1/2023">
      <inputCells r="G3" val="517.162164327932"/>
      <inputCells r="G4" val="1958.47558714539"/>
      <inputCells r="G5" val="0.913065154819415"/>
      <inputCells r="G6" val="0.958276452910449"/>
    </scenario>
    <scenario name="AAAA" count="4" user="Isabelli Krul Vieira" comment="Criado por Isabelli Krul Vieira em 5/28/2023">
      <inputCells r="G3" val="2754.20082662655"/>
      <inputCells r="G5" val="0.0177873419955238"/>
      <inputCells r="G6" val="0.976567708554466"/>
      <inputCells r="G8" val="38.191598802166"/>
    </scenario>
  </scenarios>
  <mergeCells count="26">
    <mergeCell ref="B34:C34"/>
    <mergeCell ref="B42:C42"/>
    <mergeCell ref="J24:N24"/>
    <mergeCell ref="P24:W24"/>
    <mergeCell ref="Y24:AD24"/>
    <mergeCell ref="AF24:AK24"/>
    <mergeCell ref="B27:C27"/>
    <mergeCell ref="B30:C30"/>
    <mergeCell ref="E17:F17"/>
    <mergeCell ref="E18:F18"/>
    <mergeCell ref="B19:C19"/>
    <mergeCell ref="E19:F19"/>
    <mergeCell ref="B22:C22"/>
    <mergeCell ref="B24:C24"/>
    <mergeCell ref="B11:C11"/>
    <mergeCell ref="E12:H12"/>
    <mergeCell ref="E13:F13"/>
    <mergeCell ref="E14:F14"/>
    <mergeCell ref="E15:F15"/>
    <mergeCell ref="E16:F16"/>
    <mergeCell ref="B2:C2"/>
    <mergeCell ref="F2:G2"/>
    <mergeCell ref="J2:P2"/>
    <mergeCell ref="R2:X2"/>
    <mergeCell ref="Z2:AF2"/>
    <mergeCell ref="H3:H4"/>
  </mergeCells>
  <conditionalFormatting sqref="G21:AN21 E15 G15:H15 A15:D21 I20:AN20 E16:H16 E19:H19 E17 G17:H18 A22:AN73 I15:L19 A14:L14 M14:AN19 A1:AN13">
    <cfRule type="cellIs" dxfId="1" priority="2" stopIfTrue="1" operator="lessThan">
      <formula>0</formula>
    </cfRule>
  </conditionalFormatting>
  <conditionalFormatting sqref="E18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90F44C92960C4AB531FD95DD633474" ma:contentTypeVersion="15" ma:contentTypeDescription="Crie um novo documento." ma:contentTypeScope="" ma:versionID="6388e2999bb39d2e0a7a9754c0c001c9">
  <xsd:schema xmlns:xsd="http://www.w3.org/2001/XMLSchema" xmlns:xs="http://www.w3.org/2001/XMLSchema" xmlns:p="http://schemas.microsoft.com/office/2006/metadata/properties" xmlns:ns3="fa983fae-e61a-4ac7-817f-e7ce0a1311a8" xmlns:ns4="09ac50ac-8816-472f-995c-982ef96ba377" targetNamespace="http://schemas.microsoft.com/office/2006/metadata/properties" ma:root="true" ma:fieldsID="e7e758b4d1a060bc8058cfe642fa921b" ns3:_="" ns4:_="">
    <xsd:import namespace="fa983fae-e61a-4ac7-817f-e7ce0a1311a8"/>
    <xsd:import namespace="09ac50ac-8816-472f-995c-982ef96ba3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83fae-e61a-4ac7-817f-e7ce0a131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c50ac-8816-472f-995c-982ef96ba37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983fae-e61a-4ac7-817f-e7ce0a1311a8" xsi:nil="true"/>
  </documentManagement>
</p:properties>
</file>

<file path=customXml/itemProps1.xml><?xml version="1.0" encoding="utf-8"?>
<ds:datastoreItem xmlns:ds="http://schemas.openxmlformats.org/officeDocument/2006/customXml" ds:itemID="{8C18CB11-E1B9-48B1-B597-10F88D344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83fae-e61a-4ac7-817f-e7ce0a1311a8"/>
    <ds:schemaRef ds:uri="09ac50ac-8816-472f-995c-982ef96ba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9F399-3636-4E77-8768-1CBABDBDB9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EA0659-3781-4BA3-A6BF-3FE22FF2E8CD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fa983fae-e61a-4ac7-817f-e7ce0a1311a8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09ac50ac-8816-472f-995c-982ef96ba37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BM 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Isabelli Krul Vieira</dc:creator>
  <cp:lastModifiedBy>Isabelli Krul Vieira</cp:lastModifiedBy>
  <dcterms:created xsi:type="dcterms:W3CDTF">2023-05-28T17:33:17Z</dcterms:created>
  <dcterms:modified xsi:type="dcterms:W3CDTF">2023-05-28T17:35:08Z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0x0101002590F44C92960C4AB531FD95DD633474</vt:lpwstr>
  </property>
</Properties>
</file>