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luizd\uni\2023-Semestre1\Integra\"/>
    </mc:Choice>
  </mc:AlternateContent>
  <xr:revisionPtr revIDLastSave="0" documentId="13_ncr:1_{FE7AFAA2-1C71-4678-8580-E16F8DEFCC54}" xr6:coauthVersionLast="47" xr6:coauthVersionMax="47" xr10:uidLastSave="{00000000-0000-0000-0000-000000000000}"/>
  <bookViews>
    <workbookView xWindow="-120" yWindow="-120" windowWidth="29040" windowHeight="15840" xr2:uid="{4077C5F6-FA75-46C3-81E2-D8084BF8EC87}"/>
  </bookViews>
  <sheets>
    <sheet name="BM OE (17)" sheetId="23" r:id="rId1"/>
    <sheet name="mássico" sheetId="24" r:id="rId2"/>
  </sheets>
  <definedNames>
    <definedName name="solver_adj" localSheetId="0" hidden="1">'BM OE (17)'!$G$5</definedName>
    <definedName name="solver_cvg" localSheetId="0" hidden="1">0.00001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'BM OE (17)'!$G$13</definedName>
    <definedName name="solver_lhs10" localSheetId="0" hidden="1">'BM OE (17)'!$G$27</definedName>
    <definedName name="solver_lhs11" localSheetId="0" hidden="1">'BM OE (17)'!$G$28</definedName>
    <definedName name="solver_lhs12" localSheetId="0" hidden="1">'BM OE (17)'!$G$29</definedName>
    <definedName name="solver_lhs13" localSheetId="0" hidden="1">'BM OE (17)'!$G$30</definedName>
    <definedName name="solver_lhs14" localSheetId="0" hidden="1">'BM OE (17)'!$G$5</definedName>
    <definedName name="solver_lhs15" localSheetId="0" hidden="1">'BM OE (17)'!$G$5</definedName>
    <definedName name="solver_lhs16" localSheetId="0" hidden="1">'BM OE (17)'!$G$6</definedName>
    <definedName name="solver_lhs17" localSheetId="0" hidden="1">'BM OE (17)'!$G$6</definedName>
    <definedName name="solver_lhs2" localSheetId="0" hidden="1">'BM OE (17)'!$G$14</definedName>
    <definedName name="solver_lhs3" localSheetId="0" hidden="1">'BM OE (17)'!$G$15</definedName>
    <definedName name="solver_lhs4" localSheetId="0" hidden="1">'BM OE (17)'!$G$16</definedName>
    <definedName name="solver_lhs5" localSheetId="0" hidden="1">'BM OE (17)'!$G$17</definedName>
    <definedName name="solver_lhs6" localSheetId="0" hidden="1">'BM OE (17)'!$G$23</definedName>
    <definedName name="solver_lhs7" localSheetId="0" hidden="1">'BM OE (17)'!$G$24</definedName>
    <definedName name="solver_lhs8" localSheetId="0" hidden="1">'BM OE (17)'!$G$25</definedName>
    <definedName name="solver_lhs9" localSheetId="0" hidden="1">'BM OE (17)'!$G$26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15</definedName>
    <definedName name="solver_nwt" localSheetId="0" hidden="1">1</definedName>
    <definedName name="solver_opt" localSheetId="0" hidden="1">'BM OE (17)'!$G$5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10" localSheetId="0" hidden="1">2</definedName>
    <definedName name="solver_rel11" localSheetId="0" hidden="1">2</definedName>
    <definedName name="solver_rel12" localSheetId="0" hidden="1">2</definedName>
    <definedName name="solver_rel13" localSheetId="0" hidden="1">2</definedName>
    <definedName name="solver_rel14" localSheetId="0" hidden="1">1</definedName>
    <definedName name="solver_rel15" localSheetId="0" hidden="1">3</definedName>
    <definedName name="solver_rel16" localSheetId="0" hidden="1">3</definedName>
    <definedName name="solver_rel17" localSheetId="0" hidden="1">3</definedName>
    <definedName name="solver_rel2" localSheetId="0" hidden="1">2</definedName>
    <definedName name="solver_rel3" localSheetId="0" hidden="1">2</definedName>
    <definedName name="solver_rel4" localSheetId="0" hidden="1">2</definedName>
    <definedName name="solver_rel5" localSheetId="0" hidden="1">2</definedName>
    <definedName name="solver_rel6" localSheetId="0" hidden="1">2</definedName>
    <definedName name="solver_rel7" localSheetId="0" hidden="1">2</definedName>
    <definedName name="solver_rel8" localSheetId="0" hidden="1">2</definedName>
    <definedName name="solver_rel9" localSheetId="0" hidden="1">2</definedName>
    <definedName name="solver_rhs1" localSheetId="0" hidden="1">'BM OE (17)'!$H$13</definedName>
    <definedName name="solver_rhs10" localSheetId="0" hidden="1">'BM OE (17)'!$H$27</definedName>
    <definedName name="solver_rhs11" localSheetId="0" hidden="1">'BM OE (17)'!$H$28</definedName>
    <definedName name="solver_rhs12" localSheetId="0" hidden="1">'BM OE (17)'!$H$29</definedName>
    <definedName name="solver_rhs13" localSheetId="0" hidden="1">'BM OE (17)'!$H$30</definedName>
    <definedName name="solver_rhs14" localSheetId="0" hidden="1">1</definedName>
    <definedName name="solver_rhs15" localSheetId="0" hidden="1">0.000001</definedName>
    <definedName name="solver_rhs16" localSheetId="0" hidden="1">0.0001</definedName>
    <definedName name="solver_rhs17" localSheetId="0" hidden="1">0.0001</definedName>
    <definedName name="solver_rhs2" localSheetId="0" hidden="1">'BM OE (17)'!$H$14</definedName>
    <definedName name="solver_rhs3" localSheetId="0" hidden="1">'BM OE (17)'!$H$15</definedName>
    <definedName name="solver_rhs4" localSheetId="0" hidden="1">'BM OE (17)'!$H$16</definedName>
    <definedName name="solver_rhs5" localSheetId="0" hidden="1">'BM OE (17)'!$H$17</definedName>
    <definedName name="solver_rhs6" localSheetId="0" hidden="1">'BM OE (17)'!$H$23</definedName>
    <definedName name="solver_rhs7" localSheetId="0" hidden="1">'BM OE (17)'!$H$24</definedName>
    <definedName name="solver_rhs8" localSheetId="0" hidden="1">'BM OE (17)'!$H$25</definedName>
    <definedName name="solver_rhs9" localSheetId="0" hidden="1">'BM OE (17)'!$H$26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2</definedName>
    <definedName name="solver_ver" localSheetId="0" hidden="1">3</definedName>
  </definedNames>
  <calcPr calcId="191029" iterate="1" iterateCount="1000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3" i="24" l="1"/>
  <c r="T33" i="24"/>
  <c r="U33" i="24"/>
  <c r="V33" i="24"/>
  <c r="V35" i="24" s="1"/>
  <c r="W33" i="24"/>
  <c r="W35" i="24" s="1"/>
  <c r="R33" i="24"/>
  <c r="T35" i="24"/>
  <c r="U35" i="24"/>
  <c r="T36" i="24"/>
  <c r="U36" i="24"/>
  <c r="T37" i="24"/>
  <c r="U37" i="24"/>
  <c r="T38" i="24"/>
  <c r="U38" i="24"/>
  <c r="T39" i="24"/>
  <c r="U39" i="24"/>
  <c r="T40" i="24"/>
  <c r="U40" i="24"/>
  <c r="T41" i="24"/>
  <c r="U41" i="24"/>
  <c r="R40" i="24"/>
  <c r="R41" i="24"/>
  <c r="R36" i="24"/>
  <c r="R37" i="24"/>
  <c r="R38" i="24"/>
  <c r="R39" i="24"/>
  <c r="R35" i="24"/>
  <c r="R42" i="24" s="1"/>
  <c r="AJ35" i="24"/>
  <c r="AJ36" i="24"/>
  <c r="AJ38" i="24"/>
  <c r="AJ39" i="24"/>
  <c r="AJ41" i="24"/>
  <c r="AH36" i="24"/>
  <c r="AH35" i="24"/>
  <c r="AI33" i="24"/>
  <c r="AJ33" i="24"/>
  <c r="AJ37" i="24" s="1"/>
  <c r="AK33" i="24"/>
  <c r="AK35" i="24" s="1"/>
  <c r="AH33" i="24"/>
  <c r="AH41" i="24" s="1"/>
  <c r="AB33" i="24"/>
  <c r="AB35" i="24" s="1"/>
  <c r="AC33" i="24"/>
  <c r="AC35" i="24" s="1"/>
  <c r="AD33" i="24"/>
  <c r="AD35" i="24" s="1"/>
  <c r="AA33" i="24"/>
  <c r="AA38" i="24" s="1"/>
  <c r="M35" i="24"/>
  <c r="M37" i="24"/>
  <c r="M38" i="24"/>
  <c r="M40" i="24"/>
  <c r="M41" i="24"/>
  <c r="L36" i="24"/>
  <c r="L37" i="24"/>
  <c r="L38" i="24"/>
  <c r="L40" i="24"/>
  <c r="L41" i="24"/>
  <c r="L35" i="24"/>
  <c r="L42" i="24" s="1"/>
  <c r="M33" i="24"/>
  <c r="M36" i="24" s="1"/>
  <c r="N33" i="24"/>
  <c r="N37" i="24" s="1"/>
  <c r="L33" i="24"/>
  <c r="L39" i="24" s="1"/>
  <c r="L15" i="24"/>
  <c r="L17" i="24"/>
  <c r="AE13" i="24"/>
  <c r="AE14" i="24"/>
  <c r="AE16" i="24"/>
  <c r="AE17" i="24"/>
  <c r="AE19" i="24"/>
  <c r="AB19" i="24"/>
  <c r="W13" i="24"/>
  <c r="U14" i="24"/>
  <c r="U15" i="24"/>
  <c r="W15" i="24"/>
  <c r="W16" i="24"/>
  <c r="U17" i="24"/>
  <c r="U18" i="24"/>
  <c r="W18" i="24"/>
  <c r="U19" i="24"/>
  <c r="W19" i="24"/>
  <c r="T15" i="24"/>
  <c r="T17" i="24"/>
  <c r="T19" i="24"/>
  <c r="AC11" i="24"/>
  <c r="AC15" i="24" s="1"/>
  <c r="AD11" i="24"/>
  <c r="AD13" i="24" s="1"/>
  <c r="AE11" i="24"/>
  <c r="AE15" i="24" s="1"/>
  <c r="AF11" i="24"/>
  <c r="AF14" i="24" s="1"/>
  <c r="AB11" i="24"/>
  <c r="AB18" i="24" s="1"/>
  <c r="U11" i="24"/>
  <c r="U13" i="24" s="1"/>
  <c r="V11" i="24"/>
  <c r="V15" i="24" s="1"/>
  <c r="W11" i="24"/>
  <c r="W14" i="24" s="1"/>
  <c r="X11" i="24"/>
  <c r="X13" i="24" s="1"/>
  <c r="T11" i="24"/>
  <c r="T14" i="24" s="1"/>
  <c r="M11" i="24"/>
  <c r="M13" i="24" s="1"/>
  <c r="N11" i="24"/>
  <c r="N14" i="24" s="1"/>
  <c r="O11" i="24"/>
  <c r="O14" i="24" s="1"/>
  <c r="P11" i="24"/>
  <c r="P15" i="24" s="1"/>
  <c r="L11" i="24"/>
  <c r="L16" i="24" s="1"/>
  <c r="AK42" i="23"/>
  <c r="AJ42" i="23"/>
  <c r="AI42" i="23"/>
  <c r="AH42" i="23"/>
  <c r="AD42" i="23"/>
  <c r="AA42" i="23"/>
  <c r="W42" i="23"/>
  <c r="V42" i="23"/>
  <c r="U42" i="23"/>
  <c r="T42" i="23"/>
  <c r="S42" i="23"/>
  <c r="R42" i="23"/>
  <c r="N42" i="23"/>
  <c r="M42" i="23"/>
  <c r="L42" i="23"/>
  <c r="C39" i="23"/>
  <c r="C38" i="23"/>
  <c r="C37" i="23"/>
  <c r="C36" i="23"/>
  <c r="C35" i="23"/>
  <c r="S33" i="23"/>
  <c r="C33" i="23"/>
  <c r="C29" i="23"/>
  <c r="C26" i="23"/>
  <c r="C23" i="23"/>
  <c r="X20" i="23"/>
  <c r="V20" i="23"/>
  <c r="U20" i="23"/>
  <c r="T20" i="23"/>
  <c r="O20" i="23"/>
  <c r="M20" i="23"/>
  <c r="L20" i="23"/>
  <c r="AC19" i="23"/>
  <c r="AB19" i="23"/>
  <c r="AF18" i="23"/>
  <c r="AC18" i="23"/>
  <c r="AB18" i="23"/>
  <c r="W18" i="23"/>
  <c r="P18" i="23" s="1"/>
  <c r="AC17" i="23"/>
  <c r="AB17" i="23"/>
  <c r="H17" i="23"/>
  <c r="C17" i="23"/>
  <c r="AC16" i="23"/>
  <c r="AB16" i="23"/>
  <c r="AC15" i="23"/>
  <c r="AB15" i="23"/>
  <c r="AC14" i="23"/>
  <c r="AB14" i="23"/>
  <c r="AC13" i="23"/>
  <c r="AB13" i="23"/>
  <c r="H13" i="23"/>
  <c r="AC10" i="23"/>
  <c r="H5" i="23"/>
  <c r="U20" i="24" l="1"/>
  <c r="X20" i="24"/>
  <c r="W20" i="24"/>
  <c r="M42" i="24"/>
  <c r="AC19" i="24"/>
  <c r="O18" i="24"/>
  <c r="M14" i="24"/>
  <c r="M20" i="24" s="1"/>
  <c r="T18" i="24"/>
  <c r="V19" i="24"/>
  <c r="X17" i="24"/>
  <c r="V16" i="24"/>
  <c r="X14" i="24"/>
  <c r="V13" i="24"/>
  <c r="AB16" i="24"/>
  <c r="AF18" i="24"/>
  <c r="AD17" i="24"/>
  <c r="AF15" i="24"/>
  <c r="AD14" i="24"/>
  <c r="L13" i="24"/>
  <c r="L14" i="24"/>
  <c r="P19" i="24"/>
  <c r="N18" i="24"/>
  <c r="P16" i="24"/>
  <c r="N15" i="24"/>
  <c r="P13" i="24"/>
  <c r="N39" i="24"/>
  <c r="N36" i="24"/>
  <c r="AH39" i="24"/>
  <c r="AK40" i="24"/>
  <c r="AK37" i="24"/>
  <c r="AA37" i="24"/>
  <c r="AD40" i="24"/>
  <c r="AD38" i="24"/>
  <c r="AD36" i="24"/>
  <c r="O15" i="24"/>
  <c r="W17" i="24"/>
  <c r="U16" i="24"/>
  <c r="AB15" i="24"/>
  <c r="AE18" i="24"/>
  <c r="AE20" i="24" s="1"/>
  <c r="AC17" i="24"/>
  <c r="AC14" i="24"/>
  <c r="L19" i="24"/>
  <c r="O19" i="24"/>
  <c r="M18" i="24"/>
  <c r="O16" i="24"/>
  <c r="M15" i="24"/>
  <c r="O13" i="24"/>
  <c r="O20" i="24" s="1"/>
  <c r="M39" i="24"/>
  <c r="AH38" i="24"/>
  <c r="AJ40" i="24"/>
  <c r="AJ42" i="24" s="1"/>
  <c r="W40" i="24"/>
  <c r="W38" i="24"/>
  <c r="W36" i="24"/>
  <c r="AA35" i="24"/>
  <c r="AA36" i="24"/>
  <c r="AC40" i="24"/>
  <c r="AC38" i="24"/>
  <c r="AC36" i="24"/>
  <c r="AB20" i="23"/>
  <c r="AB17" i="24"/>
  <c r="AC16" i="24"/>
  <c r="AC13" i="24"/>
  <c r="M17" i="24"/>
  <c r="AH40" i="24"/>
  <c r="T16" i="24"/>
  <c r="X18" i="24"/>
  <c r="V17" i="24"/>
  <c r="X15" i="24"/>
  <c r="V14" i="24"/>
  <c r="AB13" i="24"/>
  <c r="AB14" i="24"/>
  <c r="AF19" i="24"/>
  <c r="AD18" i="24"/>
  <c r="AF16" i="24"/>
  <c r="AD15" i="24"/>
  <c r="AD20" i="24" s="1"/>
  <c r="AF13" i="24"/>
  <c r="L18" i="24"/>
  <c r="N19" i="24"/>
  <c r="P17" i="24"/>
  <c r="N16" i="24"/>
  <c r="P14" i="24"/>
  <c r="N13" i="24"/>
  <c r="N20" i="24" s="1"/>
  <c r="N41" i="24"/>
  <c r="N38" i="24"/>
  <c r="N35" i="24"/>
  <c r="AH37" i="24"/>
  <c r="AH42" i="24" s="1"/>
  <c r="AK39" i="24"/>
  <c r="AK36" i="24"/>
  <c r="AK42" i="24" s="1"/>
  <c r="AA41" i="24"/>
  <c r="AB40" i="24"/>
  <c r="AB38" i="24"/>
  <c r="AB36" i="24"/>
  <c r="AB42" i="24" s="1"/>
  <c r="AA40" i="24"/>
  <c r="AD41" i="24"/>
  <c r="AD39" i="24"/>
  <c r="AD37" i="24"/>
  <c r="AC18" i="24"/>
  <c r="M19" i="24"/>
  <c r="O17" i="24"/>
  <c r="M16" i="24"/>
  <c r="T13" i="24"/>
  <c r="T20" i="24" s="1"/>
  <c r="X19" i="24"/>
  <c r="V18" i="24"/>
  <c r="X16" i="24"/>
  <c r="AD19" i="24"/>
  <c r="AF17" i="24"/>
  <c r="AD16" i="24"/>
  <c r="P18" i="24"/>
  <c r="N17" i="24"/>
  <c r="N40" i="24"/>
  <c r="AK41" i="24"/>
  <c r="AK38" i="24"/>
  <c r="W41" i="24"/>
  <c r="W39" i="24"/>
  <c r="W37" i="24"/>
  <c r="AA39" i="24"/>
  <c r="AC41" i="24"/>
  <c r="AC39" i="24"/>
  <c r="AC37" i="24"/>
  <c r="AB41" i="24"/>
  <c r="AB39" i="24"/>
  <c r="AB37" i="24"/>
  <c r="U42" i="24"/>
  <c r="T42" i="24"/>
  <c r="W42" i="24"/>
  <c r="V41" i="24"/>
  <c r="V40" i="24"/>
  <c r="V39" i="24"/>
  <c r="V38" i="24"/>
  <c r="V37" i="24"/>
  <c r="V36" i="24"/>
  <c r="V42" i="24" s="1"/>
  <c r="AC20" i="23"/>
  <c r="C32" i="23"/>
  <c r="C31" i="23" s="1"/>
  <c r="AC41" i="23"/>
  <c r="AB41" i="23" s="1"/>
  <c r="AC35" i="23"/>
  <c r="AF20" i="24" l="1"/>
  <c r="AC20" i="24"/>
  <c r="AB20" i="24"/>
  <c r="P20" i="24"/>
  <c r="L20" i="24"/>
  <c r="V20" i="24"/>
  <c r="AC42" i="24"/>
  <c r="N42" i="24"/>
  <c r="AD42" i="24"/>
  <c r="AA42" i="24"/>
  <c r="AB35" i="23"/>
  <c r="AB42" i="23" s="1"/>
  <c r="AC42" i="23"/>
  <c r="C3" i="23"/>
  <c r="G3" i="23"/>
  <c r="H3" i="23"/>
  <c r="C4" i="23"/>
  <c r="G4" i="23"/>
  <c r="N4" i="23"/>
  <c r="O4" i="23"/>
  <c r="P4" i="23"/>
  <c r="T4" i="23"/>
  <c r="V4" i="23"/>
  <c r="W4" i="23"/>
  <c r="X4" i="23"/>
  <c r="Y4" i="23"/>
  <c r="AB4" i="23"/>
  <c r="AC4" i="23"/>
  <c r="AF4" i="23"/>
  <c r="AG4" i="23"/>
  <c r="C5" i="23"/>
  <c r="M5" i="23"/>
  <c r="N5" i="23"/>
  <c r="O5" i="23"/>
  <c r="P5" i="23"/>
  <c r="T5" i="23"/>
  <c r="V5" i="23"/>
  <c r="W5" i="23"/>
  <c r="X5" i="23"/>
  <c r="Y5" i="23"/>
  <c r="AB5" i="23"/>
  <c r="AC5" i="23"/>
  <c r="AF5" i="23"/>
  <c r="AG5" i="23"/>
  <c r="C6" i="23"/>
  <c r="M6" i="23"/>
  <c r="N6" i="23"/>
  <c r="O6" i="23"/>
  <c r="P6" i="23"/>
  <c r="Q6" i="23"/>
  <c r="T6" i="23"/>
  <c r="V6" i="23"/>
  <c r="W6" i="23"/>
  <c r="X6" i="23"/>
  <c r="Y6" i="23"/>
  <c r="AB6" i="23"/>
  <c r="AC6" i="23"/>
  <c r="AF6" i="23"/>
  <c r="AG6" i="23"/>
  <c r="C7" i="23"/>
  <c r="L7" i="23"/>
  <c r="N7" i="23"/>
  <c r="O7" i="23"/>
  <c r="P7" i="23"/>
  <c r="T7" i="23"/>
  <c r="V7" i="23"/>
  <c r="W7" i="23"/>
  <c r="X7" i="23"/>
  <c r="Y7" i="23"/>
  <c r="AB7" i="23"/>
  <c r="AC7" i="23"/>
  <c r="AF7" i="23"/>
  <c r="AG7" i="23"/>
  <c r="C8" i="23"/>
  <c r="G8" i="23"/>
  <c r="N8" i="23"/>
  <c r="O8" i="23"/>
  <c r="P8" i="23"/>
  <c r="T8" i="23"/>
  <c r="V8" i="23"/>
  <c r="W8" i="23"/>
  <c r="X8" i="23"/>
  <c r="Y8" i="23"/>
  <c r="AB8" i="23"/>
  <c r="AC8" i="23"/>
  <c r="AF8" i="23"/>
  <c r="AG8" i="23"/>
  <c r="C9" i="23"/>
  <c r="E9" i="23"/>
  <c r="G9" i="23"/>
  <c r="H9" i="23"/>
  <c r="N9" i="23"/>
  <c r="O9" i="23"/>
  <c r="P9" i="23"/>
  <c r="T9" i="23"/>
  <c r="U9" i="23"/>
  <c r="V9" i="23"/>
  <c r="W9" i="23"/>
  <c r="X9" i="23"/>
  <c r="Y9" i="23"/>
  <c r="AB9" i="23"/>
  <c r="AC9" i="23"/>
  <c r="AD9" i="23"/>
  <c r="AE9" i="23"/>
  <c r="AF9" i="23"/>
  <c r="AG9" i="23"/>
  <c r="C10" i="23"/>
  <c r="H10" i="23"/>
  <c r="N10" i="23"/>
  <c r="O10" i="23"/>
  <c r="P10" i="23"/>
  <c r="T10" i="23"/>
  <c r="V10" i="23"/>
  <c r="W10" i="23"/>
  <c r="X10" i="23"/>
  <c r="Y10" i="23"/>
  <c r="AB10" i="23"/>
  <c r="AF10" i="23"/>
  <c r="AG10" i="23"/>
  <c r="L11" i="23"/>
  <c r="M11" i="23"/>
  <c r="N11" i="23"/>
  <c r="O11" i="23"/>
  <c r="P11" i="23"/>
  <c r="T11" i="23"/>
  <c r="U11" i="23"/>
  <c r="V11" i="23"/>
  <c r="W11" i="23"/>
  <c r="X11" i="23"/>
  <c r="Y11" i="23"/>
  <c r="AB11" i="23"/>
  <c r="AC11" i="23"/>
  <c r="AD11" i="23"/>
  <c r="AE11" i="23"/>
  <c r="AF11" i="23"/>
  <c r="AG11" i="23"/>
  <c r="G13" i="23"/>
  <c r="N13" i="23"/>
  <c r="P13" i="23"/>
  <c r="W13" i="23"/>
  <c r="AD13" i="23"/>
  <c r="AE13" i="23"/>
  <c r="AF13" i="23"/>
  <c r="G14" i="23"/>
  <c r="H14" i="23"/>
  <c r="N14" i="23"/>
  <c r="P14" i="23"/>
  <c r="W14" i="23"/>
  <c r="AD14" i="23"/>
  <c r="AE14" i="23"/>
  <c r="AF14" i="23"/>
  <c r="G15" i="23"/>
  <c r="I15" i="23"/>
  <c r="N15" i="23"/>
  <c r="P15" i="23"/>
  <c r="W15" i="23"/>
  <c r="AD15" i="23"/>
  <c r="AE15" i="23"/>
  <c r="AF15" i="23"/>
  <c r="G16" i="23"/>
  <c r="H16" i="23"/>
  <c r="N16" i="23"/>
  <c r="P16" i="23"/>
  <c r="W16" i="23"/>
  <c r="AD16" i="23"/>
  <c r="AE16" i="23"/>
  <c r="AF16" i="23"/>
  <c r="G17" i="23"/>
  <c r="N17" i="23"/>
  <c r="P17" i="23"/>
  <c r="W17" i="23"/>
  <c r="AD17" i="23"/>
  <c r="AE17" i="23"/>
  <c r="AF17" i="23"/>
  <c r="N18" i="23"/>
  <c r="AD18" i="23"/>
  <c r="AE18" i="23"/>
  <c r="N19" i="23"/>
  <c r="P19" i="23"/>
  <c r="W19" i="23"/>
  <c r="AD19" i="23"/>
  <c r="AE19" i="23"/>
  <c r="AF19" i="23"/>
  <c r="N20" i="23"/>
  <c r="P20" i="23"/>
  <c r="W20" i="23"/>
  <c r="AD20" i="23"/>
  <c r="AE20" i="23"/>
  <c r="AF20" i="23"/>
  <c r="G23" i="23"/>
  <c r="H23" i="23"/>
  <c r="I23" i="23"/>
  <c r="G24" i="23"/>
  <c r="H24" i="23"/>
  <c r="I24" i="23"/>
  <c r="G25" i="23"/>
  <c r="H25" i="23"/>
  <c r="I25" i="23"/>
  <c r="G26" i="23"/>
  <c r="H26" i="23"/>
  <c r="I26" i="23"/>
  <c r="L26" i="23"/>
  <c r="M26" i="23"/>
  <c r="N26" i="23"/>
  <c r="O26" i="23"/>
  <c r="T26" i="23"/>
  <c r="V26" i="23"/>
  <c r="AA26" i="23"/>
  <c r="AB26" i="23"/>
  <c r="AC26" i="23"/>
  <c r="AH26" i="23"/>
  <c r="AJ26" i="23"/>
  <c r="AK26" i="23"/>
  <c r="G27" i="23"/>
  <c r="H27" i="23"/>
  <c r="I27" i="23"/>
  <c r="L27" i="23"/>
  <c r="M27" i="23"/>
  <c r="O27" i="23"/>
  <c r="T27" i="23"/>
  <c r="U27" i="23"/>
  <c r="V27" i="23"/>
  <c r="G28" i="23"/>
  <c r="H28" i="23"/>
  <c r="I28" i="23"/>
  <c r="L28" i="23"/>
  <c r="M28" i="23"/>
  <c r="O28" i="23"/>
  <c r="T28" i="23"/>
  <c r="U28" i="23"/>
  <c r="V28" i="23"/>
  <c r="G29" i="23"/>
  <c r="H29" i="23"/>
  <c r="I29" i="23"/>
  <c r="L29" i="23"/>
  <c r="M29" i="23"/>
  <c r="O29" i="23"/>
  <c r="T29" i="23"/>
  <c r="U29" i="23"/>
  <c r="V29" i="23"/>
  <c r="G30" i="23"/>
  <c r="H30" i="23"/>
  <c r="I30" i="23"/>
  <c r="L30" i="23"/>
  <c r="M30" i="23"/>
  <c r="O30" i="23"/>
  <c r="T30" i="23"/>
  <c r="U30" i="23"/>
  <c r="V30" i="23"/>
  <c r="L31" i="23"/>
  <c r="N31" i="23"/>
  <c r="O31" i="23"/>
  <c r="R31" i="23"/>
  <c r="V31" i="23"/>
  <c r="W31" i="23"/>
  <c r="AA31" i="23"/>
  <c r="AD31" i="23"/>
  <c r="G32" i="23"/>
  <c r="H32" i="23"/>
  <c r="I32" i="23"/>
  <c r="L32" i="23"/>
  <c r="N32" i="23"/>
  <c r="O32" i="23"/>
  <c r="AA32" i="23"/>
  <c r="AB32" i="23"/>
  <c r="AC32" i="23"/>
  <c r="AD32" i="23"/>
  <c r="AH32" i="23"/>
  <c r="AJ32" i="23"/>
  <c r="AK32" i="23"/>
  <c r="L33" i="23"/>
  <c r="M33" i="23"/>
  <c r="N33" i="23"/>
  <c r="O33" i="23"/>
  <c r="R33" i="23"/>
  <c r="T33" i="23"/>
  <c r="U33" i="23"/>
  <c r="V33" i="23"/>
  <c r="W33" i="23"/>
  <c r="X33" i="23"/>
  <c r="AA33" i="23"/>
  <c r="AB33" i="23"/>
  <c r="AC33" i="23"/>
  <c r="AD33" i="23"/>
  <c r="AE33" i="23"/>
  <c r="AH33" i="23"/>
  <c r="AJ33" i="23"/>
  <c r="AK33" i="23"/>
  <c r="AL33" i="23"/>
</calcChain>
</file>

<file path=xl/sharedStrings.xml><?xml version="1.0" encoding="utf-8"?>
<sst xmlns="http://schemas.openxmlformats.org/spreadsheetml/2006/main" count="377" uniqueCount="91">
  <si>
    <t>DADOS</t>
  </si>
  <si>
    <t>VARIÁVEIS</t>
  </si>
  <si>
    <t>Aliment.</t>
  </si>
  <si>
    <t>REATOR</t>
  </si>
  <si>
    <t>LAVADORA 1</t>
  </si>
  <si>
    <t>STRIPPING</t>
  </si>
  <si>
    <t>ξ1</t>
  </si>
  <si>
    <t>c. 1</t>
  </si>
  <si>
    <t>7c</t>
  </si>
  <si>
    <t>BM</t>
  </si>
  <si>
    <t>5 (a)</t>
  </si>
  <si>
    <t>8c (a)</t>
  </si>
  <si>
    <t>6 (f)</t>
  </si>
  <si>
    <t>7a (t)</t>
  </si>
  <si>
    <t>7b (p)</t>
  </si>
  <si>
    <t>6 (a)</t>
  </si>
  <si>
    <t>14c (a)</t>
  </si>
  <si>
    <t>8 (f)</t>
  </si>
  <si>
    <t>8d (p)</t>
  </si>
  <si>
    <t>10 (t)</t>
  </si>
  <si>
    <t>ξ2</t>
  </si>
  <si>
    <t>c. 2</t>
  </si>
  <si>
    <t>OE</t>
  </si>
  <si>
    <t>Prod. OE</t>
  </si>
  <si>
    <t>Rec. Reat</t>
  </si>
  <si>
    <t>O2</t>
  </si>
  <si>
    <t>Cons. O2</t>
  </si>
  <si>
    <t>N2</t>
  </si>
  <si>
    <t>Cons. Et.</t>
  </si>
  <si>
    <t>Make-up</t>
  </si>
  <si>
    <t>C2H4</t>
  </si>
  <si>
    <t>Prod. CO2</t>
  </si>
  <si>
    <t>Pur. H2O</t>
  </si>
  <si>
    <t>CO2</t>
  </si>
  <si>
    <t>Prod. H2O</t>
  </si>
  <si>
    <t>H2O</t>
  </si>
  <si>
    <t>Prod. Ac.</t>
  </si>
  <si>
    <t>CH3COH</t>
  </si>
  <si>
    <t>Total</t>
  </si>
  <si>
    <t>Rec Ac</t>
  </si>
  <si>
    <t>RESTRIÇÕES</t>
  </si>
  <si>
    <t>Rec OE</t>
  </si>
  <si>
    <t>H2O/OE (ali. Lav. 1)</t>
  </si>
  <si>
    <t>Ab N2</t>
  </si>
  <si>
    <t>Ali. Reator O2</t>
  </si>
  <si>
    <t>Ab O2</t>
  </si>
  <si>
    <t>H2O/g (ali. Lav. 2)</t>
  </si>
  <si>
    <t>Ab CO2</t>
  </si>
  <si>
    <t>BM de N2</t>
  </si>
  <si>
    <t>Ab C2H4</t>
  </si>
  <si>
    <t>Produção</t>
  </si>
  <si>
    <t>X H2O (t)</t>
  </si>
  <si>
    <t>H2O Restri</t>
  </si>
  <si>
    <t>Ph2o</t>
  </si>
  <si>
    <t>Pt</t>
  </si>
  <si>
    <t>CONDENSADOR</t>
  </si>
  <si>
    <t>LAVADORA 2</t>
  </si>
  <si>
    <t>DESTILADORA</t>
  </si>
  <si>
    <t>VASO DE SEPARAÇÃO</t>
  </si>
  <si>
    <t>X OE (f)</t>
  </si>
  <si>
    <t>10 (a)</t>
  </si>
  <si>
    <t>11 (t)</t>
  </si>
  <si>
    <t>12 (f)</t>
  </si>
  <si>
    <t>9 M (a)</t>
  </si>
  <si>
    <t>11 (a)</t>
  </si>
  <si>
    <t>13 (t)</t>
  </si>
  <si>
    <t>14 (f)</t>
  </si>
  <si>
    <t>14b (p)</t>
  </si>
  <si>
    <t>12 (a)</t>
  </si>
  <si>
    <t>15c (a)</t>
  </si>
  <si>
    <t>15 (t)</t>
  </si>
  <si>
    <t>16 (f)</t>
  </si>
  <si>
    <t>15b (a)</t>
  </si>
  <si>
    <t>17 (g)</t>
  </si>
  <si>
    <t>15c (r)</t>
  </si>
  <si>
    <t>15d (p)</t>
  </si>
  <si>
    <t>Rem g</t>
  </si>
  <si>
    <t>kg/h</t>
  </si>
  <si>
    <t>kmol/h</t>
  </si>
  <si>
    <t>CH3CHO</t>
  </si>
  <si>
    <t>Frac. Ac.</t>
  </si>
  <si>
    <t>MM (kg/kmol)</t>
  </si>
  <si>
    <t>C2H4O</t>
  </si>
  <si>
    <t>tempo</t>
  </si>
  <si>
    <t>h</t>
  </si>
  <si>
    <t>BM Global</t>
  </si>
  <si>
    <t>Ent+Ger</t>
  </si>
  <si>
    <t>Sai+Cons</t>
  </si>
  <si>
    <t>Acúmulo</t>
  </si>
  <si>
    <t>%</t>
  </si>
  <si>
    <t>9a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</si>
</sst>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.5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A398E8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BCB4EE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E4C9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E6C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6CD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1"/>
    <xf numFmtId="0" fontId="1" fillId="2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/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13" borderId="0" xfId="0" applyFill="1"/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0" fillId="6" borderId="0" xfId="0" applyFill="1"/>
    <xf numFmtId="0" fontId="0" fillId="22" borderId="0" xfId="0" applyFill="1"/>
    <xf numFmtId="164" fontId="0" fillId="13" borderId="0" xfId="0" applyNumberFormat="1" applyFill="1"/>
    <xf numFmtId="2" fontId="0" fillId="13" borderId="0" xfId="0" applyNumberFormat="1" applyFill="1"/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vertic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 vertical="center"/>
    </xf>
  </cellXfs>
  <cellStyles count="1">
    <cellStyle name="Normal" xfId="0" builtinId="0"/>
  </cellStyles>
  <dxfs count="12">
    <dxf>
      <font>
        <color rgb="FFFFFFFF"/>
      </font>
      <fill>
        <patternFill patternType="solid">
          <bgColor rgb="FFFF6699"/>
        </patternFill>
      </fill>
    </dxf>
    <dxf>
      <font>
        <color rgb="FFFFFFFF"/>
      </font>
      <fill>
        <patternFill patternType="solid">
          <bgColor rgb="FFFF6699"/>
        </patternFill>
      </fill>
    </dxf>
    <dxf>
      <font>
        <color rgb="FFFFFFFF"/>
      </font>
      <fill>
        <patternFill patternType="solid">
          <bgColor rgb="FFFF6699"/>
        </patternFill>
      </fill>
    </dxf>
    <dxf>
      <font>
        <color rgb="FFFFFFFF"/>
      </font>
      <fill>
        <patternFill patternType="solid">
          <bgColor rgb="FFFF6699"/>
        </patternFill>
      </fill>
    </dxf>
    <dxf>
      <font>
        <color rgb="FFFFFFFF"/>
      </font>
      <fill>
        <patternFill patternType="solid">
          <bgColor rgb="FFFF6699"/>
        </patternFill>
      </fill>
    </dxf>
    <dxf>
      <font>
        <color rgb="FFFFFFFF"/>
      </font>
      <fill>
        <patternFill patternType="solid">
          <bgColor rgb="FFFF6699"/>
        </patternFill>
      </fill>
    </dxf>
    <dxf>
      <font>
        <color rgb="FFFFFFFF"/>
      </font>
      <fill>
        <patternFill patternType="solid">
          <bgColor rgb="FFFF6699"/>
        </patternFill>
      </fill>
    </dxf>
    <dxf>
      <font>
        <color rgb="FFFFFFFF"/>
      </font>
      <fill>
        <patternFill patternType="solid">
          <bgColor rgb="FFFF6699"/>
        </patternFill>
      </fill>
    </dxf>
    <dxf>
      <font>
        <color rgb="FFFFFFFF"/>
      </font>
      <fill>
        <patternFill patternType="solid">
          <bgColor rgb="FFFF6699"/>
        </patternFill>
      </fill>
    </dxf>
    <dxf>
      <font>
        <color rgb="FFFFFFFF"/>
      </font>
      <fill>
        <patternFill patternType="solid">
          <bgColor rgb="FFFF6699"/>
        </patternFill>
      </fill>
    </dxf>
    <dxf>
      <font>
        <color rgb="FFFFFFFF"/>
      </font>
      <fill>
        <patternFill patternType="solid">
          <bgColor rgb="FFFF6699"/>
        </patternFill>
      </fill>
    </dxf>
    <dxf>
      <font>
        <color rgb="FFFFFFFF"/>
      </font>
      <fill>
        <patternFill patternType="solid">
          <bgColor rgb="FFFF6699"/>
        </patternFill>
      </fill>
    </dxf>
  </dxfs>
  <tableStyles count="0" defaultTableStyle="TableStyleMedium2" defaultPivotStyle="PivotStyleLight16"/>
  <colors>
    <mruColors>
      <color rgb="FFE6CDFF"/>
      <color rgb="FFCC99FF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6128F-F98E-4628-8B70-E9FDEC9919A8}">
  <dimension ref="B2:AL43"/>
  <sheetViews>
    <sheetView tabSelected="1" topLeftCell="I15" zoomScaleNormal="100" workbookViewId="0">
      <selection activeCell="AD32" sqref="AD32"/>
    </sheetView>
  </sheetViews>
  <sheetFormatPr defaultRowHeight="15" x14ac:dyDescent="0.25"/>
  <cols>
    <col min="7" max="7" width="9.140625" customWidth="1"/>
    <col min="12" max="14" width="9.140625" customWidth="1"/>
    <col min="18" max="18" width="9.140625" customWidth="1"/>
    <col min="22" max="22" width="9.140625" customWidth="1"/>
  </cols>
  <sheetData>
    <row r="2" spans="2:33" x14ac:dyDescent="0.25">
      <c r="B2" s="33" t="s">
        <v>0</v>
      </c>
      <c r="C2" s="33"/>
      <c r="F2" s="39" t="s">
        <v>1</v>
      </c>
      <c r="G2" s="39"/>
      <c r="H2" s="1" t="s">
        <v>2</v>
      </c>
      <c r="K2" s="40" t="s">
        <v>3</v>
      </c>
      <c r="L2" s="40"/>
      <c r="M2" s="40"/>
      <c r="N2" s="40"/>
      <c r="O2" s="40"/>
      <c r="P2" s="40"/>
      <c r="Q2" s="40"/>
      <c r="S2" s="41" t="s">
        <v>4</v>
      </c>
      <c r="T2" s="41"/>
      <c r="U2" s="41"/>
      <c r="V2" s="41"/>
      <c r="W2" s="41"/>
      <c r="X2" s="41"/>
      <c r="Y2" s="41"/>
      <c r="AA2" s="32" t="s">
        <v>5</v>
      </c>
      <c r="AB2" s="32"/>
      <c r="AC2" s="32"/>
      <c r="AD2" s="32"/>
      <c r="AE2" s="32"/>
      <c r="AF2" s="32"/>
      <c r="AG2" s="32"/>
    </row>
    <row r="3" spans="2:33" x14ac:dyDescent="0.25">
      <c r="B3" s="2" t="s">
        <v>6</v>
      </c>
      <c r="C3" s="3">
        <f ca="1">0.1036*0.79*N7</f>
        <v>229.06309596710472</v>
      </c>
      <c r="F3" s="1" t="s">
        <v>7</v>
      </c>
      <c r="G3" s="4">
        <f ca="1">H10-P7</f>
        <v>2797.591159466192</v>
      </c>
      <c r="H3" s="42">
        <f ca="1">G3+G4</f>
        <v>9458.9024850656388</v>
      </c>
      <c r="K3" s="24"/>
      <c r="L3" s="24">
        <v>1</v>
      </c>
      <c r="M3" s="24">
        <v>2</v>
      </c>
      <c r="N3" s="24">
        <v>3</v>
      </c>
      <c r="O3" s="24">
        <v>5</v>
      </c>
      <c r="P3" s="24" t="s">
        <v>8</v>
      </c>
      <c r="Q3" s="24" t="s">
        <v>9</v>
      </c>
      <c r="S3" s="25"/>
      <c r="T3" s="25" t="s">
        <v>10</v>
      </c>
      <c r="U3" s="25" t="s">
        <v>11</v>
      </c>
      <c r="V3" s="25" t="s">
        <v>12</v>
      </c>
      <c r="W3" s="25" t="s">
        <v>13</v>
      </c>
      <c r="X3" s="25" t="s">
        <v>14</v>
      </c>
      <c r="Y3" s="25" t="s">
        <v>9</v>
      </c>
      <c r="AA3" s="18"/>
      <c r="AB3" s="18" t="s">
        <v>15</v>
      </c>
      <c r="AC3" s="18" t="s">
        <v>16</v>
      </c>
      <c r="AD3" s="18" t="s">
        <v>17</v>
      </c>
      <c r="AE3" s="18" t="s">
        <v>18</v>
      </c>
      <c r="AF3" s="18" t="s">
        <v>19</v>
      </c>
      <c r="AG3" s="18" t="s">
        <v>9</v>
      </c>
    </row>
    <row r="4" spans="2:33" x14ac:dyDescent="0.25">
      <c r="B4" s="19" t="s">
        <v>20</v>
      </c>
      <c r="C4" s="3">
        <f ca="1">0.1036*0.21*N7</f>
        <v>60.89019006720504</v>
      </c>
      <c r="F4" s="1" t="s">
        <v>21</v>
      </c>
      <c r="G4" s="4">
        <f ca="1">((H10/2)-P5)/0.21</f>
        <v>6661.3113255994476</v>
      </c>
      <c r="H4" s="42"/>
      <c r="K4" s="24" t="s">
        <v>22</v>
      </c>
      <c r="L4" s="5"/>
      <c r="M4" s="5"/>
      <c r="N4" s="5">
        <f ca="1">P4</f>
        <v>5.3749783124415918E-4</v>
      </c>
      <c r="O4" s="5">
        <f ca="1">C5-C10+N4</f>
        <v>226.3148763133307</v>
      </c>
      <c r="P4" s="5">
        <f t="shared" ref="P4:P10" ca="1" si="0">G$5*W4</f>
        <v>5.3749783124415918E-4</v>
      </c>
      <c r="Q4" s="24"/>
      <c r="S4" s="25" t="s">
        <v>22</v>
      </c>
      <c r="T4" s="6">
        <f t="shared" ref="T4:T10" ca="1" si="1">O4</f>
        <v>226.3148763133307</v>
      </c>
      <c r="U4" s="6"/>
      <c r="V4" s="6">
        <f ca="1">C13*T4</f>
        <v>225.18330193176405</v>
      </c>
      <c r="W4" s="6">
        <f ca="1">T4-V4</f>
        <v>1.1315743815666508</v>
      </c>
      <c r="X4" s="6">
        <f t="shared" ref="X4:X10" ca="1" si="2">W4-P4</f>
        <v>1.1310368837354066</v>
      </c>
      <c r="Y4" s="25">
        <f t="shared" ref="Y4:Y11" ca="1" si="3">(T4+U4)-(W4+V4)</f>
        <v>0</v>
      </c>
      <c r="AA4" s="18" t="s">
        <v>22</v>
      </c>
      <c r="AB4" s="7">
        <f t="shared" ref="AB4:AB10" ca="1" si="4">V4</f>
        <v>225.18330193176405</v>
      </c>
      <c r="AC4" s="7">
        <f t="shared" ref="AC4:AC10" ca="1" si="5">V26</f>
        <v>0.2254081971774724</v>
      </c>
      <c r="AD4" s="7"/>
      <c r="AE4" s="7"/>
      <c r="AF4" s="7">
        <f ca="1">(AB4+AC4)-AD4</f>
        <v>225.40871012894152</v>
      </c>
      <c r="AG4" s="18">
        <f t="shared" ref="AG4:AG11" ca="1" si="6">(AB4+AC4)-(AD4+AF4)</f>
        <v>0</v>
      </c>
    </row>
    <row r="5" spans="2:33" x14ac:dyDescent="0.25">
      <c r="B5" s="8" t="s">
        <v>23</v>
      </c>
      <c r="C5" s="3">
        <f ca="1">C3</f>
        <v>229.06309596710472</v>
      </c>
      <c r="F5" s="1" t="s">
        <v>24</v>
      </c>
      <c r="G5" s="4">
        <v>4.7500000000000005E-4</v>
      </c>
      <c r="H5">
        <f>G5*100</f>
        <v>4.7500000000000007E-2</v>
      </c>
      <c r="I5" t="s">
        <v>89</v>
      </c>
      <c r="K5" s="24" t="s">
        <v>25</v>
      </c>
      <c r="L5" s="5"/>
      <c r="M5" s="5">
        <f ca="1">M14*G4</f>
        <v>1398.8753783758839</v>
      </c>
      <c r="N5" s="5">
        <f ca="1">M5+P5</f>
        <v>1399.3884461115335</v>
      </c>
      <c r="O5" s="5">
        <f ca="1">N5+C6</f>
        <v>1102.1863279263662</v>
      </c>
      <c r="P5" s="5">
        <f t="shared" ca="1" si="0"/>
        <v>0.51306773564972352</v>
      </c>
      <c r="Q5" s="24"/>
      <c r="S5" s="25" t="s">
        <v>25</v>
      </c>
      <c r="T5" s="6">
        <f t="shared" ca="1" si="1"/>
        <v>1102.1863279263662</v>
      </c>
      <c r="U5" s="6"/>
      <c r="V5" s="6">
        <f ca="1">C15*T5</f>
        <v>22.043726558527325</v>
      </c>
      <c r="W5" s="6">
        <f ca="1">T5-V5</f>
        <v>1080.1426013678388</v>
      </c>
      <c r="X5" s="6">
        <f t="shared" ca="1" si="2"/>
        <v>1079.6295336321891</v>
      </c>
      <c r="Y5" s="25">
        <f t="shared" ca="1" si="3"/>
        <v>0</v>
      </c>
      <c r="AA5" s="18" t="s">
        <v>25</v>
      </c>
      <c r="AB5" s="7">
        <f t="shared" ca="1" si="4"/>
        <v>22.043726558527325</v>
      </c>
      <c r="AC5" s="7">
        <f t="shared" ca="1" si="5"/>
        <v>2.2065792350876023E-2</v>
      </c>
      <c r="AD5" s="7"/>
      <c r="AE5" s="7"/>
      <c r="AF5" s="7">
        <f ca="1">(AB5+AC5)-AD5</f>
        <v>22.065792350878201</v>
      </c>
      <c r="AG5" s="18">
        <f t="shared" ca="1" si="6"/>
        <v>0</v>
      </c>
    </row>
    <row r="6" spans="2:33" x14ac:dyDescent="0.25">
      <c r="B6" s="8" t="s">
        <v>26</v>
      </c>
      <c r="C6" s="3">
        <f ca="1">-(C3/2)-(3*C4)</f>
        <v>-297.20211818516748</v>
      </c>
      <c r="F6" s="1"/>
      <c r="G6" s="4"/>
      <c r="K6" s="24" t="s">
        <v>27</v>
      </c>
      <c r="L6" s="5"/>
      <c r="M6" s="5">
        <f ca="1">M15*G4</f>
        <v>5262.4359472235637</v>
      </c>
      <c r="N6" s="5">
        <f ca="1">M6+P6</f>
        <v>5264.9117719843398</v>
      </c>
      <c r="O6" s="5">
        <f ca="1">N6</f>
        <v>5264.9117719843398</v>
      </c>
      <c r="P6" s="5">
        <f t="shared" ca="1" si="0"/>
        <v>2.4758247607756361</v>
      </c>
      <c r="Q6" s="24">
        <f ca="1">(M6+P6)-O6</f>
        <v>0</v>
      </c>
      <c r="S6" s="25" t="s">
        <v>27</v>
      </c>
      <c r="T6" s="6">
        <f t="shared" ca="1" si="1"/>
        <v>5264.9117719843398</v>
      </c>
      <c r="U6" s="6"/>
      <c r="V6" s="6">
        <f ca="1">C14*T6</f>
        <v>52.649117719843396</v>
      </c>
      <c r="W6" s="6">
        <f ca="1">T6-V6</f>
        <v>5212.2626542644966</v>
      </c>
      <c r="X6" s="6">
        <f t="shared" ca="1" si="2"/>
        <v>5209.7868295037206</v>
      </c>
      <c r="Y6" s="25">
        <f t="shared" ca="1" si="3"/>
        <v>0</v>
      </c>
      <c r="AA6" s="18" t="s">
        <v>27</v>
      </c>
      <c r="AB6" s="7">
        <f t="shared" ca="1" si="4"/>
        <v>52.649117719843396</v>
      </c>
      <c r="AC6" s="7">
        <f t="shared" ca="1" si="5"/>
        <v>5.2701819539379358E-2</v>
      </c>
      <c r="AD6" s="7"/>
      <c r="AE6" s="7"/>
      <c r="AF6" s="7">
        <f ca="1">(AB6+AC6)-AD6</f>
        <v>52.701819539382775</v>
      </c>
      <c r="AG6" s="18">
        <f t="shared" ca="1" si="6"/>
        <v>0</v>
      </c>
    </row>
    <row r="7" spans="2:33" x14ac:dyDescent="0.25">
      <c r="B7" s="8" t="s">
        <v>28</v>
      </c>
      <c r="C7" s="3">
        <f ca="1">-C4-C3</f>
        <v>-289.95328603430977</v>
      </c>
      <c r="F7" s="1" t="s">
        <v>29</v>
      </c>
      <c r="G7" s="4"/>
      <c r="K7" s="24" t="s">
        <v>30</v>
      </c>
      <c r="L7" s="5">
        <f ca="1">G3</f>
        <v>2797.591159466192</v>
      </c>
      <c r="M7" s="5"/>
      <c r="N7" s="5">
        <f ca="1">L7+P7</f>
        <v>2798.7768922230671</v>
      </c>
      <c r="O7" s="5">
        <f ca="1">N7+C7</f>
        <v>2508.8236061887574</v>
      </c>
      <c r="P7" s="5">
        <f t="shared" ca="1" si="0"/>
        <v>1.1857327568749614</v>
      </c>
      <c r="Q7" s="24"/>
      <c r="S7" s="25" t="s">
        <v>30</v>
      </c>
      <c r="T7" s="6">
        <f t="shared" ca="1" si="1"/>
        <v>2508.8236061887574</v>
      </c>
      <c r="U7" s="6"/>
      <c r="V7" s="6">
        <f ca="1">C17*T7</f>
        <v>12.544118030943787</v>
      </c>
      <c r="W7" s="6">
        <f ca="1">T7-V7</f>
        <v>2496.2794881578134</v>
      </c>
      <c r="X7" s="6">
        <f t="shared" ca="1" si="2"/>
        <v>2495.0937554009383</v>
      </c>
      <c r="Y7" s="25">
        <f t="shared" ca="1" si="3"/>
        <v>0</v>
      </c>
      <c r="AA7" s="18" t="s">
        <v>30</v>
      </c>
      <c r="AB7" s="7">
        <f t="shared" ca="1" si="4"/>
        <v>12.544118030943787</v>
      </c>
      <c r="AC7" s="7">
        <f t="shared" ca="1" si="5"/>
        <v>1.2556674705647808E-2</v>
      </c>
      <c r="AD7" s="7"/>
      <c r="AE7" s="7"/>
      <c r="AF7" s="7">
        <f ca="1">(AB7+AC7)-AD7</f>
        <v>12.556674705649435</v>
      </c>
      <c r="AG7" s="18">
        <f t="shared" ca="1" si="6"/>
        <v>0</v>
      </c>
    </row>
    <row r="8" spans="2:33" x14ac:dyDescent="0.25">
      <c r="B8" s="8" t="s">
        <v>31</v>
      </c>
      <c r="C8" s="3">
        <f ca="1">2*C4</f>
        <v>121.78038013441008</v>
      </c>
      <c r="F8" s="1" t="s">
        <v>32</v>
      </c>
      <c r="G8" s="4">
        <f ca="1">G9</f>
        <v>42.575133479633877</v>
      </c>
      <c r="K8" s="24" t="s">
        <v>33</v>
      </c>
      <c r="L8" s="5"/>
      <c r="M8" s="5"/>
      <c r="N8" s="5">
        <f ca="1">P8</f>
        <v>5.3820258023357478E-2</v>
      </c>
      <c r="O8" s="5">
        <f ca="1">N8+C8</f>
        <v>121.83420039243344</v>
      </c>
      <c r="P8" s="5">
        <f t="shared" ca="1" si="0"/>
        <v>5.3820258023357478E-2</v>
      </c>
      <c r="Q8" s="24"/>
      <c r="S8" s="25" t="s">
        <v>33</v>
      </c>
      <c r="T8" s="6">
        <f t="shared" ca="1" si="1"/>
        <v>121.83420039243344</v>
      </c>
      <c r="U8" s="6"/>
      <c r="V8" s="6">
        <f ca="1">C16*T8</f>
        <v>8.5283940274703411</v>
      </c>
      <c r="W8" s="6">
        <f ca="1">T8-V8</f>
        <v>113.3058063649631</v>
      </c>
      <c r="X8" s="6">
        <f t="shared" ca="1" si="2"/>
        <v>113.25198610693974</v>
      </c>
      <c r="Y8" s="25">
        <f t="shared" ca="1" si="3"/>
        <v>0</v>
      </c>
      <c r="AA8" s="18" t="s">
        <v>33</v>
      </c>
      <c r="AB8" s="7">
        <f t="shared" ca="1" si="4"/>
        <v>8.5283940274703411</v>
      </c>
      <c r="AC8" s="7">
        <f t="shared" ca="1" si="5"/>
        <v>8.5369309584280018E-3</v>
      </c>
      <c r="AD8" s="7"/>
      <c r="AE8" s="7"/>
      <c r="AF8" s="7">
        <f ca="1">(AB8+AC8)-AD8</f>
        <v>8.5369309584287691</v>
      </c>
      <c r="AG8" s="18">
        <f t="shared" ca="1" si="6"/>
        <v>0</v>
      </c>
    </row>
    <row r="9" spans="2:33" x14ac:dyDescent="0.25">
      <c r="B9" s="8" t="s">
        <v>34</v>
      </c>
      <c r="C9" s="3">
        <f ca="1">2*C4</f>
        <v>121.78038013441008</v>
      </c>
      <c r="E9">
        <f ca="1">+(1-0.999)*V4</f>
        <v>0.22518330193176425</v>
      </c>
      <c r="G9">
        <f ca="1">I32</f>
        <v>42.575133589580744</v>
      </c>
      <c r="H9">
        <f ca="1">(H14-P5)/M14</f>
        <v>6661.3113255994476</v>
      </c>
      <c r="K9" s="24" t="s">
        <v>35</v>
      </c>
      <c r="L9" s="5"/>
      <c r="M9" s="5"/>
      <c r="N9" s="5">
        <f ca="1">P9</f>
        <v>6.3530040197620269E-3</v>
      </c>
      <c r="O9" s="5">
        <f ca="1">C9+N9</f>
        <v>121.78673313842984</v>
      </c>
      <c r="P9" s="5">
        <f t="shared" ca="1" si="0"/>
        <v>6.3530040197620269E-3</v>
      </c>
      <c r="Q9" s="24"/>
      <c r="S9" s="25" t="s">
        <v>35</v>
      </c>
      <c r="T9" s="6">
        <f t="shared" ca="1" si="1"/>
        <v>121.78673313842984</v>
      </c>
      <c r="U9" s="6">
        <f ca="1">43*T4-T9</f>
        <v>9609.7529483347898</v>
      </c>
      <c r="V9" s="6">
        <f ca="1">U9+T9-W9</f>
        <v>9718.1649361684576</v>
      </c>
      <c r="W9" s="6">
        <f ca="1">W18*W11</f>
        <v>13.374745304762159</v>
      </c>
      <c r="X9" s="6">
        <f t="shared" ca="1" si="2"/>
        <v>13.368392300742398</v>
      </c>
      <c r="Y9" s="25">
        <f t="shared" ca="1" si="3"/>
        <v>0</v>
      </c>
      <c r="AA9" s="18" t="s">
        <v>35</v>
      </c>
      <c r="AB9" s="7">
        <f t="shared" ca="1" si="4"/>
        <v>9718.1649361684576</v>
      </c>
      <c r="AC9" s="7">
        <f t="shared" ca="1" si="5"/>
        <v>191.72243510867838</v>
      </c>
      <c r="AD9" s="7">
        <f ca="1">U9+R31+W31</f>
        <v>9844.0505169174739</v>
      </c>
      <c r="AE9" s="7">
        <f ca="1">AD9-U9</f>
        <v>234.29756858268411</v>
      </c>
      <c r="AF9" s="7">
        <f ca="1">AF18*AF11</f>
        <v>65.836854139762323</v>
      </c>
      <c r="AG9" s="18">
        <f t="shared" ca="1" si="6"/>
        <v>2.1989944798406214E-7</v>
      </c>
    </row>
    <row r="10" spans="2:33" x14ac:dyDescent="0.25">
      <c r="B10" s="8" t="s">
        <v>36</v>
      </c>
      <c r="C10" s="3">
        <f ca="1">1.2%*C5</f>
        <v>2.7487571516052567</v>
      </c>
      <c r="H10">
        <f ca="1">(C31+X4)/(0.988*0.1036*0.79)</f>
        <v>2798.7768922230671</v>
      </c>
      <c r="K10" s="24" t="s">
        <v>37</v>
      </c>
      <c r="L10" s="5"/>
      <c r="M10" s="5"/>
      <c r="N10" s="5">
        <f ca="1">P10</f>
        <v>0</v>
      </c>
      <c r="O10" s="5">
        <f ca="1">C10+N10</f>
        <v>2.7487571516052567</v>
      </c>
      <c r="P10" s="5">
        <f t="shared" ca="1" si="0"/>
        <v>0</v>
      </c>
      <c r="Q10" s="24"/>
      <c r="S10" s="25" t="s">
        <v>37</v>
      </c>
      <c r="T10" s="6">
        <f t="shared" ca="1" si="1"/>
        <v>2.7487571516052567</v>
      </c>
      <c r="U10" s="6"/>
      <c r="V10" s="6">
        <f ca="1">C12*T10</f>
        <v>2.7487571516052567</v>
      </c>
      <c r="W10" s="6">
        <f ca="1">T10-V10</f>
        <v>0</v>
      </c>
      <c r="X10" s="6">
        <f t="shared" ca="1" si="2"/>
        <v>0</v>
      </c>
      <c r="Y10" s="25">
        <f t="shared" ca="1" si="3"/>
        <v>0</v>
      </c>
      <c r="AA10" s="18" t="s">
        <v>37</v>
      </c>
      <c r="AB10" s="7">
        <f t="shared" ca="1" si="4"/>
        <v>2.7487571516052567</v>
      </c>
      <c r="AC10" s="7">
        <f t="shared" si="5"/>
        <v>0</v>
      </c>
      <c r="AD10" s="7"/>
      <c r="AE10" s="7"/>
      <c r="AF10" s="7">
        <f ca="1">(AB10+AC10)-AD10</f>
        <v>2.7487571516052567</v>
      </c>
      <c r="AG10" s="18">
        <f t="shared" ca="1" si="6"/>
        <v>0</v>
      </c>
    </row>
    <row r="11" spans="2:33" x14ac:dyDescent="0.25">
      <c r="B11" s="33" t="s">
        <v>4</v>
      </c>
      <c r="C11" s="33"/>
      <c r="K11" s="24" t="s">
        <v>38</v>
      </c>
      <c r="L11" s="5">
        <f ca="1">SUM(L4:L10)</f>
        <v>2797.591159466192</v>
      </c>
      <c r="M11" s="5">
        <f ca="1">SUM(M4:M10)</f>
        <v>6661.3113255994476</v>
      </c>
      <c r="N11" s="5">
        <f ca="1">SUM(N4:N10)</f>
        <v>9463.1378210788153</v>
      </c>
      <c r="O11" s="5">
        <f ca="1">SUM(O4:O10)</f>
        <v>9348.6062730952617</v>
      </c>
      <c r="P11" s="5">
        <f ca="1">G5*W11</f>
        <v>4.2353360131746847</v>
      </c>
      <c r="Q11" s="24"/>
      <c r="S11" s="25" t="s">
        <v>38</v>
      </c>
      <c r="T11" s="6">
        <f ca="1">SUM(T4:T10)</f>
        <v>9348.6062730952617</v>
      </c>
      <c r="U11" s="6">
        <f ca="1">SUM(U4:U10)</f>
        <v>9609.7529483347898</v>
      </c>
      <c r="V11" s="6">
        <f ca="1">SUM(V4:V10)</f>
        <v>10041.862351588612</v>
      </c>
      <c r="W11" s="6">
        <f ca="1">SUM(W4:W8,W10)/(1-W18)</f>
        <v>8916.4968698414395</v>
      </c>
      <c r="X11" s="6">
        <f ca="1">SUM(X4:X10)</f>
        <v>8912.2615338282649</v>
      </c>
      <c r="Y11" s="25">
        <f t="shared" ca="1" si="3"/>
        <v>0</v>
      </c>
      <c r="AA11" s="18" t="s">
        <v>38</v>
      </c>
      <c r="AB11" s="7">
        <f ca="1">SUM(AB4:AB10)</f>
        <v>10041.862351588612</v>
      </c>
      <c r="AC11" s="7">
        <f ca="1">SUM(AC4:AC10)</f>
        <v>192.04370452341018</v>
      </c>
      <c r="AD11" s="7">
        <f ca="1">SUM(AD4:AD10)</f>
        <v>9844.0505169174739</v>
      </c>
      <c r="AE11" s="7">
        <f ca="1">SUM(AE4:AE10)</f>
        <v>234.29756858268411</v>
      </c>
      <c r="AF11" s="7">
        <f ca="1">(AF4+AF5+AF6+AF7+AF8+AF10)/(1-AF18)</f>
        <v>389.85553898016059</v>
      </c>
      <c r="AG11" s="18">
        <f t="shared" ca="1" si="6"/>
        <v>2.1438791009131819E-7</v>
      </c>
    </row>
    <row r="12" spans="2:33" x14ac:dyDescent="0.25">
      <c r="B12" s="19" t="s">
        <v>39</v>
      </c>
      <c r="C12" s="3">
        <v>1</v>
      </c>
      <c r="E12" s="38" t="s">
        <v>40</v>
      </c>
      <c r="F12" s="38"/>
      <c r="G12" s="38"/>
      <c r="H12" s="38"/>
      <c r="K12" s="24"/>
      <c r="L12" s="24"/>
      <c r="M12" s="24"/>
      <c r="N12" s="24"/>
      <c r="O12" s="24"/>
      <c r="P12" s="24"/>
      <c r="Q12" s="24"/>
      <c r="S12" s="25"/>
      <c r="T12" s="25"/>
      <c r="U12" s="25"/>
      <c r="V12" s="25"/>
      <c r="W12" s="25"/>
      <c r="X12" s="25"/>
      <c r="Y12" s="25"/>
      <c r="AA12" s="18"/>
      <c r="AB12" s="18"/>
      <c r="AC12" s="18"/>
      <c r="AD12" s="18"/>
      <c r="AE12" s="18"/>
      <c r="AF12" s="18"/>
      <c r="AG12" s="18"/>
    </row>
    <row r="13" spans="2:33" x14ac:dyDescent="0.25">
      <c r="B13" s="19" t="s">
        <v>41</v>
      </c>
      <c r="C13" s="3">
        <v>0.995</v>
      </c>
      <c r="E13" s="38" t="s">
        <v>42</v>
      </c>
      <c r="F13" s="38"/>
      <c r="G13" s="9">
        <f ca="1">(U9+T9)/T4</f>
        <v>43</v>
      </c>
      <c r="H13" s="9">
        <f>43</f>
        <v>43</v>
      </c>
      <c r="K13" s="24" t="s">
        <v>22</v>
      </c>
      <c r="L13" s="5">
        <v>0</v>
      </c>
      <c r="M13" s="5">
        <v>0</v>
      </c>
      <c r="N13" s="5">
        <f t="shared" ref="N13:N19" ca="1" si="7">N4/N$11</f>
        <v>5.6799112662916222E-8</v>
      </c>
      <c r="O13" s="5"/>
      <c r="P13" s="5">
        <f t="shared" ref="P13:P19" ca="1" si="8">W13</f>
        <v>1.2690795478143574E-4</v>
      </c>
      <c r="Q13" s="24"/>
      <c r="S13" s="25" t="s">
        <v>22</v>
      </c>
      <c r="T13" s="6"/>
      <c r="U13" s="6"/>
      <c r="V13" s="6"/>
      <c r="W13" s="6">
        <f ca="1">W4/W11</f>
        <v>1.2690795478143574E-4</v>
      </c>
      <c r="X13" s="6"/>
      <c r="Y13" s="25"/>
      <c r="AA13" s="18" t="s">
        <v>22</v>
      </c>
      <c r="AB13" s="7">
        <f t="shared" ref="AB13:AB19" si="9">V13</f>
        <v>0</v>
      </c>
      <c r="AC13" s="7">
        <f t="shared" ref="AC13:AC19" si="10">W35</f>
        <v>0</v>
      </c>
      <c r="AD13" s="7">
        <f t="shared" ref="AD13:AF17" ca="1" si="11">AD4/AD$11</f>
        <v>0</v>
      </c>
      <c r="AE13" s="7">
        <f t="shared" ca="1" si="11"/>
        <v>0</v>
      </c>
      <c r="AF13" s="7">
        <f t="shared" ca="1" si="11"/>
        <v>0.57818521885977969</v>
      </c>
      <c r="AG13" s="18"/>
    </row>
    <row r="14" spans="2:33" x14ac:dyDescent="0.25">
      <c r="B14" s="19" t="s">
        <v>43</v>
      </c>
      <c r="C14" s="3">
        <v>0.01</v>
      </c>
      <c r="E14" s="38" t="s">
        <v>44</v>
      </c>
      <c r="F14" s="38"/>
      <c r="G14" s="9">
        <f ca="1">N5</f>
        <v>1399.3884461115335</v>
      </c>
      <c r="H14" s="9">
        <f ca="1">N7/2</f>
        <v>1399.3884461115335</v>
      </c>
      <c r="K14" s="24" t="s">
        <v>25</v>
      </c>
      <c r="L14" s="5">
        <v>0</v>
      </c>
      <c r="M14" s="5">
        <v>0.21</v>
      </c>
      <c r="N14" s="5">
        <f t="shared" ca="1" si="7"/>
        <v>0.14787784692244932</v>
      </c>
      <c r="O14" s="5"/>
      <c r="P14" s="5">
        <f t="shared" ca="1" si="8"/>
        <v>0.12113979482471873</v>
      </c>
      <c r="Q14" s="24"/>
      <c r="S14" s="25" t="s">
        <v>25</v>
      </c>
      <c r="T14" s="6"/>
      <c r="U14" s="6"/>
      <c r="V14" s="6"/>
      <c r="W14" s="6">
        <f ca="1">W5/W11</f>
        <v>0.12113979482471873</v>
      </c>
      <c r="X14" s="6"/>
      <c r="Y14" s="25"/>
      <c r="AA14" s="18" t="s">
        <v>25</v>
      </c>
      <c r="AB14" s="7">
        <f t="shared" si="9"/>
        <v>0</v>
      </c>
      <c r="AC14" s="7">
        <f t="shared" si="10"/>
        <v>0</v>
      </c>
      <c r="AD14" s="7">
        <f t="shared" ca="1" si="11"/>
        <v>0</v>
      </c>
      <c r="AE14" s="7">
        <f t="shared" ca="1" si="11"/>
        <v>0</v>
      </c>
      <c r="AF14" s="7">
        <f t="shared" ca="1" si="11"/>
        <v>5.659992008476019E-2</v>
      </c>
      <c r="AG14" s="18"/>
    </row>
    <row r="15" spans="2:33" x14ac:dyDescent="0.25">
      <c r="B15" s="19" t="s">
        <v>45</v>
      </c>
      <c r="C15" s="3">
        <v>0.02</v>
      </c>
      <c r="E15" s="38" t="s">
        <v>46</v>
      </c>
      <c r="F15" s="38"/>
      <c r="G15" s="9">
        <f ca="1">(SUM(R31))/(SUM(T27:T30))</f>
        <v>2</v>
      </c>
      <c r="H15" s="9">
        <v>2</v>
      </c>
      <c r="I15">
        <f ca="1">2*(SUM(T27:T30))-R31</f>
        <v>0</v>
      </c>
      <c r="K15" s="24" t="s">
        <v>27</v>
      </c>
      <c r="L15" s="5">
        <v>0</v>
      </c>
      <c r="M15" s="5">
        <v>0.79</v>
      </c>
      <c r="N15" s="5">
        <f t="shared" ca="1" si="7"/>
        <v>0.55636004373273829</v>
      </c>
      <c r="O15" s="5"/>
      <c r="P15" s="5">
        <f t="shared" ca="1" si="8"/>
        <v>0.58456395267676298</v>
      </c>
      <c r="Q15" s="24"/>
      <c r="S15" s="25" t="s">
        <v>27</v>
      </c>
      <c r="T15" s="6"/>
      <c r="U15" s="6"/>
      <c r="V15" s="6"/>
      <c r="W15" s="6">
        <f ca="1">W6/W11</f>
        <v>0.58456395267676298</v>
      </c>
      <c r="X15" s="6"/>
      <c r="Y15" s="25"/>
      <c r="AA15" s="18" t="s">
        <v>27</v>
      </c>
      <c r="AB15" s="7">
        <f t="shared" si="9"/>
        <v>0</v>
      </c>
      <c r="AC15" s="7">
        <f t="shared" si="10"/>
        <v>0</v>
      </c>
      <c r="AD15" s="7">
        <f t="shared" ca="1" si="11"/>
        <v>0</v>
      </c>
      <c r="AE15" s="7">
        <f t="shared" ca="1" si="11"/>
        <v>0</v>
      </c>
      <c r="AF15" s="7">
        <f t="shared" ca="1" si="11"/>
        <v>0.13518294411629414</v>
      </c>
      <c r="AG15" s="18"/>
    </row>
    <row r="16" spans="2:33" x14ac:dyDescent="0.25">
      <c r="B16" s="19" t="s">
        <v>47</v>
      </c>
      <c r="C16" s="3">
        <v>7.0000000000000007E-2</v>
      </c>
      <c r="E16" s="38" t="s">
        <v>48</v>
      </c>
      <c r="F16" s="38"/>
      <c r="G16" s="17">
        <f ca="1">M6</f>
        <v>5262.4359472235637</v>
      </c>
      <c r="H16" s="9">
        <f ca="1">U28+X6</f>
        <v>5262.4359472235637</v>
      </c>
      <c r="K16" s="24" t="s">
        <v>30</v>
      </c>
      <c r="L16" s="5">
        <v>1</v>
      </c>
      <c r="M16" s="5">
        <v>0</v>
      </c>
      <c r="N16" s="5">
        <f t="shared" ca="1" si="7"/>
        <v>0.29575569384489864</v>
      </c>
      <c r="O16" s="5"/>
      <c r="P16" s="5">
        <f t="shared" ca="1" si="8"/>
        <v>0.27996190932349918</v>
      </c>
      <c r="Q16" s="24"/>
      <c r="S16" s="25" t="s">
        <v>30</v>
      </c>
      <c r="T16" s="6"/>
      <c r="U16" s="6"/>
      <c r="V16" s="6"/>
      <c r="W16" s="6">
        <f ca="1">W7/W11</f>
        <v>0.27996190932349918</v>
      </c>
      <c r="X16" s="6"/>
      <c r="Y16" s="25"/>
      <c r="AA16" s="18" t="s">
        <v>30</v>
      </c>
      <c r="AB16" s="7">
        <f t="shared" si="9"/>
        <v>0</v>
      </c>
      <c r="AC16" s="7">
        <f t="shared" si="10"/>
        <v>0</v>
      </c>
      <c r="AD16" s="7">
        <f t="shared" ca="1" si="11"/>
        <v>0</v>
      </c>
      <c r="AE16" s="7">
        <f t="shared" ca="1" si="11"/>
        <v>0</v>
      </c>
      <c r="AF16" s="7">
        <f t="shared" ca="1" si="11"/>
        <v>3.2208532264276571E-2</v>
      </c>
      <c r="AG16" s="18"/>
    </row>
    <row r="17" spans="2:38" x14ac:dyDescent="0.25">
      <c r="B17" s="19" t="s">
        <v>49</v>
      </c>
      <c r="C17" s="3">
        <f>0.5/100</f>
        <v>5.0000000000000001E-3</v>
      </c>
      <c r="E17" s="38" t="s">
        <v>50</v>
      </c>
      <c r="F17" s="38"/>
      <c r="G17" s="16">
        <f ca="1">AK33</f>
        <v>226.99929621856228</v>
      </c>
      <c r="H17" s="9">
        <f>C29</f>
        <v>226.99929630218148</v>
      </c>
      <c r="K17" s="24" t="s">
        <v>33</v>
      </c>
      <c r="L17" s="5">
        <v>0</v>
      </c>
      <c r="M17" s="5">
        <v>0</v>
      </c>
      <c r="N17" s="5">
        <f t="shared" ca="1" si="7"/>
        <v>5.687358573968425E-6</v>
      </c>
      <c r="O17" s="5"/>
      <c r="P17" s="5">
        <f t="shared" ca="1" si="8"/>
        <v>1.2707435220237788E-2</v>
      </c>
      <c r="Q17" s="24"/>
      <c r="S17" s="25" t="s">
        <v>33</v>
      </c>
      <c r="T17" s="6"/>
      <c r="U17" s="6"/>
      <c r="V17" s="6"/>
      <c r="W17" s="6">
        <f ca="1">W8/W11</f>
        <v>1.2707435220237788E-2</v>
      </c>
      <c r="X17" s="6"/>
      <c r="Y17" s="25"/>
      <c r="AA17" s="18" t="s">
        <v>33</v>
      </c>
      <c r="AB17" s="7">
        <f t="shared" si="9"/>
        <v>0</v>
      </c>
      <c r="AC17" s="7">
        <f t="shared" si="10"/>
        <v>0</v>
      </c>
      <c r="AD17" s="7">
        <f t="shared" ca="1" si="11"/>
        <v>0</v>
      </c>
      <c r="AE17" s="7">
        <f t="shared" ca="1" si="11"/>
        <v>0</v>
      </c>
      <c r="AF17" s="7">
        <f t="shared" ca="1" si="11"/>
        <v>2.1897677741762715E-2</v>
      </c>
      <c r="AG17" s="18"/>
    </row>
    <row r="18" spans="2:38" x14ac:dyDescent="0.25">
      <c r="B18" s="19" t="s">
        <v>51</v>
      </c>
      <c r="C18" s="3">
        <v>1.5E-3</v>
      </c>
      <c r="E18" s="38" t="s">
        <v>52</v>
      </c>
      <c r="F18" s="38"/>
      <c r="G18" s="9"/>
      <c r="H18" s="9"/>
      <c r="K18" s="24" t="s">
        <v>35</v>
      </c>
      <c r="L18" s="5">
        <v>0</v>
      </c>
      <c r="M18" s="5">
        <v>0</v>
      </c>
      <c r="N18" s="5">
        <f t="shared" ca="1" si="7"/>
        <v>6.7134222705823098E-7</v>
      </c>
      <c r="O18" s="5"/>
      <c r="P18" s="5">
        <f t="shared" si="8"/>
        <v>1.5E-3</v>
      </c>
      <c r="Q18" s="24"/>
      <c r="S18" s="25" t="s">
        <v>35</v>
      </c>
      <c r="T18" s="6"/>
      <c r="U18" s="6"/>
      <c r="V18" s="6"/>
      <c r="W18" s="6">
        <f>C18</f>
        <v>1.5E-3</v>
      </c>
      <c r="X18" s="6"/>
      <c r="Y18" s="25"/>
      <c r="AA18" s="18" t="s">
        <v>35</v>
      </c>
      <c r="AB18" s="7">
        <f t="shared" si="9"/>
        <v>0</v>
      </c>
      <c r="AC18" s="7">
        <f t="shared" si="10"/>
        <v>0</v>
      </c>
      <c r="AD18" s="7">
        <f ca="1">AD9/AD$11</f>
        <v>1</v>
      </c>
      <c r="AE18" s="7">
        <f ca="1">AE9/AE$11</f>
        <v>1</v>
      </c>
      <c r="AF18" s="7">
        <f>C20/C21</f>
        <v>0.168875</v>
      </c>
      <c r="AG18" s="18"/>
    </row>
    <row r="19" spans="2:38" x14ac:dyDescent="0.25">
      <c r="B19" s="33" t="s">
        <v>5</v>
      </c>
      <c r="C19" s="33"/>
      <c r="E19" s="38"/>
      <c r="F19" s="38"/>
      <c r="G19" s="9"/>
      <c r="H19" s="9"/>
      <c r="K19" s="24" t="s">
        <v>37</v>
      </c>
      <c r="L19" s="5">
        <v>0</v>
      </c>
      <c r="M19" s="5">
        <v>0</v>
      </c>
      <c r="N19" s="5">
        <f t="shared" ca="1" si="7"/>
        <v>0</v>
      </c>
      <c r="O19" s="5"/>
      <c r="P19" s="5">
        <f t="shared" ca="1" si="8"/>
        <v>0</v>
      </c>
      <c r="Q19" s="24"/>
      <c r="S19" s="25" t="s">
        <v>37</v>
      </c>
      <c r="T19" s="6"/>
      <c r="U19" s="6"/>
      <c r="V19" s="6"/>
      <c r="W19" s="6">
        <f ca="1">W10/W11</f>
        <v>0</v>
      </c>
      <c r="X19" s="6"/>
      <c r="Y19" s="25"/>
      <c r="AA19" s="18" t="s">
        <v>37</v>
      </c>
      <c r="AB19" s="7">
        <f t="shared" si="9"/>
        <v>0</v>
      </c>
      <c r="AC19" s="7">
        <f t="shared" si="10"/>
        <v>0</v>
      </c>
      <c r="AD19" s="7">
        <f ca="1">AD10/AD$11</f>
        <v>0</v>
      </c>
      <c r="AE19" s="7">
        <f ca="1">AE10/AE$11</f>
        <v>0</v>
      </c>
      <c r="AF19" s="7">
        <f ca="1">AF10/AF$11</f>
        <v>7.0507069331266796E-3</v>
      </c>
      <c r="AG19" s="18"/>
    </row>
    <row r="20" spans="2:38" x14ac:dyDescent="0.25">
      <c r="B20" s="19" t="s">
        <v>53</v>
      </c>
      <c r="C20" s="3">
        <v>1.01325</v>
      </c>
      <c r="K20" s="24" t="s">
        <v>38</v>
      </c>
      <c r="L20" s="5">
        <f>SUM(L13:L19)</f>
        <v>1</v>
      </c>
      <c r="M20" s="5">
        <f>SUM(M13:M19)</f>
        <v>1</v>
      </c>
      <c r="N20" s="5">
        <f ca="1">SUM(N13:N19)</f>
        <v>0.99999999999999989</v>
      </c>
      <c r="O20" s="5">
        <f>SUM(O13:O19)</f>
        <v>0</v>
      </c>
      <c r="P20" s="5">
        <f ca="1">SUM(P13:P19)</f>
        <v>1</v>
      </c>
      <c r="Q20" s="24"/>
      <c r="S20" s="25" t="s">
        <v>38</v>
      </c>
      <c r="T20" s="6">
        <f>SUM(T13:T19)</f>
        <v>0</v>
      </c>
      <c r="U20" s="6">
        <f>SUM(U13:U19)</f>
        <v>0</v>
      </c>
      <c r="V20" s="6">
        <f>SUM(V13:V19)</f>
        <v>0</v>
      </c>
      <c r="W20" s="6">
        <f ca="1">SUM(W13:W19)</f>
        <v>1</v>
      </c>
      <c r="X20" s="6">
        <f>SUM(X13:X19)</f>
        <v>0</v>
      </c>
      <c r="Y20" s="25"/>
      <c r="AA20" s="18" t="s">
        <v>38</v>
      </c>
      <c r="AB20" s="7">
        <f>SUM(AB13:AB19)</f>
        <v>0</v>
      </c>
      <c r="AC20" s="7">
        <f>SUM(AC13:AC19)</f>
        <v>0</v>
      </c>
      <c r="AD20" s="7">
        <f ca="1">SUM(AD13:AD19)</f>
        <v>1</v>
      </c>
      <c r="AE20" s="7">
        <f ca="1">SUM(AE13:AE19)</f>
        <v>1</v>
      </c>
      <c r="AF20" s="7">
        <f ca="1">SUM(AF13:AF19)</f>
        <v>1</v>
      </c>
      <c r="AG20" s="18"/>
    </row>
    <row r="21" spans="2:38" x14ac:dyDescent="0.25">
      <c r="B21" s="19" t="s">
        <v>54</v>
      </c>
      <c r="C21" s="3">
        <v>6</v>
      </c>
      <c r="E21" s="32" t="s">
        <v>85</v>
      </c>
      <c r="F21" s="32"/>
      <c r="G21" s="32"/>
      <c r="H21" s="32"/>
      <c r="I21" s="32"/>
    </row>
    <row r="22" spans="2:38" x14ac:dyDescent="0.25">
      <c r="B22" s="33" t="s">
        <v>55</v>
      </c>
      <c r="C22" s="33"/>
      <c r="E22" s="32"/>
      <c r="F22" s="32"/>
      <c r="G22" s="14" t="s">
        <v>86</v>
      </c>
      <c r="H22" s="14" t="s">
        <v>87</v>
      </c>
      <c r="I22" s="14" t="s">
        <v>88</v>
      </c>
    </row>
    <row r="23" spans="2:38" x14ac:dyDescent="0.25">
      <c r="B23" s="19" t="s">
        <v>41</v>
      </c>
      <c r="C23" s="3">
        <f>99.9%</f>
        <v>0.99900000000000011</v>
      </c>
      <c r="E23" s="32" t="s">
        <v>22</v>
      </c>
      <c r="F23" s="32"/>
      <c r="G23" s="15">
        <f ca="1">C5-C10</f>
        <v>226.31433881549947</v>
      </c>
      <c r="H23" s="15">
        <f ca="1">X4+AK26</f>
        <v>226.31433873072808</v>
      </c>
      <c r="I23" s="15">
        <f t="shared" ref="I23:I30" ca="1" si="12">G23-H23</f>
        <v>8.4771386354987044E-8</v>
      </c>
    </row>
    <row r="24" spans="2:38" x14ac:dyDescent="0.25">
      <c r="B24" s="33" t="s">
        <v>56</v>
      </c>
      <c r="C24" s="33"/>
      <c r="E24" s="32" t="s">
        <v>25</v>
      </c>
      <c r="F24" s="32"/>
      <c r="G24" s="15">
        <f ca="1">M5</f>
        <v>1398.8753783758839</v>
      </c>
      <c r="H24" s="15">
        <f ca="1">X5+U27-C6</f>
        <v>1398.8753783758839</v>
      </c>
      <c r="I24" s="15">
        <f t="shared" ca="1" si="12"/>
        <v>0</v>
      </c>
      <c r="K24" s="35" t="s">
        <v>55</v>
      </c>
      <c r="L24" s="35"/>
      <c r="M24" s="35"/>
      <c r="N24" s="35"/>
      <c r="O24" s="35"/>
      <c r="Q24" s="36" t="s">
        <v>56</v>
      </c>
      <c r="R24" s="36"/>
      <c r="S24" s="36"/>
      <c r="T24" s="36"/>
      <c r="U24" s="36"/>
      <c r="V24" s="36"/>
      <c r="W24" s="36"/>
      <c r="X24" s="36"/>
      <c r="Z24" s="37" t="s">
        <v>57</v>
      </c>
      <c r="AA24" s="37"/>
      <c r="AB24" s="37"/>
      <c r="AC24" s="37"/>
      <c r="AD24" s="37"/>
      <c r="AE24" s="37"/>
      <c r="AG24" s="34" t="s">
        <v>58</v>
      </c>
      <c r="AH24" s="34"/>
      <c r="AI24" s="34"/>
      <c r="AJ24" s="34"/>
      <c r="AK24" s="34"/>
      <c r="AL24" s="34"/>
    </row>
    <row r="25" spans="2:38" x14ac:dyDescent="0.25">
      <c r="B25" s="19" t="s">
        <v>59</v>
      </c>
      <c r="C25" s="3">
        <v>1</v>
      </c>
      <c r="E25" s="32" t="s">
        <v>27</v>
      </c>
      <c r="F25" s="32"/>
      <c r="G25" s="15">
        <f ca="1">M6</f>
        <v>5262.4359472235637</v>
      </c>
      <c r="H25" s="15">
        <f ca="1">X6+U28</f>
        <v>5262.4359472235637</v>
      </c>
      <c r="I25" s="15">
        <f t="shared" ca="1" si="12"/>
        <v>0</v>
      </c>
      <c r="K25" s="21"/>
      <c r="L25" s="21" t="s">
        <v>60</v>
      </c>
      <c r="M25" s="21" t="s">
        <v>61</v>
      </c>
      <c r="N25" s="21" t="s">
        <v>62</v>
      </c>
      <c r="O25" s="21" t="s">
        <v>9</v>
      </c>
      <c r="Q25" s="22"/>
      <c r="R25" s="22" t="s">
        <v>90</v>
      </c>
      <c r="S25" s="22" t="s">
        <v>63</v>
      </c>
      <c r="T25" s="22" t="s">
        <v>64</v>
      </c>
      <c r="U25" s="22" t="s">
        <v>65</v>
      </c>
      <c r="V25" s="22" t="s">
        <v>66</v>
      </c>
      <c r="W25" s="22" t="s">
        <v>67</v>
      </c>
      <c r="X25" s="22" t="s">
        <v>9</v>
      </c>
      <c r="Z25" s="23"/>
      <c r="AA25" s="23" t="s">
        <v>68</v>
      </c>
      <c r="AB25" s="23" t="s">
        <v>69</v>
      </c>
      <c r="AC25" s="23" t="s">
        <v>70</v>
      </c>
      <c r="AD25" s="23" t="s">
        <v>71</v>
      </c>
      <c r="AE25" s="23" t="s">
        <v>9</v>
      </c>
      <c r="AG25" s="20"/>
      <c r="AH25" s="20" t="s">
        <v>72</v>
      </c>
      <c r="AI25" s="20" t="s">
        <v>73</v>
      </c>
      <c r="AJ25" s="20" t="s">
        <v>74</v>
      </c>
      <c r="AK25" s="20" t="s">
        <v>75</v>
      </c>
      <c r="AL25" s="20" t="s">
        <v>9</v>
      </c>
    </row>
    <row r="26" spans="2:38" x14ac:dyDescent="0.25">
      <c r="B26" s="19" t="s">
        <v>76</v>
      </c>
      <c r="C26" s="3">
        <f>99.9%</f>
        <v>0.99900000000000011</v>
      </c>
      <c r="E26" s="32" t="s">
        <v>30</v>
      </c>
      <c r="F26" s="32"/>
      <c r="G26" s="15">
        <f ca="1">L7</f>
        <v>2797.591159466192</v>
      </c>
      <c r="H26" s="15">
        <f ca="1">X7+U29-C7</f>
        <v>2797.591159466192</v>
      </c>
      <c r="I26" s="15">
        <f t="shared" ca="1" si="12"/>
        <v>0</v>
      </c>
      <c r="K26" s="21" t="s">
        <v>22</v>
      </c>
      <c r="L26" s="10">
        <f t="shared" ref="L26:L32" ca="1" si="13">AF4</f>
        <v>225.40871012894152</v>
      </c>
      <c r="M26" s="10">
        <f ca="1">L26-N26</f>
        <v>0.22540873723079358</v>
      </c>
      <c r="N26" s="10">
        <f ca="1">C23*L26</f>
        <v>225.18330141881262</v>
      </c>
      <c r="O26" s="21">
        <f t="shared" ref="O26:O33" ca="1" si="14">(L26)-(M26+N26)</f>
        <v>-2.7101890509584337E-8</v>
      </c>
      <c r="Q26" s="22" t="s">
        <v>22</v>
      </c>
      <c r="R26" s="11"/>
      <c r="S26" s="11"/>
      <c r="T26" s="11">
        <f ca="1">M26</f>
        <v>0.22540873723079358</v>
      </c>
      <c r="U26" s="11"/>
      <c r="V26" s="11">
        <f ca="1">C25*T26</f>
        <v>0.22540873723079358</v>
      </c>
      <c r="W26" s="11"/>
      <c r="X26" s="22"/>
      <c r="Z26" s="23" t="s">
        <v>22</v>
      </c>
      <c r="AA26" s="12">
        <f ca="1">N26</f>
        <v>225.18330141881262</v>
      </c>
      <c r="AB26" s="12">
        <f ca="1">AJ26</f>
        <v>450.36660369398521</v>
      </c>
      <c r="AC26" s="12">
        <f ca="1">AB26+AA26</f>
        <v>675.54990511279789</v>
      </c>
      <c r="AD26" s="12"/>
      <c r="AE26" s="23"/>
      <c r="AG26" s="20" t="s">
        <v>22</v>
      </c>
      <c r="AH26" s="13">
        <f ca="1">AC26</f>
        <v>675.54990511279789</v>
      </c>
      <c r="AI26" s="13"/>
      <c r="AJ26" s="13">
        <f ca="1">AC26*(2/3)</f>
        <v>450.36660340853189</v>
      </c>
      <c r="AK26" s="13">
        <f ca="1">AH26-AJ26</f>
        <v>225.183301704266</v>
      </c>
      <c r="AL26" s="20"/>
    </row>
    <row r="27" spans="2:38" x14ac:dyDescent="0.25">
      <c r="B27" s="33" t="s">
        <v>57</v>
      </c>
      <c r="C27" s="33"/>
      <c r="E27" s="32" t="s">
        <v>33</v>
      </c>
      <c r="F27" s="32"/>
      <c r="G27" s="15">
        <f ca="1">C8</f>
        <v>121.78038013441008</v>
      </c>
      <c r="H27" s="15">
        <f ca="1">X8+U30</f>
        <v>121.78038013441008</v>
      </c>
      <c r="I27" s="15">
        <f t="shared" ca="1" si="12"/>
        <v>0</v>
      </c>
      <c r="K27" s="21" t="s">
        <v>25</v>
      </c>
      <c r="L27" s="10">
        <f t="shared" ca="1" si="13"/>
        <v>22.065792350878201</v>
      </c>
      <c r="M27" s="10">
        <f ca="1">L27</f>
        <v>22.065792350878201</v>
      </c>
      <c r="N27" s="10"/>
      <c r="O27" s="21">
        <f t="shared" ca="1" si="14"/>
        <v>0</v>
      </c>
      <c r="Q27" s="22" t="s">
        <v>25</v>
      </c>
      <c r="R27" s="11"/>
      <c r="S27" s="11"/>
      <c r="T27" s="11">
        <f ca="1">M27</f>
        <v>22.065792350878201</v>
      </c>
      <c r="U27" s="11">
        <f ca="1">C26*T27</f>
        <v>22.043726558527325</v>
      </c>
      <c r="V27" s="11">
        <f ca="1">T27-U27</f>
        <v>2.2065792350876023E-2</v>
      </c>
      <c r="W27" s="11"/>
      <c r="X27" s="22"/>
      <c r="Z27" s="23" t="s">
        <v>25</v>
      </c>
      <c r="AA27" s="12"/>
      <c r="AB27" s="12"/>
      <c r="AC27" s="12"/>
      <c r="AD27" s="12"/>
      <c r="AE27" s="23"/>
      <c r="AG27" s="20" t="s">
        <v>25</v>
      </c>
      <c r="AH27" s="13"/>
      <c r="AI27" s="13"/>
      <c r="AJ27" s="13"/>
      <c r="AK27" s="13"/>
      <c r="AL27" s="20"/>
    </row>
    <row r="28" spans="2:38" x14ac:dyDescent="0.25">
      <c r="B28" s="19" t="s">
        <v>77</v>
      </c>
      <c r="C28" s="3">
        <v>10000</v>
      </c>
      <c r="E28" s="32" t="s">
        <v>35</v>
      </c>
      <c r="F28" s="32"/>
      <c r="G28" s="15">
        <f ca="1">C9</f>
        <v>121.78038013441008</v>
      </c>
      <c r="H28" s="15">
        <f ca="1">X9+W31+AD31</f>
        <v>121.78038001883533</v>
      </c>
      <c r="I28" s="15">
        <f t="shared" ca="1" si="12"/>
        <v>1.1557474977053062E-7</v>
      </c>
      <c r="K28" s="21" t="s">
        <v>27</v>
      </c>
      <c r="L28" s="10">
        <f t="shared" ca="1" si="13"/>
        <v>52.701819539382775</v>
      </c>
      <c r="M28" s="10">
        <f ca="1">L28</f>
        <v>52.701819539382775</v>
      </c>
      <c r="N28" s="10"/>
      <c r="O28" s="21">
        <f t="shared" ca="1" si="14"/>
        <v>0</v>
      </c>
      <c r="Q28" s="22" t="s">
        <v>27</v>
      </c>
      <c r="R28" s="11"/>
      <c r="S28" s="11"/>
      <c r="T28" s="11">
        <f ca="1">M28</f>
        <v>52.701819539382775</v>
      </c>
      <c r="U28" s="11">
        <f ca="1">C26*T28</f>
        <v>52.649117719843396</v>
      </c>
      <c r="V28" s="11">
        <f ca="1">T28-U28</f>
        <v>5.2701819539379358E-2</v>
      </c>
      <c r="W28" s="11"/>
      <c r="X28" s="22"/>
      <c r="Z28" s="23" t="s">
        <v>27</v>
      </c>
      <c r="AA28" s="12"/>
      <c r="AB28" s="12"/>
      <c r="AC28" s="12"/>
      <c r="AD28" s="12"/>
      <c r="AE28" s="23"/>
      <c r="AG28" s="20" t="s">
        <v>27</v>
      </c>
      <c r="AH28" s="13"/>
      <c r="AI28" s="13"/>
      <c r="AJ28" s="13"/>
      <c r="AK28" s="13"/>
      <c r="AL28" s="20"/>
    </row>
    <row r="29" spans="2:38" x14ac:dyDescent="0.25">
      <c r="B29" s="19" t="s">
        <v>78</v>
      </c>
      <c r="C29" s="3">
        <f>C28/C38</f>
        <v>226.99929630218148</v>
      </c>
      <c r="E29" s="32" t="s">
        <v>37</v>
      </c>
      <c r="F29" s="32"/>
      <c r="G29" s="15">
        <f ca="1">C10</f>
        <v>2.7487571516052567</v>
      </c>
      <c r="H29" s="15">
        <f ca="1">X10+AK32+AD32</f>
        <v>2.7487571529762125</v>
      </c>
      <c r="I29" s="15">
        <f t="shared" ca="1" si="12"/>
        <v>-1.3709557933339056E-9</v>
      </c>
      <c r="K29" s="21" t="s">
        <v>30</v>
      </c>
      <c r="L29" s="10">
        <f t="shared" ca="1" si="13"/>
        <v>12.556674705649435</v>
      </c>
      <c r="M29" s="10">
        <f ca="1">L29</f>
        <v>12.556674705649435</v>
      </c>
      <c r="N29" s="10"/>
      <c r="O29" s="21">
        <f t="shared" ca="1" si="14"/>
        <v>0</v>
      </c>
      <c r="Q29" s="22" t="s">
        <v>30</v>
      </c>
      <c r="R29" s="11"/>
      <c r="S29" s="11"/>
      <c r="T29" s="11">
        <f ca="1">M29</f>
        <v>12.556674705649435</v>
      </c>
      <c r="U29" s="11">
        <f ca="1">C26*T29</f>
        <v>12.544118030943787</v>
      </c>
      <c r="V29" s="11">
        <f ca="1">T29-U29</f>
        <v>1.2556674705647808E-2</v>
      </c>
      <c r="W29" s="11"/>
      <c r="X29" s="22"/>
      <c r="Z29" s="23" t="s">
        <v>30</v>
      </c>
      <c r="AA29" s="12"/>
      <c r="AB29" s="12"/>
      <c r="AC29" s="12"/>
      <c r="AD29" s="12"/>
      <c r="AE29" s="23"/>
      <c r="AG29" s="20" t="s">
        <v>30</v>
      </c>
      <c r="AH29" s="13"/>
      <c r="AI29" s="13"/>
      <c r="AJ29" s="13"/>
      <c r="AK29" s="13"/>
      <c r="AL29" s="20"/>
    </row>
    <row r="30" spans="2:38" x14ac:dyDescent="0.25">
      <c r="B30" s="33" t="s">
        <v>50</v>
      </c>
      <c r="C30" s="33"/>
      <c r="E30" s="32" t="s">
        <v>38</v>
      </c>
      <c r="F30" s="32"/>
      <c r="G30" s="15">
        <f ca="1">SUM(G23:G29)</f>
        <v>9931.5263413015655</v>
      </c>
      <c r="H30" s="15">
        <f ca="1">SUM(H23:H29)</f>
        <v>9931.5263411025899</v>
      </c>
      <c r="I30" s="15">
        <f t="shared" ca="1" si="12"/>
        <v>1.9897561287507415E-7</v>
      </c>
      <c r="K30" s="21" t="s">
        <v>33</v>
      </c>
      <c r="L30" s="10">
        <f t="shared" ca="1" si="13"/>
        <v>8.5369309584287691</v>
      </c>
      <c r="M30" s="10">
        <f ca="1">L30</f>
        <v>8.5369309584287691</v>
      </c>
      <c r="N30" s="10"/>
      <c r="O30" s="21">
        <f t="shared" ca="1" si="14"/>
        <v>0</v>
      </c>
      <c r="Q30" s="22" t="s">
        <v>33</v>
      </c>
      <c r="R30" s="11"/>
      <c r="S30" s="11"/>
      <c r="T30" s="11">
        <f ca="1">M30</f>
        <v>8.5369309584287691</v>
      </c>
      <c r="U30" s="11">
        <f ca="1">C26*T30</f>
        <v>8.5283940274703411</v>
      </c>
      <c r="V30" s="11">
        <f ca="1">T30-U30</f>
        <v>8.5369309584280018E-3</v>
      </c>
      <c r="W30" s="11"/>
      <c r="X30" s="22"/>
      <c r="Z30" s="23" t="s">
        <v>33</v>
      </c>
      <c r="AA30" s="12"/>
      <c r="AB30" s="12"/>
      <c r="AC30" s="12"/>
      <c r="AD30" s="12"/>
      <c r="AE30" s="23"/>
      <c r="AG30" s="20" t="s">
        <v>33</v>
      </c>
      <c r="AH30" s="13"/>
      <c r="AI30" s="13"/>
      <c r="AJ30" s="13"/>
      <c r="AK30" s="13"/>
      <c r="AL30" s="20"/>
    </row>
    <row r="31" spans="2:38" x14ac:dyDescent="0.25">
      <c r="B31" s="19" t="s">
        <v>22</v>
      </c>
      <c r="C31" s="3">
        <f>C29-C32</f>
        <v>225.18330193176402</v>
      </c>
      <c r="K31" s="21" t="s">
        <v>35</v>
      </c>
      <c r="L31" s="10">
        <f t="shared" ca="1" si="13"/>
        <v>65.836854139762323</v>
      </c>
      <c r="M31" s="10"/>
      <c r="N31" s="10">
        <f ca="1">L31</f>
        <v>65.836854139762323</v>
      </c>
      <c r="O31" s="21">
        <f t="shared" ca="1" si="14"/>
        <v>0</v>
      </c>
      <c r="Q31" s="22" t="s">
        <v>35</v>
      </c>
      <c r="R31" s="11">
        <f ca="1">2*(SUM(T27:T30))</f>
        <v>191.72243510867838</v>
      </c>
      <c r="S31" s="11"/>
      <c r="T31" s="11"/>
      <c r="U31" s="11"/>
      <c r="V31" s="11">
        <f ca="1">R31+S31</f>
        <v>191.72243510867838</v>
      </c>
      <c r="W31" s="11">
        <f ca="1">G8</f>
        <v>42.575133479633877</v>
      </c>
      <c r="X31" s="22"/>
      <c r="Z31" s="23" t="s">
        <v>35</v>
      </c>
      <c r="AA31" s="12">
        <f ca="1">N31</f>
        <v>65.836854139762323</v>
      </c>
      <c r="AB31" s="12"/>
      <c r="AC31" s="12"/>
      <c r="AD31" s="12">
        <f ca="1">AA31</f>
        <v>65.836854139762323</v>
      </c>
      <c r="AE31" s="23"/>
      <c r="AG31" s="20" t="s">
        <v>35</v>
      </c>
      <c r="AH31" s="13"/>
      <c r="AI31" s="13"/>
      <c r="AJ31" s="13"/>
      <c r="AK31" s="13"/>
      <c r="AL31" s="20"/>
    </row>
    <row r="32" spans="2:38" x14ac:dyDescent="0.25">
      <c r="B32" s="19" t="s">
        <v>79</v>
      </c>
      <c r="C32" s="3">
        <f>C33*C29</f>
        <v>1.8159943704174519</v>
      </c>
      <c r="G32">
        <f ca="1">C9</f>
        <v>121.78038013441008</v>
      </c>
      <c r="H32">
        <f ca="1">X9+AD31</f>
        <v>79.205246440504723</v>
      </c>
      <c r="I32">
        <f ca="1">G32-H32</f>
        <v>42.575133693905357</v>
      </c>
      <c r="K32" s="21" t="s">
        <v>37</v>
      </c>
      <c r="L32" s="10">
        <f t="shared" ca="1" si="13"/>
        <v>2.7487571516052567</v>
      </c>
      <c r="M32" s="10"/>
      <c r="N32" s="10">
        <f ca="1">L32</f>
        <v>2.7487571516052567</v>
      </c>
      <c r="O32" s="21">
        <f t="shared" ca="1" si="14"/>
        <v>0</v>
      </c>
      <c r="Q32" s="22" t="s">
        <v>37</v>
      </c>
      <c r="R32" s="11"/>
      <c r="S32" s="11"/>
      <c r="T32" s="11"/>
      <c r="U32" s="11"/>
      <c r="V32" s="11"/>
      <c r="W32" s="11"/>
      <c r="X32" s="22"/>
      <c r="Z32" s="23" t="s">
        <v>37</v>
      </c>
      <c r="AA32" s="12">
        <f ca="1">N32</f>
        <v>2.7487571516052567</v>
      </c>
      <c r="AB32" s="12">
        <f ca="1">AJ32</f>
        <v>3.6319887431392512</v>
      </c>
      <c r="AC32" s="12">
        <f ca="1">AC33*AC41</f>
        <v>5.4479831092014344</v>
      </c>
      <c r="AD32" s="12">
        <f ca="1">AA32+AB32-AC32</f>
        <v>0.93276278554307357</v>
      </c>
      <c r="AE32" s="23"/>
      <c r="AG32" s="20" t="s">
        <v>37</v>
      </c>
      <c r="AH32" s="13">
        <f ca="1">AC32</f>
        <v>5.4479831092014344</v>
      </c>
      <c r="AI32" s="13"/>
      <c r="AJ32" s="13">
        <f ca="1">AC32*(2/3)</f>
        <v>3.6319887394676229</v>
      </c>
      <c r="AK32" s="13">
        <f ca="1">AH32-AJ32</f>
        <v>1.8159943697338115</v>
      </c>
      <c r="AL32" s="20"/>
    </row>
    <row r="33" spans="2:38" x14ac:dyDescent="0.25">
      <c r="B33" s="19" t="s">
        <v>80</v>
      </c>
      <c r="C33" s="3">
        <f>0.008</f>
        <v>8.0000000000000002E-3</v>
      </c>
      <c r="K33" s="21" t="s">
        <v>38</v>
      </c>
      <c r="L33" s="10">
        <f ca="1">SUM(L26:L32)</f>
        <v>389.85553897464825</v>
      </c>
      <c r="M33" s="10">
        <f ca="1">SUM(M26:M32)</f>
        <v>96.086626291569985</v>
      </c>
      <c r="N33" s="10">
        <f ca="1">SUM(N26:N32)</f>
        <v>293.76891271018025</v>
      </c>
      <c r="O33" s="21">
        <f t="shared" ca="1" si="14"/>
        <v>-2.7101975774712628E-8</v>
      </c>
      <c r="Q33" s="22" t="s">
        <v>38</v>
      </c>
      <c r="R33" s="11">
        <f t="shared" ref="R33:W33" ca="1" si="15">SUM(R26:R32)</f>
        <v>191.72243510867838</v>
      </c>
      <c r="S33" s="11">
        <f t="shared" si="15"/>
        <v>0</v>
      </c>
      <c r="T33" s="11">
        <f t="shared" ca="1" si="15"/>
        <v>96.086626291569985</v>
      </c>
      <c r="U33" s="11">
        <f t="shared" ca="1" si="15"/>
        <v>95.765356336784862</v>
      </c>
      <c r="V33" s="11">
        <f t="shared" ca="1" si="15"/>
        <v>192.04370506346351</v>
      </c>
      <c r="W33" s="11">
        <f t="shared" ca="1" si="15"/>
        <v>42.575133479633877</v>
      </c>
      <c r="X33" s="22">
        <f ca="1">(R33+S33+T33)-(U33+V33)</f>
        <v>0</v>
      </c>
      <c r="Z33" s="23" t="s">
        <v>38</v>
      </c>
      <c r="AA33" s="12">
        <f ca="1">SUM(AA26:AA32)</f>
        <v>293.76891271018025</v>
      </c>
      <c r="AB33" s="12">
        <f ca="1">AB26/AB35</f>
        <v>453.99859243345281</v>
      </c>
      <c r="AC33" s="12">
        <f ca="1">AC26/AC35</f>
        <v>680.99788821854622</v>
      </c>
      <c r="AD33" s="12">
        <f ca="1">SUM(AD26:AD32)</f>
        <v>66.769616925305399</v>
      </c>
      <c r="AE33" s="23">
        <f ca="1">(AA33+AB33)-(AC33+AD33)</f>
        <v>-2.1850610210094601E-10</v>
      </c>
      <c r="AG33" s="20" t="s">
        <v>38</v>
      </c>
      <c r="AH33" s="13">
        <f ca="1">SUM(AH26:AH32)</f>
        <v>680.99788822199935</v>
      </c>
      <c r="AI33" s="13"/>
      <c r="AJ33" s="13">
        <f ca="1">SUM(AJ26:AJ32)</f>
        <v>453.99859214799949</v>
      </c>
      <c r="AK33" s="13">
        <f ca="1">SUM(AK26:AK32)</f>
        <v>226.9992960739998</v>
      </c>
      <c r="AL33" s="20">
        <f ca="1">(AH33)-(AJ33+AK33)</f>
        <v>0</v>
      </c>
    </row>
    <row r="34" spans="2:38" x14ac:dyDescent="0.25">
      <c r="B34" s="33" t="s">
        <v>81</v>
      </c>
      <c r="C34" s="33"/>
      <c r="K34" s="21"/>
      <c r="L34" s="21"/>
      <c r="M34" s="21"/>
      <c r="N34" s="21"/>
      <c r="O34" s="21"/>
      <c r="Q34" s="22"/>
      <c r="R34" s="22"/>
      <c r="S34" s="22"/>
      <c r="T34" s="22"/>
      <c r="U34" s="22"/>
      <c r="V34" s="22"/>
      <c r="W34" s="22"/>
      <c r="X34" s="22"/>
      <c r="Z34" s="23"/>
      <c r="AA34" s="23"/>
      <c r="AB34" s="23"/>
      <c r="AC34" s="23"/>
      <c r="AD34" s="23"/>
      <c r="AE34" s="23"/>
      <c r="AG34" s="20"/>
      <c r="AH34" s="20"/>
      <c r="AI34" s="20"/>
      <c r="AJ34" s="20"/>
      <c r="AK34" s="20"/>
      <c r="AL34" s="20"/>
    </row>
    <row r="35" spans="2:38" x14ac:dyDescent="0.25">
      <c r="B35" s="19" t="s">
        <v>27</v>
      </c>
      <c r="C35" s="3">
        <f>28.01348</f>
        <v>28.013480000000001</v>
      </c>
      <c r="K35" s="21" t="s">
        <v>22</v>
      </c>
      <c r="L35" s="10"/>
      <c r="M35" s="10"/>
      <c r="N35" s="10"/>
      <c r="O35" s="21"/>
      <c r="Q35" s="22" t="s">
        <v>22</v>
      </c>
      <c r="R35" s="11"/>
      <c r="S35" s="11"/>
      <c r="T35" s="11"/>
      <c r="U35" s="11"/>
      <c r="V35" s="11"/>
      <c r="W35" s="11"/>
      <c r="X35" s="22"/>
      <c r="Z35" s="23" t="s">
        <v>22</v>
      </c>
      <c r="AA35" s="12"/>
      <c r="AB35" s="12">
        <f>AC35</f>
        <v>0.99199999999999999</v>
      </c>
      <c r="AC35" s="12">
        <f>1-C33</f>
        <v>0.99199999999999999</v>
      </c>
      <c r="AD35" s="12"/>
      <c r="AE35" s="23"/>
      <c r="AG35" s="20" t="s">
        <v>22</v>
      </c>
      <c r="AH35" s="13"/>
      <c r="AI35" s="13"/>
      <c r="AJ35" s="13"/>
      <c r="AK35" s="13"/>
      <c r="AL35" s="20"/>
    </row>
    <row r="36" spans="2:38" x14ac:dyDescent="0.25">
      <c r="B36" s="19" t="s">
        <v>25</v>
      </c>
      <c r="C36" s="3">
        <f>31.9988</f>
        <v>31.998799999999999</v>
      </c>
      <c r="K36" s="21" t="s">
        <v>25</v>
      </c>
      <c r="L36" s="10"/>
      <c r="M36" s="10"/>
      <c r="N36" s="10"/>
      <c r="O36" s="21"/>
      <c r="Q36" s="22" t="s">
        <v>25</v>
      </c>
      <c r="R36" s="11"/>
      <c r="S36" s="11"/>
      <c r="T36" s="11"/>
      <c r="U36" s="11"/>
      <c r="V36" s="11"/>
      <c r="W36" s="11"/>
      <c r="X36" s="22"/>
      <c r="Z36" s="23" t="s">
        <v>25</v>
      </c>
      <c r="AA36" s="12"/>
      <c r="AB36" s="12"/>
      <c r="AC36" s="12"/>
      <c r="AD36" s="12"/>
      <c r="AE36" s="23"/>
      <c r="AG36" s="20" t="s">
        <v>25</v>
      </c>
      <c r="AH36" s="13"/>
      <c r="AI36" s="13"/>
      <c r="AJ36" s="13"/>
      <c r="AK36" s="13"/>
      <c r="AL36" s="20"/>
    </row>
    <row r="37" spans="2:38" x14ac:dyDescent="0.25">
      <c r="B37" s="19" t="s">
        <v>30</v>
      </c>
      <c r="C37" s="3">
        <f>28.054</f>
        <v>28.053999999999998</v>
      </c>
      <c r="K37" s="21" t="s">
        <v>27</v>
      </c>
      <c r="L37" s="10"/>
      <c r="M37" s="10"/>
      <c r="N37" s="10"/>
      <c r="O37" s="21"/>
      <c r="Q37" s="22" t="s">
        <v>27</v>
      </c>
      <c r="R37" s="11"/>
      <c r="S37" s="11"/>
      <c r="T37" s="11"/>
      <c r="U37" s="11"/>
      <c r="V37" s="11"/>
      <c r="W37" s="11"/>
      <c r="X37" s="22"/>
      <c r="Z37" s="23" t="s">
        <v>27</v>
      </c>
      <c r="AA37" s="12"/>
      <c r="AB37" s="12"/>
      <c r="AC37" s="12"/>
      <c r="AD37" s="12"/>
      <c r="AE37" s="23"/>
      <c r="AG37" s="20" t="s">
        <v>27</v>
      </c>
      <c r="AH37" s="13"/>
      <c r="AI37" s="13"/>
      <c r="AJ37" s="13"/>
      <c r="AK37" s="13"/>
      <c r="AL37" s="20"/>
    </row>
    <row r="38" spans="2:38" x14ac:dyDescent="0.25">
      <c r="B38" s="19" t="s">
        <v>82</v>
      </c>
      <c r="C38" s="3">
        <f>44.053</f>
        <v>44.052999999999997</v>
      </c>
      <c r="K38" s="21" t="s">
        <v>30</v>
      </c>
      <c r="L38" s="10"/>
      <c r="M38" s="10"/>
      <c r="N38" s="10"/>
      <c r="O38" s="21"/>
      <c r="Q38" s="22" t="s">
        <v>30</v>
      </c>
      <c r="R38" s="11"/>
      <c r="S38" s="11"/>
      <c r="T38" s="11"/>
      <c r="U38" s="11"/>
      <c r="V38" s="11"/>
      <c r="W38" s="11"/>
      <c r="X38" s="22"/>
      <c r="Z38" s="23" t="s">
        <v>30</v>
      </c>
      <c r="AA38" s="12"/>
      <c r="AB38" s="12"/>
      <c r="AC38" s="12"/>
      <c r="AD38" s="12"/>
      <c r="AE38" s="23"/>
      <c r="AG38" s="20" t="s">
        <v>30</v>
      </c>
      <c r="AH38" s="13"/>
      <c r="AI38" s="13"/>
      <c r="AJ38" s="13"/>
      <c r="AK38" s="13"/>
      <c r="AL38" s="20"/>
    </row>
    <row r="39" spans="2:38" x14ac:dyDescent="0.25">
      <c r="B39" s="19" t="s">
        <v>79</v>
      </c>
      <c r="C39" s="3">
        <f>44.053</f>
        <v>44.052999999999997</v>
      </c>
      <c r="K39" s="21" t="s">
        <v>33</v>
      </c>
      <c r="L39" s="10"/>
      <c r="M39" s="10"/>
      <c r="N39" s="10"/>
      <c r="O39" s="21"/>
      <c r="Q39" s="22" t="s">
        <v>33</v>
      </c>
      <c r="R39" s="11"/>
      <c r="S39" s="11"/>
      <c r="T39" s="11"/>
      <c r="U39" s="11"/>
      <c r="V39" s="11"/>
      <c r="W39" s="11"/>
      <c r="X39" s="22"/>
      <c r="Z39" s="23" t="s">
        <v>33</v>
      </c>
      <c r="AA39" s="12"/>
      <c r="AB39" s="12"/>
      <c r="AC39" s="12"/>
      <c r="AD39" s="12"/>
      <c r="AE39" s="23"/>
      <c r="AG39" s="20" t="s">
        <v>33</v>
      </c>
      <c r="AH39" s="13"/>
      <c r="AI39" s="13"/>
      <c r="AJ39" s="13"/>
      <c r="AK39" s="13"/>
      <c r="AL39" s="20"/>
    </row>
    <row r="40" spans="2:38" x14ac:dyDescent="0.25">
      <c r="B40" s="19" t="s">
        <v>33</v>
      </c>
      <c r="C40" s="3">
        <v>44.009</v>
      </c>
      <c r="K40" s="21" t="s">
        <v>35</v>
      </c>
      <c r="L40" s="10"/>
      <c r="M40" s="10"/>
      <c r="N40" s="10"/>
      <c r="O40" s="21"/>
      <c r="Q40" s="22" t="s">
        <v>35</v>
      </c>
      <c r="R40" s="11"/>
      <c r="S40" s="11"/>
      <c r="T40" s="11"/>
      <c r="U40" s="11"/>
      <c r="V40" s="11"/>
      <c r="W40" s="11"/>
      <c r="X40" s="22"/>
      <c r="Z40" s="23" t="s">
        <v>35</v>
      </c>
      <c r="AA40" s="12"/>
      <c r="AB40" s="12"/>
      <c r="AC40" s="12"/>
      <c r="AD40" s="12"/>
      <c r="AE40" s="23"/>
      <c r="AG40" s="20" t="s">
        <v>35</v>
      </c>
      <c r="AH40" s="13"/>
      <c r="AI40" s="13"/>
      <c r="AJ40" s="13"/>
      <c r="AK40" s="13"/>
      <c r="AL40" s="20"/>
    </row>
    <row r="41" spans="2:38" x14ac:dyDescent="0.25">
      <c r="B41" s="19" t="s">
        <v>35</v>
      </c>
      <c r="C41" s="3">
        <v>18.015000000000001</v>
      </c>
      <c r="K41" s="21" t="s">
        <v>37</v>
      </c>
      <c r="L41" s="10"/>
      <c r="M41" s="10"/>
      <c r="N41" s="10"/>
      <c r="O41" s="21"/>
      <c r="Q41" s="22" t="s">
        <v>37</v>
      </c>
      <c r="R41" s="11"/>
      <c r="S41" s="11"/>
      <c r="T41" s="11"/>
      <c r="U41" s="11"/>
      <c r="V41" s="11"/>
      <c r="W41" s="11"/>
      <c r="X41" s="22"/>
      <c r="Z41" s="23" t="s">
        <v>37</v>
      </c>
      <c r="AA41" s="12"/>
      <c r="AB41" s="12">
        <f>AC41</f>
        <v>8.0000000000000002E-3</v>
      </c>
      <c r="AC41" s="12">
        <f>C33</f>
        <v>8.0000000000000002E-3</v>
      </c>
      <c r="AD41" s="12"/>
      <c r="AE41" s="23"/>
      <c r="AG41" s="20" t="s">
        <v>37</v>
      </c>
      <c r="AH41" s="13"/>
      <c r="AI41" s="13"/>
      <c r="AJ41" s="13"/>
      <c r="AK41" s="13"/>
      <c r="AL41" s="20"/>
    </row>
    <row r="42" spans="2:38" x14ac:dyDescent="0.25">
      <c r="B42" s="33" t="s">
        <v>83</v>
      </c>
      <c r="C42" s="33"/>
      <c r="K42" s="21" t="s">
        <v>38</v>
      </c>
      <c r="L42" s="10">
        <f>SUM(L35:L41)</f>
        <v>0</v>
      </c>
      <c r="M42" s="10">
        <f>SUM(M35:M41)</f>
        <v>0</v>
      </c>
      <c r="N42" s="10">
        <f>SUM(N35:N41)</f>
        <v>0</v>
      </c>
      <c r="O42" s="21"/>
      <c r="Q42" s="22" t="s">
        <v>38</v>
      </c>
      <c r="R42" s="11">
        <f t="shared" ref="R42:W42" si="16">SUM(R35:R41)</f>
        <v>0</v>
      </c>
      <c r="S42" s="11">
        <f t="shared" si="16"/>
        <v>0</v>
      </c>
      <c r="T42" s="11">
        <f t="shared" si="16"/>
        <v>0</v>
      </c>
      <c r="U42" s="11">
        <f t="shared" si="16"/>
        <v>0</v>
      </c>
      <c r="V42" s="11">
        <f t="shared" si="16"/>
        <v>0</v>
      </c>
      <c r="W42" s="11">
        <f t="shared" si="16"/>
        <v>0</v>
      </c>
      <c r="X42" s="22"/>
      <c r="Z42" s="23" t="s">
        <v>38</v>
      </c>
      <c r="AA42" s="12">
        <f>SUM(AA35:AA41)</f>
        <v>0</v>
      </c>
      <c r="AB42" s="12">
        <f>SUM(AB35:AB41)</f>
        <v>1</v>
      </c>
      <c r="AC42" s="12">
        <f>SUM(AC35:AC41)</f>
        <v>1</v>
      </c>
      <c r="AD42" s="12">
        <f>SUM(AD35:AD41)</f>
        <v>0</v>
      </c>
      <c r="AE42" s="23"/>
      <c r="AG42" s="20" t="s">
        <v>38</v>
      </c>
      <c r="AH42" s="13">
        <f>SUM(AH35:AH41)</f>
        <v>0</v>
      </c>
      <c r="AI42" s="13">
        <f>SUM(AI35:AI41)</f>
        <v>0</v>
      </c>
      <c r="AJ42" s="13">
        <f>SUM(AJ35:AJ41)</f>
        <v>0</v>
      </c>
      <c r="AK42" s="13">
        <f>SUM(AK35:AK41)</f>
        <v>0</v>
      </c>
      <c r="AL42" s="20"/>
    </row>
    <row r="43" spans="2:38" x14ac:dyDescent="0.25">
      <c r="B43" s="19" t="s">
        <v>84</v>
      </c>
      <c r="C43" s="3">
        <v>1</v>
      </c>
    </row>
  </sheetData>
  <scenarios current="0">
    <scenario name="FOI" count="4" user="Isabelli Krul Vieira" comment="Criado por Isabelli Krul Vieira em 5/1/2023">
      <inputCells r="G6" undone="1" val="0.958276452910449"/>
      <inputCells r="G5" undone="1" val="0.913065154819415"/>
      <inputCells r="G4" undone="1" val="1958.47558714539"/>
      <inputCells r="G3" undone="1" val="517.162164327932"/>
    </scenario>
    <scenario name="CONSEGUI" count="4" user="Isabelli Krul Vieira" comment="Criado por Isabelli Krul Vieira em 5/1/2023">
      <inputCells r="G6" undone="1" val="0.958276452910449"/>
      <inputCells r="G5" undone="1" val="0.913065154819415"/>
      <inputCells r="G4" undone="1" val="1958.47558714539"/>
      <inputCells r="G3" undone="1" val="517.162164327932"/>
    </scenario>
    <scenario name="AAAA" count="4" user="Isabelli Krul Vieira" comment="Criado por Isabelli Krul Vieira em 5/28/2023">
      <inputCells r="G8" undone="1" val="38.191598802166"/>
      <inputCells r="G6" undone="1" val="0.976567708554466"/>
      <inputCells r="G5" undone="1" val="0.0177873419955238"/>
      <inputCells r="G3" undone="1" val="2754.20082662655"/>
    </scenario>
  </scenarios>
  <mergeCells count="36">
    <mergeCell ref="H3:H4"/>
    <mergeCell ref="B2:C2"/>
    <mergeCell ref="F2:G2"/>
    <mergeCell ref="K2:Q2"/>
    <mergeCell ref="S2:Y2"/>
    <mergeCell ref="AA2:AG2"/>
    <mergeCell ref="B22:C22"/>
    <mergeCell ref="E22:F22"/>
    <mergeCell ref="B11:C11"/>
    <mergeCell ref="E12:H12"/>
    <mergeCell ref="E13:F13"/>
    <mergeCell ref="E14:F14"/>
    <mergeCell ref="E15:F15"/>
    <mergeCell ref="E16:F16"/>
    <mergeCell ref="E17:F17"/>
    <mergeCell ref="E18:F18"/>
    <mergeCell ref="B19:C19"/>
    <mergeCell ref="E19:F19"/>
    <mergeCell ref="E21:I21"/>
    <mergeCell ref="E28:F28"/>
    <mergeCell ref="E23:F23"/>
    <mergeCell ref="B24:C24"/>
    <mergeCell ref="E24:F24"/>
    <mergeCell ref="K24:O24"/>
    <mergeCell ref="AG24:AL24"/>
    <mergeCell ref="E25:F25"/>
    <mergeCell ref="E26:F26"/>
    <mergeCell ref="B27:C27"/>
    <mergeCell ref="E27:F27"/>
    <mergeCell ref="Q24:X24"/>
    <mergeCell ref="Z24:AE24"/>
    <mergeCell ref="E29:F29"/>
    <mergeCell ref="B30:C30"/>
    <mergeCell ref="E30:F30"/>
    <mergeCell ref="B34:C34"/>
    <mergeCell ref="B42:C42"/>
  </mergeCells>
  <conditionalFormatting sqref="A1:AO13 A14:M14 N14:AO19 E15 G15:H15 I15:M19 A15:D30 E16:H16 G17:H18 E19:H19 I20:AO20 J21:AO30 A31:AO73">
    <cfRule type="cellIs" dxfId="11" priority="9" stopIfTrue="1" operator="lessThan">
      <formula>0</formula>
    </cfRule>
  </conditionalFormatting>
  <conditionalFormatting sqref="E17:E18">
    <cfRule type="cellIs" dxfId="10" priority="8" stopIfTrue="1" operator="lessThan">
      <formula>0</formula>
    </cfRule>
  </conditionalFormatting>
  <conditionalFormatting sqref="E21 E22:H23 E24 G24:H24 E25:H25 G26:H27">
    <cfRule type="cellIs" dxfId="9" priority="7" stopIfTrue="1" operator="lessThan">
      <formula>0</formula>
    </cfRule>
  </conditionalFormatting>
  <conditionalFormatting sqref="E26:E27">
    <cfRule type="cellIs" dxfId="8" priority="6" stopIfTrue="1" operator="lessThan">
      <formula>0</formula>
    </cfRule>
  </conditionalFormatting>
  <conditionalFormatting sqref="E28:H30">
    <cfRule type="cellIs" dxfId="7" priority="4" stopIfTrue="1" operator="lessThan">
      <formula>0</formula>
    </cfRule>
  </conditionalFormatting>
  <conditionalFormatting sqref="I22:I30">
    <cfRule type="cellIs" dxfId="6" priority="1" stopIfTrue="1" operator="lessThan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B3C1B-BA2D-4A5C-A840-765774AFE8A8}">
  <dimension ref="B2:AL43"/>
  <sheetViews>
    <sheetView topLeftCell="I8" workbookViewId="0">
      <selection activeCell="AD7" sqref="AD7"/>
    </sheetView>
  </sheetViews>
  <sheetFormatPr defaultRowHeight="15" x14ac:dyDescent="0.25"/>
  <sheetData>
    <row r="2" spans="2:33" x14ac:dyDescent="0.25">
      <c r="K2" s="40" t="s">
        <v>3</v>
      </c>
      <c r="L2" s="40"/>
      <c r="M2" s="40"/>
      <c r="N2" s="40"/>
      <c r="O2" s="40"/>
      <c r="P2" s="40"/>
      <c r="Q2" s="40"/>
      <c r="S2" s="41" t="s">
        <v>4</v>
      </c>
      <c r="T2" s="41"/>
      <c r="U2" s="41"/>
      <c r="V2" s="41"/>
      <c r="W2" s="41"/>
      <c r="X2" s="41"/>
      <c r="Y2" s="41"/>
      <c r="AA2" s="32" t="s">
        <v>5</v>
      </c>
      <c r="AB2" s="32"/>
      <c r="AC2" s="32"/>
      <c r="AD2" s="32"/>
      <c r="AE2" s="32"/>
      <c r="AF2" s="32"/>
      <c r="AG2" s="32"/>
    </row>
    <row r="3" spans="2:33" x14ac:dyDescent="0.25">
      <c r="B3" s="26"/>
      <c r="C3" s="27"/>
      <c r="H3" s="31"/>
      <c r="K3" s="24"/>
      <c r="L3" s="24">
        <v>1</v>
      </c>
      <c r="M3" s="24">
        <v>2</v>
      </c>
      <c r="N3" s="24">
        <v>3</v>
      </c>
      <c r="O3" s="24">
        <v>5</v>
      </c>
      <c r="P3" s="24" t="s">
        <v>8</v>
      </c>
      <c r="Q3" s="24" t="s">
        <v>9</v>
      </c>
      <c r="S3" s="25"/>
      <c r="T3" s="25" t="s">
        <v>10</v>
      </c>
      <c r="U3" s="25" t="s">
        <v>11</v>
      </c>
      <c r="V3" s="25" t="s">
        <v>12</v>
      </c>
      <c r="W3" s="25" t="s">
        <v>13</v>
      </c>
      <c r="X3" s="25" t="s">
        <v>14</v>
      </c>
      <c r="Y3" s="25" t="s">
        <v>9</v>
      </c>
      <c r="AA3" s="18"/>
      <c r="AB3" s="18" t="s">
        <v>15</v>
      </c>
      <c r="AC3" s="18" t="s">
        <v>16</v>
      </c>
      <c r="AD3" s="18" t="s">
        <v>17</v>
      </c>
      <c r="AE3" s="18" t="s">
        <v>18</v>
      </c>
      <c r="AF3" s="18" t="s">
        <v>19</v>
      </c>
      <c r="AG3" s="18" t="s">
        <v>9</v>
      </c>
    </row>
    <row r="4" spans="2:33" x14ac:dyDescent="0.25">
      <c r="B4" s="27"/>
      <c r="C4" s="27"/>
      <c r="H4" s="31"/>
      <c r="I4" s="3">
        <v>44.052999999999997</v>
      </c>
      <c r="K4" s="24" t="s">
        <v>22</v>
      </c>
      <c r="L4" s="5">
        <v>0</v>
      </c>
      <c r="M4" s="5">
        <v>0</v>
      </c>
      <c r="N4" s="5">
        <v>2.3678391959798942E-2</v>
      </c>
      <c r="O4" s="5">
        <v>9969.8492462311569</v>
      </c>
      <c r="P4" s="5">
        <v>2.3678391959798942E-2</v>
      </c>
      <c r="Q4" s="24"/>
      <c r="S4" s="25" t="s">
        <v>22</v>
      </c>
      <c r="T4" s="6">
        <v>9969.8492462311569</v>
      </c>
      <c r="U4" s="6">
        <v>0</v>
      </c>
      <c r="V4" s="6">
        <v>9920.0000000000018</v>
      </c>
      <c r="W4" s="6">
        <v>49.849246231155668</v>
      </c>
      <c r="X4" s="6">
        <v>49.825567839195863</v>
      </c>
      <c r="Y4" s="25"/>
      <c r="AA4" s="18" t="s">
        <v>22</v>
      </c>
      <c r="AB4" s="7">
        <v>9920.0000000000018</v>
      </c>
      <c r="AC4" s="7">
        <v>9.9299555110999034</v>
      </c>
      <c r="AD4" s="7">
        <v>0</v>
      </c>
      <c r="AE4" s="7">
        <v>0</v>
      </c>
      <c r="AF4" s="7">
        <v>9929.9299555111011</v>
      </c>
      <c r="AG4" s="18"/>
    </row>
    <row r="5" spans="2:33" x14ac:dyDescent="0.25">
      <c r="B5" s="28"/>
      <c r="C5" s="27"/>
      <c r="I5" s="3">
        <v>31.998799999999999</v>
      </c>
      <c r="K5" s="24" t="s">
        <v>25</v>
      </c>
      <c r="L5" s="5">
        <v>0</v>
      </c>
      <c r="M5" s="5">
        <v>44762.333457574234</v>
      </c>
      <c r="N5" s="5">
        <v>44778.751009433741</v>
      </c>
      <c r="O5" s="5">
        <v>35268.639870050203</v>
      </c>
      <c r="P5" s="5">
        <v>16.417551859508372</v>
      </c>
      <c r="Q5" s="24"/>
      <c r="S5" s="25" t="s">
        <v>25</v>
      </c>
      <c r="T5" s="6">
        <v>35268.639870050203</v>
      </c>
      <c r="U5" s="6">
        <v>0</v>
      </c>
      <c r="V5" s="6">
        <v>705.37279740100416</v>
      </c>
      <c r="W5" s="6">
        <v>34563.2670726492</v>
      </c>
      <c r="X5" s="6">
        <v>34546.849520789692</v>
      </c>
      <c r="Y5" s="25"/>
      <c r="AA5" s="18" t="s">
        <v>25</v>
      </c>
      <c r="AB5" s="7">
        <v>705.37279740100416</v>
      </c>
      <c r="AC5" s="7">
        <v>0.70607887627721166</v>
      </c>
      <c r="AD5" s="7">
        <v>0</v>
      </c>
      <c r="AE5" s="7">
        <v>0</v>
      </c>
      <c r="AF5" s="7">
        <v>706.07887627728132</v>
      </c>
      <c r="AG5" s="18"/>
    </row>
    <row r="6" spans="2:33" x14ac:dyDescent="0.25">
      <c r="B6" s="28"/>
      <c r="C6" s="27"/>
      <c r="I6" s="3">
        <v>28.013480000000001</v>
      </c>
      <c r="K6" s="24" t="s">
        <v>27</v>
      </c>
      <c r="L6" s="5">
        <v>0</v>
      </c>
      <c r="M6" s="5">
        <v>147419.14415882836</v>
      </c>
      <c r="N6" s="5">
        <v>147488.50062624787</v>
      </c>
      <c r="O6" s="5">
        <v>147488.50062624787</v>
      </c>
      <c r="P6" s="5">
        <v>69.356467419493072</v>
      </c>
      <c r="Q6" s="24"/>
      <c r="S6" s="25" t="s">
        <v>27</v>
      </c>
      <c r="T6" s="6">
        <v>147488.50062624787</v>
      </c>
      <c r="U6" s="6">
        <v>0</v>
      </c>
      <c r="V6" s="6">
        <v>1474.8850062624786</v>
      </c>
      <c r="W6" s="6">
        <v>146013.61561998539</v>
      </c>
      <c r="X6" s="6">
        <v>145944.25915256588</v>
      </c>
      <c r="Y6" s="25"/>
      <c r="AA6" s="18" t="s">
        <v>27</v>
      </c>
      <c r="AB6" s="7">
        <v>1474.8850062624786</v>
      </c>
      <c r="AC6" s="7">
        <v>1.4763613676300129</v>
      </c>
      <c r="AD6" s="7">
        <v>0</v>
      </c>
      <c r="AE6" s="7">
        <v>0</v>
      </c>
      <c r="AF6" s="7">
        <v>1476.3613676301086</v>
      </c>
      <c r="AG6" s="18"/>
    </row>
    <row r="7" spans="2:33" x14ac:dyDescent="0.25">
      <c r="B7" s="28"/>
      <c r="C7" s="27"/>
      <c r="I7" s="3">
        <v>28.053999999999998</v>
      </c>
      <c r="K7" s="24" t="s">
        <v>30</v>
      </c>
      <c r="L7" s="5">
        <v>78483.622387664553</v>
      </c>
      <c r="M7" s="5">
        <v>0</v>
      </c>
      <c r="N7" s="5">
        <v>78516.886934425915</v>
      </c>
      <c r="O7" s="5">
        <v>70382.5374480194</v>
      </c>
      <c r="P7" s="5">
        <v>33.264546761370163</v>
      </c>
      <c r="Q7" s="24"/>
      <c r="S7" s="25" t="s">
        <v>30</v>
      </c>
      <c r="T7" s="6">
        <v>70382.5374480194</v>
      </c>
      <c r="U7" s="6">
        <v>0</v>
      </c>
      <c r="V7" s="6">
        <v>351.912687240097</v>
      </c>
      <c r="W7" s="6">
        <v>70030.62476077929</v>
      </c>
      <c r="X7" s="6">
        <v>69997.360214017914</v>
      </c>
      <c r="Y7" s="25"/>
      <c r="AA7" s="18" t="s">
        <v>30</v>
      </c>
      <c r="AB7" s="7">
        <v>351.912687240097</v>
      </c>
      <c r="AC7" s="7">
        <v>0.35226495219224357</v>
      </c>
      <c r="AD7" s="7">
        <v>0</v>
      </c>
      <c r="AE7" s="7">
        <v>0</v>
      </c>
      <c r="AF7" s="7">
        <v>352.26495219228923</v>
      </c>
      <c r="AG7" s="18"/>
    </row>
    <row r="8" spans="2:33" x14ac:dyDescent="0.25">
      <c r="B8" s="28"/>
      <c r="C8" s="27"/>
      <c r="I8" s="3">
        <v>44.009</v>
      </c>
      <c r="K8" s="24" t="s">
        <v>33</v>
      </c>
      <c r="L8" s="5">
        <v>0</v>
      </c>
      <c r="M8" s="5">
        <v>0</v>
      </c>
      <c r="N8" s="5">
        <v>2.3685757353499395</v>
      </c>
      <c r="O8" s="5">
        <v>5361.8013250706035</v>
      </c>
      <c r="P8" s="5">
        <v>2.3685757353499395</v>
      </c>
      <c r="Q8" s="24"/>
      <c r="S8" s="25" t="s">
        <v>33</v>
      </c>
      <c r="T8" s="6">
        <v>5361.8013250706035</v>
      </c>
      <c r="U8" s="6">
        <v>0</v>
      </c>
      <c r="V8" s="6">
        <v>375.32609275494224</v>
      </c>
      <c r="W8" s="6">
        <v>4986.4752323156608</v>
      </c>
      <c r="X8" s="6">
        <v>4984.1066565803112</v>
      </c>
      <c r="Y8" s="25"/>
      <c r="AA8" s="18" t="s">
        <v>33</v>
      </c>
      <c r="AB8" s="7">
        <v>375.32609275494224</v>
      </c>
      <c r="AC8" s="7">
        <v>0.37570179454945796</v>
      </c>
      <c r="AD8" s="7">
        <v>0</v>
      </c>
      <c r="AE8" s="7">
        <v>0</v>
      </c>
      <c r="AF8" s="7">
        <v>375.70179454949169</v>
      </c>
      <c r="AG8" s="18"/>
    </row>
    <row r="9" spans="2:33" x14ac:dyDescent="0.25">
      <c r="B9" s="28"/>
      <c r="C9" s="27"/>
      <c r="I9" s="3">
        <v>18.015000000000001</v>
      </c>
      <c r="K9" s="24" t="s">
        <v>35</v>
      </c>
      <c r="L9" s="5">
        <v>0</v>
      </c>
      <c r="M9" s="5">
        <v>0</v>
      </c>
      <c r="N9" s="5">
        <v>0.11444936741601291</v>
      </c>
      <c r="O9" s="5">
        <v>2193.9879974888136</v>
      </c>
      <c r="P9" s="5">
        <v>0.11444936741601291</v>
      </c>
      <c r="Q9" s="24"/>
      <c r="S9" s="25" t="s">
        <v>35</v>
      </c>
      <c r="T9" s="6">
        <v>2193.9879974888136</v>
      </c>
      <c r="U9" s="6">
        <v>173119.69936425125</v>
      </c>
      <c r="V9" s="6">
        <v>175072.74132507478</v>
      </c>
      <c r="W9" s="6">
        <v>240.94603666529031</v>
      </c>
      <c r="X9" s="6">
        <v>240.83158729787431</v>
      </c>
      <c r="Y9" s="25"/>
      <c r="AA9" s="18" t="s">
        <v>35</v>
      </c>
      <c r="AB9" s="7">
        <v>175072.74132507478</v>
      </c>
      <c r="AC9" s="7">
        <v>3453.8796684828412</v>
      </c>
      <c r="AD9" s="7">
        <v>177340.57006443388</v>
      </c>
      <c r="AE9" s="7">
        <v>4220.8707001826324</v>
      </c>
      <c r="AF9" s="7">
        <v>1186.0509294872079</v>
      </c>
      <c r="AG9" s="18"/>
    </row>
    <row r="10" spans="2:33" x14ac:dyDescent="0.25">
      <c r="B10" s="28"/>
      <c r="C10" s="27"/>
      <c r="I10" s="3">
        <v>44.052999999999997</v>
      </c>
      <c r="K10" s="24" t="s">
        <v>37</v>
      </c>
      <c r="L10" s="5">
        <v>0</v>
      </c>
      <c r="M10" s="5">
        <v>0</v>
      </c>
      <c r="N10" s="5">
        <v>0</v>
      </c>
      <c r="O10" s="5">
        <v>121.09099879966637</v>
      </c>
      <c r="P10" s="5">
        <v>0</v>
      </c>
      <c r="Q10" s="24"/>
      <c r="S10" s="25" t="s">
        <v>37</v>
      </c>
      <c r="T10" s="6">
        <v>121.09099879966637</v>
      </c>
      <c r="U10" s="6">
        <v>0</v>
      </c>
      <c r="V10" s="6">
        <v>121.09099879966637</v>
      </c>
      <c r="W10" s="6">
        <v>0</v>
      </c>
      <c r="X10" s="6">
        <v>0</v>
      </c>
      <c r="Y10" s="25"/>
      <c r="AA10" s="18" t="s">
        <v>37</v>
      </c>
      <c r="AB10" s="7">
        <v>121.09099879966637</v>
      </c>
      <c r="AC10" s="7">
        <v>0</v>
      </c>
      <c r="AD10" s="7">
        <v>0</v>
      </c>
      <c r="AE10" s="7">
        <v>0</v>
      </c>
      <c r="AF10" s="7">
        <v>121.09099879966637</v>
      </c>
      <c r="AG10" s="18"/>
    </row>
    <row r="11" spans="2:33" x14ac:dyDescent="0.25">
      <c r="K11" s="24" t="s">
        <v>38</v>
      </c>
      <c r="L11" s="5">
        <f>SUM(L4:L10)</f>
        <v>78483.622387664553</v>
      </c>
      <c r="M11" s="5">
        <f t="shared" ref="M11:P11" si="0">SUM(M4:M10)</f>
        <v>192181.47761640261</v>
      </c>
      <c r="N11" s="5">
        <f t="shared" si="0"/>
        <v>270786.64527360222</v>
      </c>
      <c r="O11" s="5">
        <f t="shared" si="0"/>
        <v>270786.40751190769</v>
      </c>
      <c r="P11" s="5">
        <f t="shared" si="0"/>
        <v>121.54526953509735</v>
      </c>
      <c r="Q11" s="24"/>
      <c r="S11" s="25" t="s">
        <v>38</v>
      </c>
      <c r="T11" s="6">
        <f>SUM(T4:T10)</f>
        <v>270786.40751190769</v>
      </c>
      <c r="U11" s="6">
        <f t="shared" ref="U11:X11" si="1">SUM(U4:U10)</f>
        <v>173119.69936425125</v>
      </c>
      <c r="V11" s="6">
        <f t="shared" si="1"/>
        <v>188021.32890753297</v>
      </c>
      <c r="W11" s="6">
        <f t="shared" si="1"/>
        <v>255884.77796862597</v>
      </c>
      <c r="X11" s="6">
        <f t="shared" si="1"/>
        <v>255763.23269909088</v>
      </c>
      <c r="Y11" s="25"/>
      <c r="AA11" s="18" t="s">
        <v>38</v>
      </c>
      <c r="AB11" s="7">
        <f>SUM(AB4:AB10)</f>
        <v>188021.32890753297</v>
      </c>
      <c r="AC11" s="7">
        <f t="shared" ref="AC11:AF11" si="2">SUM(AC4:AC10)</f>
        <v>3466.7200309845903</v>
      </c>
      <c r="AD11" s="7">
        <f t="shared" si="2"/>
        <v>177340.57006443388</v>
      </c>
      <c r="AE11" s="7">
        <f t="shared" si="2"/>
        <v>4220.8707001826324</v>
      </c>
      <c r="AF11" s="7">
        <f t="shared" si="2"/>
        <v>14147.478874447144</v>
      </c>
      <c r="AG11" s="18"/>
    </row>
    <row r="12" spans="2:33" x14ac:dyDescent="0.25">
      <c r="B12" s="27"/>
      <c r="C12" s="27"/>
      <c r="K12" s="24"/>
      <c r="L12" s="24"/>
      <c r="M12" s="24"/>
      <c r="N12" s="24"/>
      <c r="O12" s="24"/>
      <c r="P12" s="24"/>
      <c r="Q12" s="24"/>
      <c r="S12" s="25"/>
      <c r="T12" s="25"/>
      <c r="U12" s="25"/>
      <c r="V12" s="25"/>
      <c r="W12" s="25"/>
      <c r="X12" s="25"/>
      <c r="Y12" s="25"/>
      <c r="AA12" s="18"/>
      <c r="AB12" s="18"/>
      <c r="AC12" s="18"/>
      <c r="AD12" s="18"/>
      <c r="AE12" s="18"/>
      <c r="AF12" s="18"/>
      <c r="AG12" s="18"/>
    </row>
    <row r="13" spans="2:33" x14ac:dyDescent="0.25">
      <c r="B13" s="27"/>
      <c r="C13" s="27"/>
      <c r="K13" s="24" t="s">
        <v>22</v>
      </c>
      <c r="L13" s="5">
        <f>L4/L$11</f>
        <v>0</v>
      </c>
      <c r="M13" s="5">
        <f t="shared" ref="M13:P13" si="3">M4/M$11</f>
        <v>0</v>
      </c>
      <c r="N13" s="5">
        <f t="shared" si="3"/>
        <v>8.7442982780315284E-8</v>
      </c>
      <c r="O13" s="5">
        <f t="shared" si="3"/>
        <v>3.6818130340581214E-2</v>
      </c>
      <c r="P13" s="5">
        <f t="shared" si="3"/>
        <v>1.9481129994089637E-4</v>
      </c>
      <c r="Q13" s="24"/>
      <c r="S13" s="25" t="s">
        <v>22</v>
      </c>
      <c r="T13" s="6">
        <f>T4/T$11</f>
        <v>3.6818130340581214E-2</v>
      </c>
      <c r="U13" s="6">
        <f t="shared" ref="U13:X13" si="4">U4/U$11</f>
        <v>0</v>
      </c>
      <c r="V13" s="6">
        <f t="shared" si="4"/>
        <v>5.275997174170894E-2</v>
      </c>
      <c r="W13" s="6">
        <f t="shared" si="4"/>
        <v>1.9481129994089637E-4</v>
      </c>
      <c r="X13" s="6">
        <f t="shared" si="4"/>
        <v>1.9481129994089634E-4</v>
      </c>
      <c r="Y13" s="25"/>
      <c r="AA13" s="18" t="s">
        <v>22</v>
      </c>
      <c r="AB13" s="7">
        <f>AB4/AB$11</f>
        <v>5.275997174170894E-2</v>
      </c>
      <c r="AC13" s="7">
        <f t="shared" ref="AC13:AF13" si="5">AC4/AC$11</f>
        <v>2.8643661508136486E-3</v>
      </c>
      <c r="AD13" s="7">
        <f t="shared" si="5"/>
        <v>0</v>
      </c>
      <c r="AE13" s="7">
        <f t="shared" si="5"/>
        <v>0</v>
      </c>
      <c r="AF13" s="7">
        <f t="shared" si="5"/>
        <v>0.7018868904937059</v>
      </c>
      <c r="AG13" s="18"/>
    </row>
    <row r="14" spans="2:33" x14ac:dyDescent="0.25">
      <c r="B14" s="27"/>
      <c r="C14" s="27"/>
      <c r="K14" s="24" t="s">
        <v>25</v>
      </c>
      <c r="L14" s="5">
        <f t="shared" ref="L14:P19" si="6">L5/L$11</f>
        <v>0</v>
      </c>
      <c r="M14" s="5">
        <f t="shared" si="6"/>
        <v>0.23291700122589643</v>
      </c>
      <c r="N14" s="5">
        <f t="shared" si="6"/>
        <v>0.16536543360249317</v>
      </c>
      <c r="O14" s="5">
        <f t="shared" si="6"/>
        <v>0.13024523717461439</v>
      </c>
      <c r="P14" s="5">
        <f t="shared" si="6"/>
        <v>0.13507355672750102</v>
      </c>
      <c r="Q14" s="24"/>
      <c r="S14" s="25" t="s">
        <v>25</v>
      </c>
      <c r="T14" s="6">
        <f t="shared" ref="T14:X19" si="7">T5/T$11</f>
        <v>0.13024523717461439</v>
      </c>
      <c r="U14" s="6">
        <f t="shared" si="7"/>
        <v>0</v>
      </c>
      <c r="V14" s="6">
        <f t="shared" si="7"/>
        <v>3.7515573445813669E-3</v>
      </c>
      <c r="W14" s="6">
        <f t="shared" si="7"/>
        <v>0.13507355672750102</v>
      </c>
      <c r="X14" s="6">
        <f t="shared" si="7"/>
        <v>0.13507355672750102</v>
      </c>
      <c r="Y14" s="25"/>
      <c r="AA14" s="18" t="s">
        <v>25</v>
      </c>
      <c r="AB14" s="7">
        <f t="shared" ref="AB14:AF19" si="8">AB5/AB$11</f>
        <v>3.7515573445813669E-3</v>
      </c>
      <c r="AC14" s="7">
        <f t="shared" si="8"/>
        <v>2.0367346366781074E-4</v>
      </c>
      <c r="AD14" s="7">
        <f t="shared" si="8"/>
        <v>0</v>
      </c>
      <c r="AE14" s="7">
        <f t="shared" si="8"/>
        <v>0</v>
      </c>
      <c r="AF14" s="7">
        <f t="shared" si="8"/>
        <v>4.9908459489031998E-2</v>
      </c>
      <c r="AG14" s="18"/>
    </row>
    <row r="15" spans="2:33" x14ac:dyDescent="0.25">
      <c r="B15" s="27"/>
      <c r="C15" s="27"/>
      <c r="K15" s="24" t="s">
        <v>27</v>
      </c>
      <c r="L15" s="5">
        <f t="shared" si="6"/>
        <v>0</v>
      </c>
      <c r="M15" s="5">
        <f t="shared" si="6"/>
        <v>0.76708299877410346</v>
      </c>
      <c r="N15" s="5">
        <f t="shared" si="6"/>
        <v>0.54466681869493905</v>
      </c>
      <c r="O15" s="5">
        <f t="shared" si="6"/>
        <v>0.54466729693499161</v>
      </c>
      <c r="P15" s="5">
        <f t="shared" si="6"/>
        <v>0.57062251525523777</v>
      </c>
      <c r="Q15" s="24"/>
      <c r="S15" s="25" t="s">
        <v>27</v>
      </c>
      <c r="T15" s="6">
        <f t="shared" si="7"/>
        <v>0.54466729693499161</v>
      </c>
      <c r="U15" s="6">
        <f t="shared" si="7"/>
        <v>0</v>
      </c>
      <c r="V15" s="6">
        <f t="shared" si="7"/>
        <v>7.8442430698264683E-3</v>
      </c>
      <c r="W15" s="6">
        <f t="shared" si="7"/>
        <v>0.57062251525523766</v>
      </c>
      <c r="X15" s="6">
        <f t="shared" si="7"/>
        <v>0.57062251525523766</v>
      </c>
      <c r="Y15" s="25"/>
      <c r="AA15" s="18" t="s">
        <v>27</v>
      </c>
      <c r="AB15" s="7">
        <f t="shared" si="8"/>
        <v>7.8442430698264683E-3</v>
      </c>
      <c r="AC15" s="7">
        <f t="shared" si="8"/>
        <v>4.258669158266895E-4</v>
      </c>
      <c r="AD15" s="7">
        <f t="shared" si="8"/>
        <v>0</v>
      </c>
      <c r="AE15" s="7">
        <f t="shared" si="8"/>
        <v>0</v>
      </c>
      <c r="AF15" s="7">
        <f t="shared" si="8"/>
        <v>0.10435508550549448</v>
      </c>
      <c r="AG15" s="18"/>
    </row>
    <row r="16" spans="2:33" x14ac:dyDescent="0.25">
      <c r="B16" s="27"/>
      <c r="C16" s="27"/>
      <c r="G16" s="29"/>
      <c r="K16" s="24" t="s">
        <v>30</v>
      </c>
      <c r="L16" s="5">
        <f t="shared" si="6"/>
        <v>1</v>
      </c>
      <c r="M16" s="5">
        <f t="shared" si="6"/>
        <v>0</v>
      </c>
      <c r="N16" s="5">
        <f t="shared" si="6"/>
        <v>0.2899584905861684</v>
      </c>
      <c r="O16" s="5">
        <f t="shared" si="6"/>
        <v>0.25991901918091798</v>
      </c>
      <c r="P16" s="5">
        <f t="shared" si="6"/>
        <v>0.2736803076631848</v>
      </c>
      <c r="Q16" s="24"/>
      <c r="S16" s="25" t="s">
        <v>30</v>
      </c>
      <c r="T16" s="6">
        <f t="shared" si="7"/>
        <v>0.25991901918091798</v>
      </c>
      <c r="U16" s="6">
        <f t="shared" si="7"/>
        <v>0</v>
      </c>
      <c r="V16" s="6">
        <f t="shared" si="7"/>
        <v>1.8716636526548761E-3</v>
      </c>
      <c r="W16" s="6">
        <f t="shared" si="7"/>
        <v>0.2736803076631848</v>
      </c>
      <c r="X16" s="6">
        <f t="shared" si="7"/>
        <v>0.2736803076631848</v>
      </c>
      <c r="Y16" s="25"/>
      <c r="AA16" s="18" t="s">
        <v>30</v>
      </c>
      <c r="AB16" s="7">
        <f t="shared" si="8"/>
        <v>1.8716636526548761E-3</v>
      </c>
      <c r="AC16" s="7">
        <f t="shared" si="8"/>
        <v>1.0161332586531255E-4</v>
      </c>
      <c r="AD16" s="7">
        <f t="shared" si="8"/>
        <v>0</v>
      </c>
      <c r="AE16" s="7">
        <f t="shared" si="8"/>
        <v>0</v>
      </c>
      <c r="AF16" s="7">
        <f t="shared" si="8"/>
        <v>2.4899486001604298E-2</v>
      </c>
      <c r="AG16" s="18"/>
    </row>
    <row r="17" spans="2:38" x14ac:dyDescent="0.25">
      <c r="B17" s="27"/>
      <c r="C17" s="27"/>
      <c r="G17" s="30"/>
      <c r="K17" s="24" t="s">
        <v>33</v>
      </c>
      <c r="L17" s="5">
        <f t="shared" si="6"/>
        <v>0</v>
      </c>
      <c r="M17" s="5">
        <f t="shared" si="6"/>
        <v>0</v>
      </c>
      <c r="N17" s="5">
        <f t="shared" si="6"/>
        <v>8.7470182769048151E-6</v>
      </c>
      <c r="O17" s="5">
        <f t="shared" si="6"/>
        <v>1.9800851063156932E-2</v>
      </c>
      <c r="P17" s="5">
        <f t="shared" si="6"/>
        <v>1.9487189788706592E-2</v>
      </c>
      <c r="Q17" s="24"/>
      <c r="S17" s="25" t="s">
        <v>33</v>
      </c>
      <c r="T17" s="6">
        <f t="shared" si="7"/>
        <v>1.9800851063156932E-2</v>
      </c>
      <c r="U17" s="6">
        <f t="shared" si="7"/>
        <v>0</v>
      </c>
      <c r="V17" s="6">
        <f t="shared" si="7"/>
        <v>1.9961889160964494E-3</v>
      </c>
      <c r="W17" s="6">
        <f t="shared" si="7"/>
        <v>1.9487189788706588E-2</v>
      </c>
      <c r="X17" s="6">
        <f t="shared" si="7"/>
        <v>1.9487189788706592E-2</v>
      </c>
      <c r="Y17" s="25"/>
      <c r="AA17" s="18" t="s">
        <v>33</v>
      </c>
      <c r="AB17" s="7">
        <f t="shared" si="8"/>
        <v>1.9961889160964494E-3</v>
      </c>
      <c r="AC17" s="7">
        <f t="shared" si="8"/>
        <v>1.0837384939987615E-4</v>
      </c>
      <c r="AD17" s="7">
        <f t="shared" si="8"/>
        <v>0</v>
      </c>
      <c r="AE17" s="7">
        <f t="shared" si="8"/>
        <v>0</v>
      </c>
      <c r="AF17" s="7">
        <f t="shared" si="8"/>
        <v>2.6556095109502215E-2</v>
      </c>
      <c r="AG17" s="18"/>
    </row>
    <row r="18" spans="2:38" x14ac:dyDescent="0.25">
      <c r="B18" s="27"/>
      <c r="C18" s="27"/>
      <c r="K18" s="24" t="s">
        <v>35</v>
      </c>
      <c r="L18" s="5">
        <f t="shared" si="6"/>
        <v>0</v>
      </c>
      <c r="M18" s="5">
        <f t="shared" si="6"/>
        <v>0</v>
      </c>
      <c r="N18" s="5">
        <f t="shared" si="6"/>
        <v>4.2265513980711101E-7</v>
      </c>
      <c r="O18" s="5">
        <f t="shared" si="6"/>
        <v>8.1022825984806267E-3</v>
      </c>
      <c r="P18" s="5">
        <f t="shared" si="6"/>
        <v>9.4161926542903898E-4</v>
      </c>
      <c r="Q18" s="24"/>
      <c r="S18" s="25" t="s">
        <v>35</v>
      </c>
      <c r="T18" s="6">
        <f t="shared" si="7"/>
        <v>8.1022825984806267E-3</v>
      </c>
      <c r="U18" s="6">
        <f t="shared" si="7"/>
        <v>1</v>
      </c>
      <c r="V18" s="6">
        <f t="shared" si="7"/>
        <v>0.93113234728371597</v>
      </c>
      <c r="W18" s="6">
        <f t="shared" si="7"/>
        <v>9.4161926542903887E-4</v>
      </c>
      <c r="X18" s="6">
        <f t="shared" si="7"/>
        <v>9.4161926542903898E-4</v>
      </c>
      <c r="Y18" s="25"/>
      <c r="AA18" s="18" t="s">
        <v>35</v>
      </c>
      <c r="AB18" s="7">
        <f t="shared" si="8"/>
        <v>0.93113234728371597</v>
      </c>
      <c r="AC18" s="7">
        <f t="shared" si="8"/>
        <v>0.99629610629442655</v>
      </c>
      <c r="AD18" s="7">
        <f t="shared" si="8"/>
        <v>1</v>
      </c>
      <c r="AE18" s="7">
        <f t="shared" si="8"/>
        <v>1</v>
      </c>
      <c r="AF18" s="7">
        <f t="shared" si="8"/>
        <v>8.3834790637463061E-2</v>
      </c>
      <c r="AG18" s="18"/>
    </row>
    <row r="19" spans="2:38" x14ac:dyDescent="0.25">
      <c r="K19" s="24" t="s">
        <v>37</v>
      </c>
      <c r="L19" s="5">
        <f t="shared" si="6"/>
        <v>0</v>
      </c>
      <c r="M19" s="5">
        <f t="shared" si="6"/>
        <v>0</v>
      </c>
      <c r="N19" s="5">
        <f t="shared" si="6"/>
        <v>0</v>
      </c>
      <c r="O19" s="5">
        <f t="shared" si="6"/>
        <v>4.4718270725734803E-4</v>
      </c>
      <c r="P19" s="5">
        <f t="shared" si="6"/>
        <v>0</v>
      </c>
      <c r="Q19" s="24"/>
      <c r="S19" s="25" t="s">
        <v>37</v>
      </c>
      <c r="T19" s="6">
        <f t="shared" si="7"/>
        <v>4.4718270725734803E-4</v>
      </c>
      <c r="U19" s="6">
        <f t="shared" si="7"/>
        <v>0</v>
      </c>
      <c r="V19" s="6">
        <f t="shared" si="7"/>
        <v>6.4402799141589798E-4</v>
      </c>
      <c r="W19" s="6">
        <f t="shared" si="7"/>
        <v>0</v>
      </c>
      <c r="X19" s="6">
        <f t="shared" si="7"/>
        <v>0</v>
      </c>
      <c r="Y19" s="25"/>
      <c r="AA19" s="18" t="s">
        <v>37</v>
      </c>
      <c r="AB19" s="7">
        <f t="shared" si="8"/>
        <v>6.4402799141589798E-4</v>
      </c>
      <c r="AC19" s="7">
        <f t="shared" si="8"/>
        <v>0</v>
      </c>
      <c r="AD19" s="7">
        <f t="shared" si="8"/>
        <v>0</v>
      </c>
      <c r="AE19" s="7">
        <f t="shared" si="8"/>
        <v>0</v>
      </c>
      <c r="AF19" s="7">
        <f t="shared" si="8"/>
        <v>8.5591927631981264E-3</v>
      </c>
      <c r="AG19" s="18"/>
    </row>
    <row r="20" spans="2:38" x14ac:dyDescent="0.25">
      <c r="B20" s="27"/>
      <c r="C20" s="27"/>
      <c r="K20" s="24" t="s">
        <v>38</v>
      </c>
      <c r="L20" s="5">
        <f>SUM(L13:L19)</f>
        <v>1</v>
      </c>
      <c r="M20" s="5">
        <f t="shared" ref="M20:P20" si="9">SUM(M13:M19)</f>
        <v>0.99999999999999989</v>
      </c>
      <c r="N20" s="5">
        <f t="shared" si="9"/>
        <v>1.0000000000000002</v>
      </c>
      <c r="O20" s="5">
        <f t="shared" si="9"/>
        <v>1.0000000000000002</v>
      </c>
      <c r="P20" s="5">
        <f t="shared" si="9"/>
        <v>1</v>
      </c>
      <c r="Q20" s="24"/>
      <c r="S20" s="25" t="s">
        <v>38</v>
      </c>
      <c r="T20" s="6">
        <f>SUM(T13:T19)</f>
        <v>1.0000000000000002</v>
      </c>
      <c r="U20" s="6">
        <f t="shared" ref="U20:X20" si="10">SUM(U13:U19)</f>
        <v>1</v>
      </c>
      <c r="V20" s="6">
        <f t="shared" si="10"/>
        <v>1</v>
      </c>
      <c r="W20" s="6">
        <f t="shared" si="10"/>
        <v>1</v>
      </c>
      <c r="X20" s="6">
        <f t="shared" si="10"/>
        <v>1</v>
      </c>
      <c r="Y20" s="25"/>
      <c r="AA20" s="18" t="s">
        <v>38</v>
      </c>
      <c r="AB20" s="7">
        <f>SUM(AB13:AB19)</f>
        <v>1</v>
      </c>
      <c r="AC20" s="7">
        <f t="shared" ref="AC20:AF20" si="11">SUM(AC13:AC19)</f>
        <v>0.99999999999999989</v>
      </c>
      <c r="AD20" s="7">
        <f t="shared" si="11"/>
        <v>1</v>
      </c>
      <c r="AE20" s="7">
        <f t="shared" si="11"/>
        <v>1</v>
      </c>
      <c r="AF20" s="7">
        <f t="shared" si="11"/>
        <v>1</v>
      </c>
      <c r="AG20" s="18"/>
    </row>
    <row r="21" spans="2:38" x14ac:dyDescent="0.25">
      <c r="B21" s="27"/>
      <c r="C21" s="27"/>
    </row>
    <row r="23" spans="2:38" x14ac:dyDescent="0.25">
      <c r="B23" s="27"/>
      <c r="C23" s="27"/>
    </row>
    <row r="24" spans="2:38" x14ac:dyDescent="0.25">
      <c r="K24" s="35" t="s">
        <v>55</v>
      </c>
      <c r="L24" s="35"/>
      <c r="M24" s="35"/>
      <c r="N24" s="35"/>
      <c r="O24" s="35"/>
      <c r="Q24" s="36" t="s">
        <v>56</v>
      </c>
      <c r="R24" s="36"/>
      <c r="S24" s="36"/>
      <c r="T24" s="36"/>
      <c r="U24" s="36"/>
      <c r="V24" s="36"/>
      <c r="W24" s="36"/>
      <c r="X24" s="36"/>
      <c r="Z24" s="37" t="s">
        <v>57</v>
      </c>
      <c r="AA24" s="37"/>
      <c r="AB24" s="37"/>
      <c r="AC24" s="37"/>
      <c r="AD24" s="37"/>
      <c r="AE24" s="37"/>
      <c r="AG24" s="34" t="s">
        <v>58</v>
      </c>
      <c r="AH24" s="34"/>
      <c r="AI24" s="34"/>
      <c r="AJ24" s="34"/>
      <c r="AK24" s="34"/>
      <c r="AL24" s="34"/>
    </row>
    <row r="25" spans="2:38" x14ac:dyDescent="0.25">
      <c r="B25" s="27"/>
      <c r="C25" s="27"/>
      <c r="K25" s="21"/>
      <c r="L25" s="21" t="s">
        <v>60</v>
      </c>
      <c r="M25" s="21" t="s">
        <v>61</v>
      </c>
      <c r="N25" s="21" t="s">
        <v>62</v>
      </c>
      <c r="O25" s="21" t="s">
        <v>9</v>
      </c>
      <c r="Q25" s="22"/>
      <c r="R25" s="22" t="s">
        <v>90</v>
      </c>
      <c r="S25" s="22" t="s">
        <v>63</v>
      </c>
      <c r="T25" s="22" t="s">
        <v>64</v>
      </c>
      <c r="U25" s="22" t="s">
        <v>65</v>
      </c>
      <c r="V25" s="22" t="s">
        <v>66</v>
      </c>
      <c r="W25" s="22" t="s">
        <v>67</v>
      </c>
      <c r="X25" s="22" t="s">
        <v>9</v>
      </c>
      <c r="Z25" s="23"/>
      <c r="AA25" s="23" t="s">
        <v>68</v>
      </c>
      <c r="AB25" s="23" t="s">
        <v>69</v>
      </c>
      <c r="AC25" s="23" t="s">
        <v>70</v>
      </c>
      <c r="AD25" s="23" t="s">
        <v>71</v>
      </c>
      <c r="AE25" s="23" t="s">
        <v>9</v>
      </c>
      <c r="AG25" s="20"/>
      <c r="AH25" s="20" t="s">
        <v>72</v>
      </c>
      <c r="AI25" s="20" t="s">
        <v>73</v>
      </c>
      <c r="AJ25" s="20" t="s">
        <v>74</v>
      </c>
      <c r="AK25" s="20" t="s">
        <v>75</v>
      </c>
      <c r="AL25" s="20" t="s">
        <v>9</v>
      </c>
    </row>
    <row r="26" spans="2:38" x14ac:dyDescent="0.25">
      <c r="B26" s="27"/>
      <c r="C26" s="27"/>
      <c r="K26" s="21" t="s">
        <v>22</v>
      </c>
      <c r="L26" s="10">
        <v>9929.9299555111011</v>
      </c>
      <c r="M26" s="10">
        <v>9.9299533400339133</v>
      </c>
      <c r="N26" s="10">
        <v>9920.0000255555897</v>
      </c>
      <c r="O26" s="21"/>
      <c r="Q26" s="22" t="s">
        <v>22</v>
      </c>
      <c r="R26" s="11">
        <v>0</v>
      </c>
      <c r="S26" s="11">
        <v>0</v>
      </c>
      <c r="T26" s="11">
        <v>9.9299533400339133</v>
      </c>
      <c r="U26" s="11">
        <v>0</v>
      </c>
      <c r="V26" s="11">
        <v>9.9299533400339133</v>
      </c>
      <c r="W26" s="11">
        <v>0</v>
      </c>
      <c r="X26" s="22"/>
      <c r="Z26" s="23" t="s">
        <v>22</v>
      </c>
      <c r="AA26" s="12">
        <v>9920.0000255555897</v>
      </c>
      <c r="AB26" s="12">
        <v>19839.999987239455</v>
      </c>
      <c r="AC26" s="12">
        <v>29760.000012795044</v>
      </c>
      <c r="AD26" s="12">
        <v>0</v>
      </c>
      <c r="AE26" s="23"/>
      <c r="AG26" s="20" t="s">
        <v>22</v>
      </c>
      <c r="AH26" s="13">
        <v>29760.000012795044</v>
      </c>
      <c r="AI26" s="13">
        <v>0</v>
      </c>
      <c r="AJ26" s="13">
        <v>19840.000008530031</v>
      </c>
      <c r="AK26" s="13">
        <v>9920.0000042650154</v>
      </c>
      <c r="AL26" s="20"/>
    </row>
    <row r="27" spans="2:38" x14ac:dyDescent="0.25">
      <c r="K27" s="21" t="s">
        <v>25</v>
      </c>
      <c r="L27" s="10">
        <v>706.07887627728132</v>
      </c>
      <c r="M27" s="10">
        <v>706.07887627728132</v>
      </c>
      <c r="N27" s="10">
        <v>0</v>
      </c>
      <c r="O27" s="21"/>
      <c r="Q27" s="22" t="s">
        <v>25</v>
      </c>
      <c r="R27" s="11">
        <v>0</v>
      </c>
      <c r="S27" s="11">
        <v>0</v>
      </c>
      <c r="T27" s="11">
        <v>706.07887627728132</v>
      </c>
      <c r="U27" s="11">
        <v>705.37279740100416</v>
      </c>
      <c r="V27" s="11">
        <v>0.70607887627721166</v>
      </c>
      <c r="W27" s="11">
        <v>0</v>
      </c>
      <c r="X27" s="22"/>
      <c r="Z27" s="23" t="s">
        <v>25</v>
      </c>
      <c r="AA27" s="12">
        <v>0</v>
      </c>
      <c r="AB27" s="12">
        <v>0</v>
      </c>
      <c r="AC27" s="12">
        <v>0</v>
      </c>
      <c r="AD27" s="12">
        <v>0</v>
      </c>
      <c r="AE27" s="23"/>
      <c r="AG27" s="20" t="s">
        <v>25</v>
      </c>
      <c r="AH27" s="13">
        <v>0</v>
      </c>
      <c r="AI27" s="13">
        <v>0</v>
      </c>
      <c r="AJ27" s="13">
        <v>0</v>
      </c>
      <c r="AK27" s="13">
        <v>0</v>
      </c>
      <c r="AL27" s="20"/>
    </row>
    <row r="28" spans="2:38" x14ac:dyDescent="0.25">
      <c r="B28" s="27"/>
      <c r="C28" s="27"/>
      <c r="K28" s="21" t="s">
        <v>27</v>
      </c>
      <c r="L28" s="10">
        <v>1476.3613676301086</v>
      </c>
      <c r="M28" s="10">
        <v>1476.3613676301086</v>
      </c>
      <c r="N28" s="10">
        <v>0</v>
      </c>
      <c r="O28" s="21"/>
      <c r="Q28" s="22" t="s">
        <v>27</v>
      </c>
      <c r="R28" s="11">
        <v>0</v>
      </c>
      <c r="S28" s="11">
        <v>0</v>
      </c>
      <c r="T28" s="11">
        <v>1476.3613676301086</v>
      </c>
      <c r="U28" s="11">
        <v>1474.8850062624786</v>
      </c>
      <c r="V28" s="11">
        <v>1.4763613676300129</v>
      </c>
      <c r="W28" s="11">
        <v>0</v>
      </c>
      <c r="X28" s="22"/>
      <c r="Z28" s="23" t="s">
        <v>27</v>
      </c>
      <c r="AA28" s="12">
        <v>0</v>
      </c>
      <c r="AB28" s="12">
        <v>0</v>
      </c>
      <c r="AC28" s="12">
        <v>0</v>
      </c>
      <c r="AD28" s="12">
        <v>0</v>
      </c>
      <c r="AE28" s="23"/>
      <c r="AG28" s="20" t="s">
        <v>27</v>
      </c>
      <c r="AH28" s="13">
        <v>0</v>
      </c>
      <c r="AI28" s="13">
        <v>0</v>
      </c>
      <c r="AJ28" s="13">
        <v>0</v>
      </c>
      <c r="AK28" s="13">
        <v>0</v>
      </c>
      <c r="AL28" s="20"/>
    </row>
    <row r="29" spans="2:38" x14ac:dyDescent="0.25">
      <c r="B29" s="27"/>
      <c r="C29" s="27"/>
      <c r="K29" s="21" t="s">
        <v>30</v>
      </c>
      <c r="L29" s="10">
        <v>352.26495219228923</v>
      </c>
      <c r="M29" s="10">
        <v>352.26495219228923</v>
      </c>
      <c r="N29" s="10">
        <v>0</v>
      </c>
      <c r="O29" s="21"/>
      <c r="Q29" s="22" t="s">
        <v>30</v>
      </c>
      <c r="R29" s="11">
        <v>0</v>
      </c>
      <c r="S29" s="11">
        <v>0</v>
      </c>
      <c r="T29" s="11">
        <v>352.26495219228923</v>
      </c>
      <c r="U29" s="11">
        <v>351.912687240097</v>
      </c>
      <c r="V29" s="11">
        <v>0.35226495219224357</v>
      </c>
      <c r="W29" s="11">
        <v>0</v>
      </c>
      <c r="X29" s="22"/>
      <c r="Z29" s="23" t="s">
        <v>30</v>
      </c>
      <c r="AA29" s="12">
        <v>0</v>
      </c>
      <c r="AB29" s="12">
        <v>0</v>
      </c>
      <c r="AC29" s="12">
        <v>0</v>
      </c>
      <c r="AD29" s="12">
        <v>0</v>
      </c>
      <c r="AE29" s="23"/>
      <c r="AG29" s="20" t="s">
        <v>30</v>
      </c>
      <c r="AH29" s="13">
        <v>0</v>
      </c>
      <c r="AI29" s="13">
        <v>0</v>
      </c>
      <c r="AJ29" s="13">
        <v>0</v>
      </c>
      <c r="AK29" s="13">
        <v>0</v>
      </c>
      <c r="AL29" s="20"/>
    </row>
    <row r="30" spans="2:38" x14ac:dyDescent="0.25">
      <c r="K30" s="21" t="s">
        <v>33</v>
      </c>
      <c r="L30" s="10">
        <v>375.70179454949169</v>
      </c>
      <c r="M30" s="10">
        <v>375.70179454949169</v>
      </c>
      <c r="N30" s="10">
        <v>0</v>
      </c>
      <c r="O30" s="21"/>
      <c r="Q30" s="22" t="s">
        <v>33</v>
      </c>
      <c r="R30" s="11">
        <v>0</v>
      </c>
      <c r="S30" s="11">
        <v>0</v>
      </c>
      <c r="T30" s="11">
        <v>375.70179454949169</v>
      </c>
      <c r="U30" s="11">
        <v>375.32609275494224</v>
      </c>
      <c r="V30" s="11">
        <v>0.37570179454945796</v>
      </c>
      <c r="W30" s="11">
        <v>0</v>
      </c>
      <c r="X30" s="22"/>
      <c r="Z30" s="23" t="s">
        <v>33</v>
      </c>
      <c r="AA30" s="12">
        <v>0</v>
      </c>
      <c r="AB30" s="12">
        <v>0</v>
      </c>
      <c r="AC30" s="12">
        <v>0</v>
      </c>
      <c r="AD30" s="12">
        <v>0</v>
      </c>
      <c r="AE30" s="23"/>
      <c r="AG30" s="20" t="s">
        <v>33</v>
      </c>
      <c r="AH30" s="13">
        <v>0</v>
      </c>
      <c r="AI30" s="13">
        <v>0</v>
      </c>
      <c r="AJ30" s="13">
        <v>0</v>
      </c>
      <c r="AK30" s="13">
        <v>0</v>
      </c>
      <c r="AL30" s="20"/>
    </row>
    <row r="31" spans="2:38" x14ac:dyDescent="0.25">
      <c r="B31" s="27"/>
      <c r="C31" s="27"/>
      <c r="K31" s="21" t="s">
        <v>35</v>
      </c>
      <c r="L31" s="10">
        <v>1186.0509294872079</v>
      </c>
      <c r="M31" s="10">
        <v>0</v>
      </c>
      <c r="N31" s="10">
        <v>1186.0509294872079</v>
      </c>
      <c r="O31" s="21"/>
      <c r="Q31" s="22" t="s">
        <v>35</v>
      </c>
      <c r="R31" s="11">
        <v>3453.8796684828412</v>
      </c>
      <c r="S31" s="11">
        <v>0</v>
      </c>
      <c r="T31" s="11">
        <v>0</v>
      </c>
      <c r="U31" s="11">
        <v>0</v>
      </c>
      <c r="V31" s="11">
        <v>3453.8796684828412</v>
      </c>
      <c r="W31" s="11">
        <v>766.991033646554</v>
      </c>
      <c r="X31" s="22"/>
      <c r="Z31" s="23" t="s">
        <v>35</v>
      </c>
      <c r="AA31" s="12">
        <v>1186.0509294872079</v>
      </c>
      <c r="AB31" s="12">
        <v>0</v>
      </c>
      <c r="AC31" s="12">
        <v>0</v>
      </c>
      <c r="AD31" s="12">
        <v>1186.0509294872079</v>
      </c>
      <c r="AE31" s="23"/>
      <c r="AG31" s="20" t="s">
        <v>35</v>
      </c>
      <c r="AH31" s="13">
        <v>0</v>
      </c>
      <c r="AI31" s="13">
        <v>0</v>
      </c>
      <c r="AJ31" s="13">
        <v>0</v>
      </c>
      <c r="AK31" s="13">
        <v>0</v>
      </c>
      <c r="AL31" s="20"/>
    </row>
    <row r="32" spans="2:38" x14ac:dyDescent="0.25">
      <c r="B32" s="27"/>
      <c r="C32" s="27"/>
      <c r="K32" s="21" t="s">
        <v>37</v>
      </c>
      <c r="L32" s="10">
        <v>121.09099879966637</v>
      </c>
      <c r="M32" s="10">
        <v>0</v>
      </c>
      <c r="N32" s="10">
        <v>121.09099879966637</v>
      </c>
      <c r="O32" s="21"/>
      <c r="Q32" s="22" t="s">
        <v>37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22"/>
      <c r="Z32" s="23" t="s">
        <v>37</v>
      </c>
      <c r="AA32" s="12">
        <v>121.09099879966637</v>
      </c>
      <c r="AB32" s="12">
        <v>159.99999982812994</v>
      </c>
      <c r="AC32" s="12">
        <v>239.99999984563854</v>
      </c>
      <c r="AD32" s="12">
        <v>41.090998782157797</v>
      </c>
      <c r="AE32" s="23"/>
      <c r="AG32" s="20" t="s">
        <v>37</v>
      </c>
      <c r="AH32" s="13">
        <v>239.99999984563854</v>
      </c>
      <c r="AI32" s="13">
        <v>0</v>
      </c>
      <c r="AJ32" s="13">
        <v>159.99999989709235</v>
      </c>
      <c r="AK32" s="13">
        <v>79.99999994854619</v>
      </c>
      <c r="AL32" s="20"/>
    </row>
    <row r="33" spans="2:38" x14ac:dyDescent="0.25">
      <c r="B33" s="27"/>
      <c r="C33" s="27"/>
      <c r="K33" s="21" t="s">
        <v>38</v>
      </c>
      <c r="L33" s="10">
        <f>SUM(L26:L32)</f>
        <v>14147.478874447144</v>
      </c>
      <c r="M33" s="10">
        <f t="shared" ref="M33:N33" si="12">SUM(M26:M32)</f>
        <v>2920.3369439892049</v>
      </c>
      <c r="N33" s="10">
        <f t="shared" si="12"/>
        <v>11227.141953842463</v>
      </c>
      <c r="O33" s="21"/>
      <c r="Q33" s="22" t="s">
        <v>38</v>
      </c>
      <c r="R33" s="11">
        <f>SUM(R26:R32)</f>
        <v>3453.8796684828412</v>
      </c>
      <c r="S33" s="11">
        <f t="shared" ref="S33:W33" si="13">SUM(S26:S32)</f>
        <v>0</v>
      </c>
      <c r="T33" s="11">
        <f t="shared" si="13"/>
        <v>2920.3369439892049</v>
      </c>
      <c r="U33" s="11">
        <f t="shared" si="13"/>
        <v>2907.496583658522</v>
      </c>
      <c r="V33" s="11">
        <f t="shared" si="13"/>
        <v>3466.7200288135241</v>
      </c>
      <c r="W33" s="11">
        <f t="shared" si="13"/>
        <v>766.991033646554</v>
      </c>
      <c r="X33" s="22"/>
      <c r="Z33" s="23" t="s">
        <v>38</v>
      </c>
      <c r="AA33" s="12">
        <f>SUM(AA26:AA32)</f>
        <v>11227.141953842463</v>
      </c>
      <c r="AB33" s="12">
        <f t="shared" ref="AB33:AD33" si="14">SUM(AB26:AB32)</f>
        <v>19999.999987067586</v>
      </c>
      <c r="AC33" s="12">
        <f t="shared" si="14"/>
        <v>30000.000012640681</v>
      </c>
      <c r="AD33" s="12">
        <f t="shared" si="14"/>
        <v>1227.1419282693657</v>
      </c>
      <c r="AE33" s="23"/>
      <c r="AG33" s="20" t="s">
        <v>38</v>
      </c>
      <c r="AH33" s="13">
        <f>SUM(AH26:AH32)</f>
        <v>30000.000012640681</v>
      </c>
      <c r="AI33" s="13">
        <f t="shared" ref="AI33:AK33" si="15">SUM(AI26:AI32)</f>
        <v>0</v>
      </c>
      <c r="AJ33" s="13">
        <f t="shared" si="15"/>
        <v>20000.000008427123</v>
      </c>
      <c r="AK33" s="13">
        <f t="shared" si="15"/>
        <v>10000.000004213562</v>
      </c>
      <c r="AL33" s="20"/>
    </row>
    <row r="34" spans="2:38" x14ac:dyDescent="0.25">
      <c r="K34" s="21"/>
      <c r="L34" s="21"/>
      <c r="M34" s="21"/>
      <c r="N34" s="21"/>
      <c r="O34" s="21"/>
      <c r="Q34" s="22"/>
      <c r="R34" s="22"/>
      <c r="S34" s="22"/>
      <c r="T34" s="22"/>
      <c r="U34" s="22"/>
      <c r="V34" s="22"/>
      <c r="W34" s="22"/>
      <c r="X34" s="22"/>
      <c r="Z34" s="23"/>
      <c r="AA34" s="23"/>
      <c r="AB34" s="23"/>
      <c r="AC34" s="23"/>
      <c r="AD34" s="23"/>
      <c r="AE34" s="23"/>
      <c r="AG34" s="20"/>
      <c r="AH34" s="20"/>
      <c r="AI34" s="20"/>
      <c r="AJ34" s="20"/>
      <c r="AK34" s="20"/>
      <c r="AL34" s="20"/>
    </row>
    <row r="35" spans="2:38" x14ac:dyDescent="0.25">
      <c r="B35" s="27"/>
      <c r="C35" s="27"/>
      <c r="K35" s="21" t="s">
        <v>22</v>
      </c>
      <c r="L35" s="10">
        <f>L26/L$33</f>
        <v>0.7018868904937059</v>
      </c>
      <c r="M35" s="10">
        <f t="shared" ref="M35:N35" si="16">M26/M$33</f>
        <v>3.4002765881081904E-3</v>
      </c>
      <c r="N35" s="10">
        <f t="shared" si="16"/>
        <v>0.88357304702649564</v>
      </c>
      <c r="O35" s="21"/>
      <c r="Q35" s="22" t="s">
        <v>22</v>
      </c>
      <c r="R35" s="11">
        <f>R26/R$33</f>
        <v>0</v>
      </c>
      <c r="S35" s="11"/>
      <c r="T35" s="11">
        <f t="shared" ref="T35:W35" si="17">T26/T$33</f>
        <v>3.4002765881081904E-3</v>
      </c>
      <c r="U35" s="11">
        <f t="shared" si="17"/>
        <v>0</v>
      </c>
      <c r="V35" s="11">
        <f t="shared" si="17"/>
        <v>2.8643655263480895E-3</v>
      </c>
      <c r="W35" s="11">
        <f t="shared" si="17"/>
        <v>0</v>
      </c>
      <c r="X35" s="22"/>
      <c r="Z35" s="23" t="s">
        <v>22</v>
      </c>
      <c r="AA35" s="12">
        <f>AA26/AA$33</f>
        <v>0.88357304702649564</v>
      </c>
      <c r="AB35" s="12">
        <f t="shared" ref="AB35:AD35" si="18">AB26/AB$33</f>
        <v>0.99200000000342048</v>
      </c>
      <c r="AC35" s="12">
        <f t="shared" si="18"/>
        <v>0.99200000000851629</v>
      </c>
      <c r="AD35" s="12">
        <f t="shared" si="18"/>
        <v>0</v>
      </c>
      <c r="AE35" s="23"/>
      <c r="AG35" s="20" t="s">
        <v>22</v>
      </c>
      <c r="AH35" s="13">
        <f>AH26/AH$33</f>
        <v>0.99200000000851629</v>
      </c>
      <c r="AI35" s="13"/>
      <c r="AJ35" s="13">
        <f t="shared" ref="AJ35:AK35" si="19">AJ26/AJ$33</f>
        <v>0.99200000000851618</v>
      </c>
      <c r="AK35" s="13">
        <f t="shared" si="19"/>
        <v>0.99200000000851618</v>
      </c>
      <c r="AL35" s="20"/>
    </row>
    <row r="36" spans="2:38" x14ac:dyDescent="0.25">
      <c r="B36" s="27"/>
      <c r="C36" s="27"/>
      <c r="K36" s="21" t="s">
        <v>25</v>
      </c>
      <c r="L36" s="10">
        <f t="shared" ref="L36:N41" si="20">L27/L$33</f>
        <v>4.9908459489031998E-2</v>
      </c>
      <c r="M36" s="10">
        <f t="shared" si="20"/>
        <v>0.24177993492517053</v>
      </c>
      <c r="N36" s="10">
        <f t="shared" si="20"/>
        <v>0</v>
      </c>
      <c r="O36" s="21"/>
      <c r="Q36" s="22" t="s">
        <v>25</v>
      </c>
      <c r="R36" s="11">
        <f t="shared" ref="R36:W41" si="21">R27/R$33</f>
        <v>0</v>
      </c>
      <c r="S36" s="11"/>
      <c r="T36" s="11">
        <f t="shared" si="21"/>
        <v>0.24177993492517053</v>
      </c>
      <c r="U36" s="11">
        <f t="shared" si="21"/>
        <v>0.24260485854584529</v>
      </c>
      <c r="V36" s="11">
        <f t="shared" si="21"/>
        <v>2.0367346379536317E-4</v>
      </c>
      <c r="W36" s="11">
        <f t="shared" si="21"/>
        <v>0</v>
      </c>
      <c r="X36" s="22"/>
      <c r="Z36" s="23" t="s">
        <v>25</v>
      </c>
      <c r="AA36" s="12">
        <f t="shared" ref="AA36:AD41" si="22">AA27/AA$33</f>
        <v>0</v>
      </c>
      <c r="AB36" s="12">
        <f t="shared" si="22"/>
        <v>0</v>
      </c>
      <c r="AC36" s="12">
        <f t="shared" si="22"/>
        <v>0</v>
      </c>
      <c r="AD36" s="12">
        <f t="shared" si="22"/>
        <v>0</v>
      </c>
      <c r="AE36" s="23"/>
      <c r="AG36" s="20" t="s">
        <v>25</v>
      </c>
      <c r="AH36" s="13">
        <f t="shared" ref="AH36:AK41" si="23">AH27/AH$33</f>
        <v>0</v>
      </c>
      <c r="AI36" s="13"/>
      <c r="AJ36" s="13">
        <f t="shared" si="23"/>
        <v>0</v>
      </c>
      <c r="AK36" s="13">
        <f t="shared" si="23"/>
        <v>0</v>
      </c>
      <c r="AL36" s="20"/>
    </row>
    <row r="37" spans="2:38" x14ac:dyDescent="0.25">
      <c r="B37" s="27"/>
      <c r="C37" s="27"/>
      <c r="K37" s="21" t="s">
        <v>27</v>
      </c>
      <c r="L37" s="10">
        <f t="shared" si="20"/>
        <v>0.10435508550549448</v>
      </c>
      <c r="M37" s="10">
        <f t="shared" si="20"/>
        <v>0.50554487237126366</v>
      </c>
      <c r="N37" s="10">
        <f t="shared" si="20"/>
        <v>0</v>
      </c>
      <c r="O37" s="21"/>
      <c r="Q37" s="22" t="s">
        <v>27</v>
      </c>
      <c r="R37" s="11">
        <f t="shared" si="21"/>
        <v>0</v>
      </c>
      <c r="S37" s="11"/>
      <c r="T37" s="11">
        <f t="shared" si="21"/>
        <v>0.50554487237126366</v>
      </c>
      <c r="U37" s="11">
        <f t="shared" si="21"/>
        <v>0.50726972975721307</v>
      </c>
      <c r="V37" s="11">
        <f t="shared" si="21"/>
        <v>4.2586691609339266E-4</v>
      </c>
      <c r="W37" s="11">
        <f t="shared" si="21"/>
        <v>0</v>
      </c>
      <c r="X37" s="22"/>
      <c r="Z37" s="23" t="s">
        <v>27</v>
      </c>
      <c r="AA37" s="12">
        <f t="shared" si="22"/>
        <v>0</v>
      </c>
      <c r="AB37" s="12">
        <f t="shared" si="22"/>
        <v>0</v>
      </c>
      <c r="AC37" s="12">
        <f t="shared" si="22"/>
        <v>0</v>
      </c>
      <c r="AD37" s="12">
        <f t="shared" si="22"/>
        <v>0</v>
      </c>
      <c r="AE37" s="23"/>
      <c r="AG37" s="20" t="s">
        <v>27</v>
      </c>
      <c r="AH37" s="13">
        <f t="shared" si="23"/>
        <v>0</v>
      </c>
      <c r="AI37" s="13"/>
      <c r="AJ37" s="13">
        <f t="shared" si="23"/>
        <v>0</v>
      </c>
      <c r="AK37" s="13">
        <f t="shared" si="23"/>
        <v>0</v>
      </c>
      <c r="AL37" s="20"/>
    </row>
    <row r="38" spans="2:38" x14ac:dyDescent="0.25">
      <c r="B38" s="27"/>
      <c r="C38" s="27"/>
      <c r="K38" s="21" t="s">
        <v>30</v>
      </c>
      <c r="L38" s="10">
        <f t="shared" si="20"/>
        <v>2.4899486001604298E-2</v>
      </c>
      <c r="M38" s="10">
        <f t="shared" si="20"/>
        <v>0.12062476315184793</v>
      </c>
      <c r="N38" s="10">
        <f t="shared" si="20"/>
        <v>0</v>
      </c>
      <c r="O38" s="21"/>
      <c r="Q38" s="22" t="s">
        <v>30</v>
      </c>
      <c r="R38" s="11">
        <f t="shared" si="21"/>
        <v>0</v>
      </c>
      <c r="S38" s="11"/>
      <c r="T38" s="11">
        <f t="shared" si="21"/>
        <v>0.12062476315184793</v>
      </c>
      <c r="U38" s="11">
        <f t="shared" si="21"/>
        <v>0.12103632011745409</v>
      </c>
      <c r="V38" s="11">
        <f t="shared" si="21"/>
        <v>1.0161332592894885E-4</v>
      </c>
      <c r="W38" s="11">
        <f t="shared" si="21"/>
        <v>0</v>
      </c>
      <c r="X38" s="22"/>
      <c r="Z38" s="23" t="s">
        <v>30</v>
      </c>
      <c r="AA38" s="12">
        <f t="shared" si="22"/>
        <v>0</v>
      </c>
      <c r="AB38" s="12">
        <f t="shared" si="22"/>
        <v>0</v>
      </c>
      <c r="AC38" s="12">
        <f t="shared" si="22"/>
        <v>0</v>
      </c>
      <c r="AD38" s="12">
        <f t="shared" si="22"/>
        <v>0</v>
      </c>
      <c r="AE38" s="23"/>
      <c r="AG38" s="20" t="s">
        <v>30</v>
      </c>
      <c r="AH38" s="13">
        <f t="shared" si="23"/>
        <v>0</v>
      </c>
      <c r="AI38" s="13"/>
      <c r="AJ38" s="13">
        <f t="shared" si="23"/>
        <v>0</v>
      </c>
      <c r="AK38" s="13">
        <f t="shared" si="23"/>
        <v>0</v>
      </c>
      <c r="AL38" s="20"/>
    </row>
    <row r="39" spans="2:38" x14ac:dyDescent="0.25">
      <c r="B39" s="27"/>
      <c r="C39" s="27"/>
      <c r="K39" s="21" t="s">
        <v>33</v>
      </c>
      <c r="L39" s="10">
        <f t="shared" si="20"/>
        <v>2.6556095109502215E-2</v>
      </c>
      <c r="M39" s="10">
        <f t="shared" si="20"/>
        <v>0.12865015296360971</v>
      </c>
      <c r="N39" s="10">
        <f t="shared" si="20"/>
        <v>0</v>
      </c>
      <c r="O39" s="21"/>
      <c r="Q39" s="22" t="s">
        <v>33</v>
      </c>
      <c r="R39" s="11">
        <f t="shared" si="21"/>
        <v>0</v>
      </c>
      <c r="S39" s="11"/>
      <c r="T39" s="11">
        <f t="shared" si="21"/>
        <v>0.12865015296360971</v>
      </c>
      <c r="U39" s="11">
        <f t="shared" si="21"/>
        <v>0.12908909157948759</v>
      </c>
      <c r="V39" s="11">
        <f t="shared" si="21"/>
        <v>1.0837384946774629E-4</v>
      </c>
      <c r="W39" s="11">
        <f t="shared" si="21"/>
        <v>0</v>
      </c>
      <c r="X39" s="22"/>
      <c r="Z39" s="23" t="s">
        <v>33</v>
      </c>
      <c r="AA39" s="12">
        <f t="shared" si="22"/>
        <v>0</v>
      </c>
      <c r="AB39" s="12">
        <f t="shared" si="22"/>
        <v>0</v>
      </c>
      <c r="AC39" s="12">
        <f t="shared" si="22"/>
        <v>0</v>
      </c>
      <c r="AD39" s="12">
        <f t="shared" si="22"/>
        <v>0</v>
      </c>
      <c r="AE39" s="23"/>
      <c r="AG39" s="20" t="s">
        <v>33</v>
      </c>
      <c r="AH39" s="13">
        <f t="shared" si="23"/>
        <v>0</v>
      </c>
      <c r="AI39" s="13"/>
      <c r="AJ39" s="13">
        <f t="shared" si="23"/>
        <v>0</v>
      </c>
      <c r="AK39" s="13">
        <f t="shared" si="23"/>
        <v>0</v>
      </c>
      <c r="AL39" s="20"/>
    </row>
    <row r="40" spans="2:38" x14ac:dyDescent="0.25">
      <c r="B40" s="27"/>
      <c r="C40" s="27"/>
      <c r="K40" s="21" t="s">
        <v>35</v>
      </c>
      <c r="L40" s="10">
        <f t="shared" si="20"/>
        <v>8.3834790637463061E-2</v>
      </c>
      <c r="M40" s="10">
        <f t="shared" si="20"/>
        <v>0</v>
      </c>
      <c r="N40" s="10">
        <f t="shared" si="20"/>
        <v>0.1056413942536181</v>
      </c>
      <c r="O40" s="21"/>
      <c r="Q40" s="22" t="s">
        <v>35</v>
      </c>
      <c r="R40" s="11">
        <f>R31/R$33</f>
        <v>1</v>
      </c>
      <c r="S40" s="11"/>
      <c r="T40" s="11">
        <f t="shared" ref="T40:W40" si="24">T31/T$33</f>
        <v>0</v>
      </c>
      <c r="U40" s="11">
        <f t="shared" si="24"/>
        <v>0</v>
      </c>
      <c r="V40" s="11">
        <f t="shared" si="24"/>
        <v>0.99629610691836645</v>
      </c>
      <c r="W40" s="11">
        <f t="shared" si="24"/>
        <v>1</v>
      </c>
      <c r="X40" s="22"/>
      <c r="Z40" s="23" t="s">
        <v>35</v>
      </c>
      <c r="AA40" s="12">
        <f t="shared" si="22"/>
        <v>0.1056413942536181</v>
      </c>
      <c r="AB40" s="12">
        <f t="shared" si="22"/>
        <v>0</v>
      </c>
      <c r="AC40" s="12">
        <f t="shared" si="22"/>
        <v>0</v>
      </c>
      <c r="AD40" s="12">
        <f t="shared" si="22"/>
        <v>0.96651487669392211</v>
      </c>
      <c r="AE40" s="23"/>
      <c r="AG40" s="20" t="s">
        <v>35</v>
      </c>
      <c r="AH40" s="13">
        <f t="shared" si="23"/>
        <v>0</v>
      </c>
      <c r="AI40" s="13"/>
      <c r="AJ40" s="13">
        <f t="shared" si="23"/>
        <v>0</v>
      </c>
      <c r="AK40" s="13">
        <f t="shared" si="23"/>
        <v>0</v>
      </c>
      <c r="AL40" s="20"/>
    </row>
    <row r="41" spans="2:38" x14ac:dyDescent="0.25">
      <c r="B41" s="27"/>
      <c r="C41" s="27"/>
      <c r="K41" s="21" t="s">
        <v>37</v>
      </c>
      <c r="L41" s="10">
        <f t="shared" si="20"/>
        <v>8.5591927631981264E-3</v>
      </c>
      <c r="M41" s="10">
        <f t="shared" si="20"/>
        <v>0</v>
      </c>
      <c r="N41" s="10">
        <f t="shared" si="20"/>
        <v>1.0785558719886254E-2</v>
      </c>
      <c r="O41" s="21"/>
      <c r="Q41" s="22" t="s">
        <v>37</v>
      </c>
      <c r="R41" s="11">
        <f t="shared" si="21"/>
        <v>0</v>
      </c>
      <c r="S41" s="11"/>
      <c r="T41" s="11">
        <f t="shared" si="21"/>
        <v>0</v>
      </c>
      <c r="U41" s="11">
        <f t="shared" si="21"/>
        <v>0</v>
      </c>
      <c r="V41" s="11">
        <f t="shared" si="21"/>
        <v>0</v>
      </c>
      <c r="W41" s="11">
        <f t="shared" si="21"/>
        <v>0</v>
      </c>
      <c r="X41" s="22"/>
      <c r="Z41" s="23" t="s">
        <v>37</v>
      </c>
      <c r="AA41" s="12">
        <f t="shared" si="22"/>
        <v>1.0785558719886254E-2</v>
      </c>
      <c r="AB41" s="12">
        <f t="shared" si="22"/>
        <v>7.9999999965794637E-3</v>
      </c>
      <c r="AC41" s="12">
        <f t="shared" si="22"/>
        <v>7.999999991483769E-3</v>
      </c>
      <c r="AD41" s="12">
        <f t="shared" si="22"/>
        <v>3.3485123306077808E-2</v>
      </c>
      <c r="AE41" s="23"/>
      <c r="AG41" s="20" t="s">
        <v>37</v>
      </c>
      <c r="AH41" s="13">
        <f t="shared" si="23"/>
        <v>7.999999991483769E-3</v>
      </c>
      <c r="AI41" s="13"/>
      <c r="AJ41" s="13">
        <f t="shared" si="23"/>
        <v>7.999999991483769E-3</v>
      </c>
      <c r="AK41" s="13">
        <f t="shared" si="23"/>
        <v>7.999999991483769E-3</v>
      </c>
      <c r="AL41" s="20"/>
    </row>
    <row r="42" spans="2:38" x14ac:dyDescent="0.25">
      <c r="K42" s="21" t="s">
        <v>38</v>
      </c>
      <c r="L42" s="10">
        <f>SUM(L35:L41)</f>
        <v>1</v>
      </c>
      <c r="M42" s="10">
        <f t="shared" ref="M42:N42" si="25">SUM(M35:M41)</f>
        <v>1</v>
      </c>
      <c r="N42" s="10">
        <f t="shared" si="25"/>
        <v>1</v>
      </c>
      <c r="O42" s="21"/>
      <c r="Q42" s="22" t="s">
        <v>38</v>
      </c>
      <c r="R42" s="11">
        <f>SUM(R35:R41)</f>
        <v>1</v>
      </c>
      <c r="S42" s="11"/>
      <c r="T42" s="11">
        <f t="shared" ref="T42:W42" si="26">SUM(T35:T41)</f>
        <v>1</v>
      </c>
      <c r="U42" s="11">
        <f t="shared" si="26"/>
        <v>1.0000000000000002</v>
      </c>
      <c r="V42" s="11">
        <f t="shared" si="26"/>
        <v>1</v>
      </c>
      <c r="W42" s="11">
        <f t="shared" si="26"/>
        <v>1</v>
      </c>
      <c r="X42" s="22"/>
      <c r="Z42" s="23" t="s">
        <v>38</v>
      </c>
      <c r="AA42" s="12">
        <f>SUM(AA35:AA41)</f>
        <v>1</v>
      </c>
      <c r="AB42" s="12">
        <f t="shared" ref="AB42:AD42" si="27">SUM(AB35:AB41)</f>
        <v>0.99999999999999989</v>
      </c>
      <c r="AC42" s="12">
        <f t="shared" si="27"/>
        <v>1</v>
      </c>
      <c r="AD42" s="12">
        <f t="shared" si="27"/>
        <v>0.99999999999999989</v>
      </c>
      <c r="AE42" s="23"/>
      <c r="AG42" s="20" t="s">
        <v>38</v>
      </c>
      <c r="AH42" s="13">
        <f>SUM(AH35:AH41)</f>
        <v>1</v>
      </c>
      <c r="AI42" s="13"/>
      <c r="AJ42" s="13">
        <f t="shared" ref="AJ42:AK42" si="28">SUM(AJ35:AJ41)</f>
        <v>1</v>
      </c>
      <c r="AK42" s="13">
        <f t="shared" si="28"/>
        <v>1</v>
      </c>
      <c r="AL42" s="20"/>
    </row>
    <row r="43" spans="2:38" x14ac:dyDescent="0.25">
      <c r="B43" s="27"/>
      <c r="C43" s="27"/>
    </row>
  </sheetData>
  <mergeCells count="7">
    <mergeCell ref="K2:Q2"/>
    <mergeCell ref="S2:Y2"/>
    <mergeCell ref="AA2:AG2"/>
    <mergeCell ref="Z24:AE24"/>
    <mergeCell ref="K24:O24"/>
    <mergeCell ref="Q24:X24"/>
    <mergeCell ref="AG24:AL24"/>
  </mergeCells>
  <conditionalFormatting sqref="B2:AM3 B4:I10 K4:Q10 S4:Y10 AA4:AM10 B11:AM12 B13:P13 Q13:AM20 B14:K14 L14:P19 E15 G15:H15 I15:K19 B15:D30 E16:G16 G17:G18 E19:G19 I20:P20 J21:AM25 E22:G22 E23:H23 K26:O32 Q26:AM32 B31:I34 K33:AM34 B35:C41 F35:W41 X35:AM43 B42:W43">
    <cfRule type="cellIs" dxfId="5" priority="9" stopIfTrue="1" operator="lessThan">
      <formula>0</formula>
    </cfRule>
  </conditionalFormatting>
  <conditionalFormatting sqref="E17:E18">
    <cfRule type="cellIs" dxfId="4" priority="8" stopIfTrue="1" operator="lessThan">
      <formula>0</formula>
    </cfRule>
  </conditionalFormatting>
  <conditionalFormatting sqref="E21 E24 G24:H24 E25:H25 G26:H27">
    <cfRule type="cellIs" dxfId="3" priority="7" stopIfTrue="1" operator="lessThan">
      <formula>0</formula>
    </cfRule>
  </conditionalFormatting>
  <conditionalFormatting sqref="E26:E27">
    <cfRule type="cellIs" dxfId="2" priority="6" stopIfTrue="1" operator="lessThan">
      <formula>0</formula>
    </cfRule>
  </conditionalFormatting>
  <conditionalFormatting sqref="E28:H30">
    <cfRule type="cellIs" dxfId="1" priority="4" stopIfTrue="1" operator="lessThan">
      <formula>0</formula>
    </cfRule>
  </conditionalFormatting>
  <conditionalFormatting sqref="I22:I30">
    <cfRule type="cellIs" dxfId="0" priority="1" stopIfTrue="1" operator="lessThan">
      <formula>0</formula>
    </cfRule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590F44C92960C4AB531FD95DD633474" ma:contentTypeVersion="15" ma:contentTypeDescription="Crie um novo documento." ma:contentTypeScope="" ma:versionID="6388e2999bb39d2e0a7a9754c0c001c9">
  <xsd:schema xmlns:xsd="http://www.w3.org/2001/XMLSchema" xmlns:xs="http://www.w3.org/2001/XMLSchema" xmlns:p="http://schemas.microsoft.com/office/2006/metadata/properties" xmlns:ns3="fa983fae-e61a-4ac7-817f-e7ce0a1311a8" xmlns:ns4="09ac50ac-8816-472f-995c-982ef96ba377" targetNamespace="http://schemas.microsoft.com/office/2006/metadata/properties" ma:root="true" ma:fieldsID="e7e758b4d1a060bc8058cfe642fa921b" ns3:_="" ns4:_="">
    <xsd:import namespace="fa983fae-e61a-4ac7-817f-e7ce0a1311a8"/>
    <xsd:import namespace="09ac50ac-8816-472f-995c-982ef96ba37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983fae-e61a-4ac7-817f-e7ce0a1311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ac50ac-8816-472f-995c-982ef96ba37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a983fae-e61a-4ac7-817f-e7ce0a1311a8" xsi:nil="true"/>
  </documentManagement>
</p:properties>
</file>

<file path=customXml/itemProps1.xml><?xml version="1.0" encoding="utf-8"?>
<ds:datastoreItem xmlns:ds="http://schemas.openxmlformats.org/officeDocument/2006/customXml" ds:itemID="{8C18CB11-E1B9-48B1-B597-10F88D3443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983fae-e61a-4ac7-817f-e7ce0a1311a8"/>
    <ds:schemaRef ds:uri="09ac50ac-8816-472f-995c-982ef96ba3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CB9F399-3636-4E77-8768-1CBABDBDB9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EA0659-3781-4BA3-A6BF-3FE22FF2E8CD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fa983fae-e61a-4ac7-817f-e7ce0a1311a8"/>
    <ds:schemaRef ds:uri="http://purl.org/dc/elements/1.1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09ac50ac-8816-472f-995c-982ef96ba37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BM OE (17)</vt:lpstr>
      <vt:lpstr>mássico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Isabelli Krul Vieira</dc:creator>
  <cp:lastModifiedBy>Luiz Dembicki</cp:lastModifiedBy>
  <dcterms:created xsi:type="dcterms:W3CDTF">2023-05-28T17:33:17Z</dcterms:created>
  <dcterms:modified xsi:type="dcterms:W3CDTF">2023-06-22T16:53:08Z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0x0101002590F44C92960C4AB531FD95DD633474</vt:lpwstr>
  </property>
</Properties>
</file>