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luizd\uni\2023-Semestre1\Integra\"/>
    </mc:Choice>
  </mc:AlternateContent>
  <xr:revisionPtr revIDLastSave="0" documentId="8_{ACA2B87B-0D03-4977-A501-E359842A3136}" xr6:coauthVersionLast="47" xr6:coauthVersionMax="47" xr10:uidLastSave="{00000000-0000-0000-0000-000000000000}"/>
  <bookViews>
    <workbookView xWindow="-120" yWindow="-120" windowWidth="29040" windowHeight="15840" xr2:uid="{0D6308DC-9443-4FB9-A010-283FE25BE9EF}"/>
  </bookViews>
  <sheets>
    <sheet name="BM (4)" sheetId="11" r:id="rId1"/>
    <sheet name="BM (2)" sheetId="6" r:id="rId2"/>
    <sheet name="BM (3)" sheetId="9" r:id="rId3"/>
    <sheet name="Planta" sheetId="2" r:id="rId4"/>
  </sheets>
  <definedNames>
    <definedName name="solver_adj" localSheetId="1" hidden="1">'BM (2)'!$H$3,'BM (2)'!$H$4,'BM (2)'!$H$6,'BM (2)'!$H$8,'BM (2)'!$H$5</definedName>
    <definedName name="solver_adj" localSheetId="2" hidden="1">'BM (3)'!$H$3,'BM (3)'!$H$4,'BM (3)'!$H$6,'BM (3)'!$H$8,'BM (3)'!$H$5</definedName>
    <definedName name="solver_adj" localSheetId="0" hidden="1">'BM (4)'!$H$3,'BM (4)'!$H$4,'BM (4)'!$H$6,'BM (4)'!$H$8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'BM (2)'!$N$6</definedName>
    <definedName name="solver_lhs1" localSheetId="2" hidden="1">'BM (3)'!$H$10</definedName>
    <definedName name="solver_lhs1" localSheetId="0" hidden="1">'BM (4)'!$N$6</definedName>
    <definedName name="solver_lhs10" localSheetId="1" hidden="1">'BM (2)'!$H$19</definedName>
    <definedName name="solver_lhs10" localSheetId="2" hidden="1">'BM (3)'!$N$6</definedName>
    <definedName name="solver_lhs10" localSheetId="0" hidden="1">'BM (4)'!$H$10</definedName>
    <definedName name="solver_lhs11" localSheetId="0" hidden="1">'BM (4)'!$H$15</definedName>
    <definedName name="solver_lhs2" localSheetId="1" hidden="1">'BM (2)'!$H$5</definedName>
    <definedName name="solver_lhs2" localSheetId="2" hidden="1">'BM (3)'!$H$14</definedName>
    <definedName name="solver_lhs2" localSheetId="0" hidden="1">'BM (4)'!$H$5</definedName>
    <definedName name="solver_lhs3" localSheetId="1" hidden="1">'BM (2)'!$H$5</definedName>
    <definedName name="solver_lhs3" localSheetId="2" hidden="1">'BM (3)'!$H$16</definedName>
    <definedName name="solver_lhs3" localSheetId="0" hidden="1">'BM (4)'!$H$14</definedName>
    <definedName name="solver_lhs4" localSheetId="1" hidden="1">'BM (2)'!$H$10</definedName>
    <definedName name="solver_lhs4" localSheetId="2" hidden="1">'BM (3)'!$H$19</definedName>
    <definedName name="solver_lhs4" localSheetId="0" hidden="1">'BM (4)'!$H$18</definedName>
    <definedName name="solver_lhs5" localSheetId="1" hidden="1">'BM (2)'!$H$10</definedName>
    <definedName name="solver_lhs5" localSheetId="2" hidden="1">'BM (3)'!$H$18</definedName>
    <definedName name="solver_lhs5" localSheetId="0" hidden="1">'BM (4)'!$H$16</definedName>
    <definedName name="solver_lhs6" localSheetId="1" hidden="1">'BM (2)'!$H$15</definedName>
    <definedName name="solver_lhs6" localSheetId="2" hidden="1">'BM (3)'!$H$15</definedName>
    <definedName name="solver_lhs6" localSheetId="0" hidden="1">'BM (4)'!$H$19</definedName>
    <definedName name="solver_lhs7" localSheetId="1" hidden="1">'BM (2)'!$H$14</definedName>
    <definedName name="solver_lhs7" localSheetId="2" hidden="1">'BM (3)'!$H$10</definedName>
    <definedName name="solver_lhs7" localSheetId="0" hidden="1">'BM (4)'!$H$5</definedName>
    <definedName name="solver_lhs8" localSheetId="1" hidden="1">'BM (2)'!$H$18</definedName>
    <definedName name="solver_lhs8" localSheetId="2" hidden="1">'BM (3)'!$H$5</definedName>
    <definedName name="solver_lhs8" localSheetId="0" hidden="1">'BM (4)'!$H$20</definedName>
    <definedName name="solver_lhs9" localSheetId="1" hidden="1">'BM (2)'!$H$16</definedName>
    <definedName name="solver_lhs9" localSheetId="2" hidden="1">'BM (3)'!$H$5</definedName>
    <definedName name="solver_lhs9" localSheetId="0" hidden="1">'BM (4)'!$H$10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10</definedName>
    <definedName name="solver_num" localSheetId="2" hidden="1">10</definedName>
    <definedName name="solver_num" localSheetId="0" hidden="1">11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'BM (2)'!$H$10</definedName>
    <definedName name="solver_opt" localSheetId="2" hidden="1">'BM (3)'!$H$10</definedName>
    <definedName name="solver_opt" localSheetId="0" hidden="1">'BM (4)'!$H$10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el1" localSheetId="1" hidden="1">3</definedName>
    <definedName name="solver_rel1" localSheetId="2" hidden="1">1</definedName>
    <definedName name="solver_rel1" localSheetId="0" hidden="1">3</definedName>
    <definedName name="solver_rel10" localSheetId="1" hidden="1">3</definedName>
    <definedName name="solver_rel10" localSheetId="2" hidden="1">3</definedName>
    <definedName name="solver_rel10" localSheetId="0" hidden="1">1</definedName>
    <definedName name="solver_rel11" localSheetId="0" hidden="1">2</definedName>
    <definedName name="solver_rel2" localSheetId="1" hidden="1">3</definedName>
    <definedName name="solver_rel2" localSheetId="2" hidden="1">2</definedName>
    <definedName name="solver_rel2" localSheetId="0" hidden="1">3</definedName>
    <definedName name="solver_rel3" localSheetId="1" hidden="1">1</definedName>
    <definedName name="solver_rel3" localSheetId="2" hidden="1">2</definedName>
    <definedName name="solver_rel3" localSheetId="0" hidden="1">2</definedName>
    <definedName name="solver_rel4" localSheetId="1" hidden="1">3</definedName>
    <definedName name="solver_rel4" localSheetId="2" hidden="1">3</definedName>
    <definedName name="solver_rel4" localSheetId="0" hidden="1">2</definedName>
    <definedName name="solver_rel5" localSheetId="1" hidden="1">1</definedName>
    <definedName name="solver_rel5" localSheetId="2" hidden="1">2</definedName>
    <definedName name="solver_rel5" localSheetId="0" hidden="1">2</definedName>
    <definedName name="solver_rel6" localSheetId="1" hidden="1">2</definedName>
    <definedName name="solver_rel6" localSheetId="2" hidden="1">2</definedName>
    <definedName name="solver_rel6" localSheetId="0" hidden="1">2</definedName>
    <definedName name="solver_rel7" localSheetId="1" hidden="1">2</definedName>
    <definedName name="solver_rel7" localSheetId="2" hidden="1">3</definedName>
    <definedName name="solver_rel7" localSheetId="0" hidden="1">1</definedName>
    <definedName name="solver_rel8" localSheetId="1" hidden="1">2</definedName>
    <definedName name="solver_rel8" localSheetId="2" hidden="1">1</definedName>
    <definedName name="solver_rel8" localSheetId="0" hidden="1">2</definedName>
    <definedName name="solver_rel9" localSheetId="1" hidden="1">2</definedName>
    <definedName name="solver_rel9" localSheetId="2" hidden="1">3</definedName>
    <definedName name="solver_rel9" localSheetId="0" hidden="1">3</definedName>
    <definedName name="solver_rhs1" localSheetId="1" hidden="1">0</definedName>
    <definedName name="solver_rhs1" localSheetId="2" hidden="1">1</definedName>
    <definedName name="solver_rhs1" localSheetId="0" hidden="1">0</definedName>
    <definedName name="solver_rhs10" localSheetId="1" hidden="1">0</definedName>
    <definedName name="solver_rhs10" localSheetId="2" hidden="1">0</definedName>
    <definedName name="solver_rhs10" localSheetId="0" hidden="1">1</definedName>
    <definedName name="solver_rhs11" localSheetId="0" hidden="1">'BM (4)'!$I$15</definedName>
    <definedName name="solver_rhs2" localSheetId="1" hidden="1">0.000001</definedName>
    <definedName name="solver_rhs2" localSheetId="2" hidden="1">'BM (3)'!$I$14</definedName>
    <definedName name="solver_rhs2" localSheetId="0" hidden="1">0.000001</definedName>
    <definedName name="solver_rhs3" localSheetId="1" hidden="1">'BM (2)'!$I$5</definedName>
    <definedName name="solver_rhs3" localSheetId="2" hidden="1">'BM (3)'!$I$16</definedName>
    <definedName name="solver_rhs3" localSheetId="0" hidden="1">'BM (4)'!$I$14</definedName>
    <definedName name="solver_rhs4" localSheetId="1" hidden="1">0.001</definedName>
    <definedName name="solver_rhs4" localSheetId="2" hidden="1">0</definedName>
    <definedName name="solver_rhs4" localSheetId="0" hidden="1">'BM (4)'!$I$18</definedName>
    <definedName name="solver_rhs5" localSheetId="1" hidden="1">1</definedName>
    <definedName name="solver_rhs5" localSheetId="2" hidden="1">'BM (3)'!$I$18</definedName>
    <definedName name="solver_rhs5" localSheetId="0" hidden="1">'BM (4)'!$I$16</definedName>
    <definedName name="solver_rhs6" localSheetId="1" hidden="1">'BM (2)'!$I$15</definedName>
    <definedName name="solver_rhs6" localSheetId="2" hidden="1">'BM (3)'!$I$15</definedName>
    <definedName name="solver_rhs6" localSheetId="0" hidden="1">0</definedName>
    <definedName name="solver_rhs7" localSheetId="1" hidden="1">'BM (2)'!$I$14</definedName>
    <definedName name="solver_rhs7" localSheetId="2" hidden="1">0.001</definedName>
    <definedName name="solver_rhs7" localSheetId="0" hidden="1">'BM (4)'!$I$5</definedName>
    <definedName name="solver_rhs8" localSheetId="1" hidden="1">'BM (2)'!$I$18</definedName>
    <definedName name="solver_rhs8" localSheetId="2" hidden="1">'BM (3)'!$I$5</definedName>
    <definedName name="solver_rhs8" localSheetId="0" hidden="1">'BM (4)'!$I$20</definedName>
    <definedName name="solver_rhs9" localSheetId="1" hidden="1">'BM (2)'!$I$16</definedName>
    <definedName name="solver_rhs9" localSheetId="2" hidden="1">0.000001</definedName>
    <definedName name="solver_rhs9" localSheetId="0" hidden="1">0.001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8" calcMode="manual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1" l="1"/>
  <c r="AD59" i="11"/>
  <c r="AD58" i="11"/>
  <c r="AC58" i="11"/>
  <c r="Y58" i="11"/>
  <c r="Z58" i="11"/>
  <c r="AD55" i="11"/>
  <c r="AC55" i="11"/>
  <c r="AD54" i="11"/>
  <c r="AD53" i="11"/>
  <c r="AC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A46" i="11"/>
  <c r="P44" i="11"/>
  <c r="O44" i="11"/>
  <c r="A42" i="11"/>
  <c r="AE41" i="11"/>
  <c r="AD41" i="11"/>
  <c r="AD40" i="11" s="1"/>
  <c r="AC41" i="11"/>
  <c r="AC40" i="11" s="1"/>
  <c r="Y41" i="11"/>
  <c r="Y40" i="11"/>
  <c r="Y44" i="11" s="1"/>
  <c r="AE40" i="11"/>
  <c r="A40" i="11"/>
  <c r="A36" i="11"/>
  <c r="P34" i="11"/>
  <c r="P32" i="11"/>
  <c r="AD33" i="11"/>
  <c r="O33" i="11"/>
  <c r="Q33" i="11"/>
  <c r="AD32" i="11"/>
  <c r="U32" i="11"/>
  <c r="U31" i="11"/>
  <c r="O31" i="11"/>
  <c r="Q31" i="11"/>
  <c r="O30" i="11"/>
  <c r="Q30" i="11"/>
  <c r="AD29" i="11"/>
  <c r="U29" i="11"/>
  <c r="Q29" i="11"/>
  <c r="O29" i="11"/>
  <c r="A29" i="11"/>
  <c r="AD28" i="11"/>
  <c r="O28" i="11"/>
  <c r="Q28" i="11"/>
  <c r="AD27" i="11"/>
  <c r="A27" i="11"/>
  <c r="A25" i="11"/>
  <c r="K22" i="11"/>
  <c r="AB20" i="11"/>
  <c r="L16" i="11"/>
  <c r="L15" i="11"/>
  <c r="L22" i="11"/>
  <c r="I14" i="11"/>
  <c r="C13" i="11"/>
  <c r="L12" i="11"/>
  <c r="L11" i="11"/>
  <c r="K12" i="11"/>
  <c r="K9" i="11"/>
  <c r="C12" i="11"/>
  <c r="C11" i="11"/>
  <c r="Z10" i="11"/>
  <c r="H10" i="11"/>
  <c r="C10" i="11"/>
  <c r="Z9" i="11"/>
  <c r="U9" i="11"/>
  <c r="O9" i="11"/>
  <c r="C9" i="11"/>
  <c r="U8" i="11"/>
  <c r="Z7" i="11"/>
  <c r="C7" i="11"/>
  <c r="A72" i="11" s="1"/>
  <c r="AC5" i="11"/>
  <c r="O27" i="11"/>
  <c r="C4" i="11"/>
  <c r="C23" i="6"/>
  <c r="C22" i="6"/>
  <c r="C21" i="6"/>
  <c r="AD59" i="9"/>
  <c r="AD58" i="9"/>
  <c r="AC58" i="9"/>
  <c r="Z58" i="9"/>
  <c r="Y58" i="9"/>
  <c r="AD55" i="9"/>
  <c r="AC55" i="9"/>
  <c r="Y55" i="9"/>
  <c r="AD54" i="9"/>
  <c r="AC54" i="9"/>
  <c r="Y54" i="9"/>
  <c r="AD53" i="9"/>
  <c r="AC53" i="9"/>
  <c r="Y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A46" i="9"/>
  <c r="P44" i="9"/>
  <c r="O44" i="9"/>
  <c r="A42" i="9"/>
  <c r="AE41" i="9"/>
  <c r="AD41" i="9"/>
  <c r="AC41" i="9"/>
  <c r="AC40" i="9"/>
  <c r="Y41" i="9"/>
  <c r="Y40" i="9"/>
  <c r="Y44" i="9"/>
  <c r="AE40" i="9"/>
  <c r="AD40" i="9"/>
  <c r="A40" i="9"/>
  <c r="A36" i="9"/>
  <c r="P34" i="9"/>
  <c r="AD33" i="9"/>
  <c r="O33" i="9"/>
  <c r="Q33" i="9"/>
  <c r="AD32" i="9"/>
  <c r="U32" i="9"/>
  <c r="P32" i="9"/>
  <c r="U31" i="9"/>
  <c r="Q31" i="9"/>
  <c r="O31" i="9"/>
  <c r="O30" i="9"/>
  <c r="Q30" i="9"/>
  <c r="AD29" i="9"/>
  <c r="U29" i="9"/>
  <c r="O29" i="9"/>
  <c r="Q29" i="9"/>
  <c r="A29" i="9"/>
  <c r="AD28" i="9"/>
  <c r="Q28" i="9"/>
  <c r="O28" i="9"/>
  <c r="AD27" i="9"/>
  <c r="A27" i="9"/>
  <c r="A25" i="9"/>
  <c r="K22" i="9"/>
  <c r="AB20" i="9"/>
  <c r="L16" i="9"/>
  <c r="L15" i="9"/>
  <c r="L22" i="9"/>
  <c r="I14" i="9"/>
  <c r="C13" i="9"/>
  <c r="L12" i="9"/>
  <c r="L11" i="9"/>
  <c r="K12" i="9"/>
  <c r="C12" i="9"/>
  <c r="K11" i="9"/>
  <c r="C11" i="9"/>
  <c r="Z10" i="9"/>
  <c r="L10" i="9"/>
  <c r="K10" i="9"/>
  <c r="H10" i="9"/>
  <c r="C10" i="9"/>
  <c r="Z9" i="9"/>
  <c r="U9" i="9"/>
  <c r="O9" i="9"/>
  <c r="L9" i="9"/>
  <c r="K9" i="9"/>
  <c r="M9" i="9"/>
  <c r="H9" i="9"/>
  <c r="C9" i="9"/>
  <c r="U8" i="9"/>
  <c r="L8" i="9"/>
  <c r="K8" i="9"/>
  <c r="Z7" i="9"/>
  <c r="L7" i="9"/>
  <c r="K7" i="9"/>
  <c r="C7" i="9"/>
  <c r="A72" i="9"/>
  <c r="L6" i="9"/>
  <c r="K6" i="9"/>
  <c r="AC5" i="9"/>
  <c r="O27" i="9"/>
  <c r="L5" i="9"/>
  <c r="H16" i="9"/>
  <c r="K5" i="9"/>
  <c r="C4" i="9"/>
  <c r="I18" i="9"/>
  <c r="AD59" i="6"/>
  <c r="AD58" i="6"/>
  <c r="AC58" i="6"/>
  <c r="Y58" i="6"/>
  <c r="Z58" i="6"/>
  <c r="AD55" i="6"/>
  <c r="AC55" i="6"/>
  <c r="Y55" i="6"/>
  <c r="AD54" i="6"/>
  <c r="AD53" i="6"/>
  <c r="AC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A46" i="6"/>
  <c r="P44" i="6"/>
  <c r="O44" i="6"/>
  <c r="A42" i="6"/>
  <c r="AE41" i="6"/>
  <c r="AE40" i="6"/>
  <c r="AD41" i="6"/>
  <c r="AD40" i="6"/>
  <c r="AC41" i="6"/>
  <c r="AC40" i="6"/>
  <c r="Y41" i="6"/>
  <c r="Y40" i="6"/>
  <c r="Y44" i="6"/>
  <c r="A40" i="6"/>
  <c r="A36" i="6"/>
  <c r="P34" i="6"/>
  <c r="P32" i="6"/>
  <c r="AD33" i="6"/>
  <c r="O33" i="6"/>
  <c r="Q33" i="6"/>
  <c r="AD32" i="6"/>
  <c r="U32" i="6"/>
  <c r="U31" i="6"/>
  <c r="Q31" i="6"/>
  <c r="O31" i="6"/>
  <c r="Q30" i="6"/>
  <c r="O30" i="6"/>
  <c r="AD29" i="6"/>
  <c r="U29" i="6"/>
  <c r="O29" i="6"/>
  <c r="Q29" i="6"/>
  <c r="A29" i="6"/>
  <c r="AD28" i="6"/>
  <c r="O28" i="6"/>
  <c r="Q28" i="6"/>
  <c r="AD27" i="6"/>
  <c r="A27" i="6"/>
  <c r="A25" i="6"/>
  <c r="K22" i="6"/>
  <c r="AB20" i="6"/>
  <c r="L16" i="6"/>
  <c r="L15" i="6"/>
  <c r="I14" i="6"/>
  <c r="C13" i="6"/>
  <c r="L12" i="6"/>
  <c r="L11" i="6"/>
  <c r="K12" i="6"/>
  <c r="K8" i="6"/>
  <c r="C12" i="6"/>
  <c r="C4" i="6"/>
  <c r="I18" i="6"/>
  <c r="C11" i="6"/>
  <c r="Z10" i="6"/>
  <c r="C10" i="6"/>
  <c r="Z9" i="6"/>
  <c r="U9" i="6"/>
  <c r="C9" i="6"/>
  <c r="U8" i="6"/>
  <c r="O8" i="6"/>
  <c r="Z7" i="6"/>
  <c r="C7" i="6"/>
  <c r="A72" i="6"/>
  <c r="AC5" i="6"/>
  <c r="O27" i="6"/>
  <c r="H10" i="6"/>
  <c r="K7" i="11"/>
  <c r="C23" i="11"/>
  <c r="D6" i="11"/>
  <c r="AE57" i="11" s="1"/>
  <c r="L6" i="11"/>
  <c r="C22" i="11"/>
  <c r="K6" i="11"/>
  <c r="K8" i="11"/>
  <c r="H9" i="11"/>
  <c r="L5" i="11"/>
  <c r="H16" i="11"/>
  <c r="L8" i="11"/>
  <c r="L9" i="11"/>
  <c r="M9" i="11"/>
  <c r="L10" i="11"/>
  <c r="L7" i="11"/>
  <c r="K10" i="11"/>
  <c r="K5" i="11"/>
  <c r="K11" i="11"/>
  <c r="I18" i="11"/>
  <c r="Q27" i="11"/>
  <c r="O8" i="11"/>
  <c r="Y55" i="11"/>
  <c r="Y53" i="11"/>
  <c r="AC54" i="11"/>
  <c r="AC59" i="11"/>
  <c r="Q27" i="9"/>
  <c r="D6" i="9"/>
  <c r="O8" i="9"/>
  <c r="AC59" i="9"/>
  <c r="H9" i="6"/>
  <c r="L22" i="6"/>
  <c r="K7" i="6"/>
  <c r="K9" i="6"/>
  <c r="K10" i="6"/>
  <c r="K6" i="6"/>
  <c r="L9" i="6"/>
  <c r="L7" i="6"/>
  <c r="L6" i="6"/>
  <c r="L5" i="6"/>
  <c r="H16" i="6"/>
  <c r="L8" i="6"/>
  <c r="M8" i="6"/>
  <c r="K11" i="6"/>
  <c r="L10" i="6"/>
  <c r="K5" i="6"/>
  <c r="D6" i="6"/>
  <c r="AE57" i="6"/>
  <c r="Q27" i="6"/>
  <c r="O9" i="6"/>
  <c r="Y53" i="6"/>
  <c r="AC54" i="6"/>
  <c r="AC59" i="6"/>
  <c r="C21" i="11"/>
  <c r="Y59" i="11"/>
  <c r="Y54" i="11"/>
  <c r="M8" i="11"/>
  <c r="M8" i="9"/>
  <c r="AE57" i="9"/>
  <c r="B6" i="9"/>
  <c r="AE56" i="9"/>
  <c r="Y59" i="9"/>
  <c r="B6" i="6"/>
  <c r="AE56" i="6"/>
  <c r="AD56" i="6"/>
  <c r="Y54" i="6"/>
  <c r="M9" i="6"/>
  <c r="Y59" i="6"/>
  <c r="AD57" i="6"/>
  <c r="AE60" i="9"/>
  <c r="AE66" i="9"/>
  <c r="AD56" i="9"/>
  <c r="AD57" i="9"/>
  <c r="AE60" i="6"/>
  <c r="AE67" i="6"/>
  <c r="AC57" i="6"/>
  <c r="AC56" i="6"/>
  <c r="AD60" i="6"/>
  <c r="AD67" i="6"/>
  <c r="AE67" i="9"/>
  <c r="AC56" i="9"/>
  <c r="AD60" i="9"/>
  <c r="AD67" i="9"/>
  <c r="AC57" i="9"/>
  <c r="AE66" i="6"/>
  <c r="AD66" i="6"/>
  <c r="Y57" i="6"/>
  <c r="Z57" i="6"/>
  <c r="Z60" i="6"/>
  <c r="Y56" i="6"/>
  <c r="X56" i="6"/>
  <c r="AC60" i="6"/>
  <c r="Y60" i="6"/>
  <c r="AD66" i="9"/>
  <c r="Y56" i="9"/>
  <c r="X56" i="9"/>
  <c r="AC60" i="9"/>
  <c r="Y60" i="9"/>
  <c r="Y57" i="9"/>
  <c r="Z57" i="9"/>
  <c r="Z60" i="9"/>
  <c r="AD57" i="11" l="1"/>
  <c r="B6" i="11"/>
  <c r="AE56" i="11" s="1"/>
  <c r="AE60" i="11" l="1"/>
  <c r="AE67" i="11" s="1"/>
  <c r="AD56" i="11"/>
  <c r="AC57" i="11"/>
  <c r="Y57" i="11" l="1"/>
  <c r="Z57" i="11" s="1"/>
  <c r="Z60" i="11" s="1"/>
  <c r="AC56" i="11"/>
  <c r="AD60" i="11"/>
  <c r="AD67" i="11" s="1"/>
  <c r="AE66" i="11"/>
  <c r="Y56" i="11" l="1"/>
  <c r="X56" i="11" s="1"/>
  <c r="AC60" i="11"/>
  <c r="Y60" i="11" s="1"/>
  <c r="AD66" i="11"/>
  <c r="M5" i="6"/>
  <c r="N5" i="6"/>
  <c r="O5" i="6"/>
  <c r="R5" i="6"/>
  <c r="S5" i="6"/>
  <c r="T5" i="6"/>
  <c r="U5" i="6"/>
  <c r="Y5" i="6"/>
  <c r="Z5" i="6"/>
  <c r="AA5" i="6"/>
  <c r="AB5" i="6"/>
  <c r="M6" i="6"/>
  <c r="N6" i="6"/>
  <c r="O6" i="6"/>
  <c r="R6" i="6"/>
  <c r="S6" i="6"/>
  <c r="T6" i="6"/>
  <c r="U6" i="6"/>
  <c r="Y6" i="6"/>
  <c r="Z6" i="6"/>
  <c r="AA6" i="6"/>
  <c r="AB6" i="6"/>
  <c r="M7" i="6"/>
  <c r="N7" i="6"/>
  <c r="O7" i="6"/>
  <c r="R7" i="6"/>
  <c r="S7" i="6"/>
  <c r="T7" i="6"/>
  <c r="U7" i="6"/>
  <c r="Y7" i="6"/>
  <c r="AA7" i="6"/>
  <c r="AB7" i="6"/>
  <c r="N8" i="6"/>
  <c r="R8" i="6"/>
  <c r="S8" i="6"/>
  <c r="Y8" i="6"/>
  <c r="Z8" i="6"/>
  <c r="AA8" i="6"/>
  <c r="AB8" i="6"/>
  <c r="N9" i="6"/>
  <c r="R9" i="6"/>
  <c r="S9" i="6"/>
  <c r="Y9" i="6"/>
  <c r="AA9" i="6"/>
  <c r="AB9" i="6"/>
  <c r="M10" i="6"/>
  <c r="N10" i="6"/>
  <c r="O10" i="6"/>
  <c r="R10" i="6"/>
  <c r="S10" i="6"/>
  <c r="T10" i="6"/>
  <c r="U10" i="6"/>
  <c r="V10" i="6"/>
  <c r="Y10" i="6"/>
  <c r="AA10" i="6"/>
  <c r="AB10" i="6"/>
  <c r="AC10" i="6"/>
  <c r="M11" i="6"/>
  <c r="N11" i="6"/>
  <c r="O11" i="6"/>
  <c r="R11" i="6"/>
  <c r="S11" i="6"/>
  <c r="T11" i="6"/>
  <c r="U11" i="6"/>
  <c r="Y11" i="6"/>
  <c r="Z11" i="6"/>
  <c r="AA11" i="6"/>
  <c r="AB11" i="6"/>
  <c r="M12" i="6"/>
  <c r="N12" i="6"/>
  <c r="O12" i="6"/>
  <c r="R12" i="6"/>
  <c r="S12" i="6"/>
  <c r="T12" i="6"/>
  <c r="U12" i="6"/>
  <c r="V12" i="6"/>
  <c r="Y12" i="6"/>
  <c r="Z12" i="6"/>
  <c r="AA12" i="6"/>
  <c r="AB12" i="6"/>
  <c r="AC12" i="6"/>
  <c r="H14" i="6"/>
  <c r="H15" i="6"/>
  <c r="I15" i="6"/>
  <c r="M15" i="6"/>
  <c r="N15" i="6"/>
  <c r="O15" i="6"/>
  <c r="R15" i="6"/>
  <c r="S15" i="6"/>
  <c r="T15" i="6"/>
  <c r="U15" i="6"/>
  <c r="V15" i="6"/>
  <c r="Y15" i="6"/>
  <c r="Z15" i="6"/>
  <c r="AA15" i="6"/>
  <c r="AB15" i="6"/>
  <c r="AC15" i="6"/>
  <c r="I16" i="6"/>
  <c r="M16" i="6"/>
  <c r="N16" i="6"/>
  <c r="O16" i="6"/>
  <c r="R16" i="6"/>
  <c r="S16" i="6"/>
  <c r="T16" i="6"/>
  <c r="U16" i="6"/>
  <c r="V16" i="6"/>
  <c r="Y16" i="6"/>
  <c r="Z16" i="6"/>
  <c r="AA16" i="6"/>
  <c r="AB16" i="6"/>
  <c r="AC16" i="6"/>
  <c r="H17" i="6"/>
  <c r="M17" i="6"/>
  <c r="N17" i="6"/>
  <c r="O17" i="6"/>
  <c r="R17" i="6"/>
  <c r="S17" i="6"/>
  <c r="T17" i="6"/>
  <c r="U17" i="6"/>
  <c r="V17" i="6"/>
  <c r="Y17" i="6"/>
  <c r="Z17" i="6"/>
  <c r="AA17" i="6"/>
  <c r="AB17" i="6"/>
  <c r="AC17" i="6"/>
  <c r="H18" i="6"/>
  <c r="M18" i="6"/>
  <c r="N18" i="6"/>
  <c r="O18" i="6"/>
  <c r="R18" i="6"/>
  <c r="S18" i="6"/>
  <c r="T18" i="6"/>
  <c r="U18" i="6"/>
  <c r="V18" i="6"/>
  <c r="Y18" i="6"/>
  <c r="Z18" i="6"/>
  <c r="AA18" i="6"/>
  <c r="AB18" i="6"/>
  <c r="AC18" i="6"/>
  <c r="H19" i="6"/>
  <c r="M19" i="6"/>
  <c r="N19" i="6"/>
  <c r="O19" i="6"/>
  <c r="R19" i="6"/>
  <c r="S19" i="6"/>
  <c r="T19" i="6"/>
  <c r="U19" i="6"/>
  <c r="V19" i="6"/>
  <c r="Y19" i="6"/>
  <c r="Z19" i="6"/>
  <c r="AA19" i="6"/>
  <c r="AB19" i="6"/>
  <c r="AC19" i="6"/>
  <c r="M20" i="6"/>
  <c r="N20" i="6"/>
  <c r="O20" i="6"/>
  <c r="R20" i="6"/>
  <c r="S20" i="6"/>
  <c r="U20" i="6"/>
  <c r="V20" i="6"/>
  <c r="Y20" i="6"/>
  <c r="Z20" i="6"/>
  <c r="AA20" i="6"/>
  <c r="AC20" i="6"/>
  <c r="M21" i="6"/>
  <c r="N21" i="6"/>
  <c r="O21" i="6"/>
  <c r="R21" i="6"/>
  <c r="S21" i="6"/>
  <c r="T21" i="6"/>
  <c r="U21" i="6"/>
  <c r="V21" i="6"/>
  <c r="Y21" i="6"/>
  <c r="Z21" i="6"/>
  <c r="AA21" i="6"/>
  <c r="AB21" i="6"/>
  <c r="AC21" i="6"/>
  <c r="M22" i="6"/>
  <c r="N22" i="6"/>
  <c r="O22" i="6"/>
  <c r="R22" i="6"/>
  <c r="S22" i="6"/>
  <c r="T22" i="6"/>
  <c r="V22" i="6"/>
  <c r="Y22" i="6"/>
  <c r="Z22" i="6"/>
  <c r="AA22" i="6"/>
  <c r="AB22" i="6"/>
  <c r="AC22" i="6"/>
  <c r="E25" i="6"/>
  <c r="E27" i="6"/>
  <c r="J27" i="6"/>
  <c r="K27" i="6"/>
  <c r="L27" i="6"/>
  <c r="R27" i="6"/>
  <c r="S27" i="6"/>
  <c r="T27" i="6"/>
  <c r="U27" i="6"/>
  <c r="X27" i="6"/>
  <c r="Y27" i="6"/>
  <c r="AC27" i="6"/>
  <c r="J28" i="6"/>
  <c r="K28" i="6"/>
  <c r="L28" i="6"/>
  <c r="R28" i="6"/>
  <c r="S28" i="6"/>
  <c r="T28" i="6"/>
  <c r="U28" i="6"/>
  <c r="X28" i="6"/>
  <c r="Y28" i="6"/>
  <c r="AC28" i="6"/>
  <c r="E29" i="6"/>
  <c r="J29" i="6"/>
  <c r="K29" i="6"/>
  <c r="L29" i="6"/>
  <c r="R29" i="6"/>
  <c r="X29" i="6"/>
  <c r="Y29" i="6"/>
  <c r="AC29" i="6"/>
  <c r="J30" i="6"/>
  <c r="K30" i="6"/>
  <c r="L30" i="6"/>
  <c r="R30" i="6"/>
  <c r="T30" i="6"/>
  <c r="U30" i="6"/>
  <c r="X30" i="6"/>
  <c r="Y30" i="6"/>
  <c r="AC30" i="6"/>
  <c r="AD30" i="6"/>
  <c r="AE30" i="6"/>
  <c r="E31" i="6"/>
  <c r="J31" i="6"/>
  <c r="K31" i="6"/>
  <c r="L31" i="6"/>
  <c r="R31" i="6"/>
  <c r="X31" i="6"/>
  <c r="Y31" i="6"/>
  <c r="Z31" i="6"/>
  <c r="AC31" i="6"/>
  <c r="AD31" i="6"/>
  <c r="AE31" i="6"/>
  <c r="J32" i="6"/>
  <c r="K32" i="6"/>
  <c r="L32" i="6"/>
  <c r="O32" i="6"/>
  <c r="Q32" i="6"/>
  <c r="R32" i="6"/>
  <c r="X32" i="6"/>
  <c r="Y32" i="6"/>
  <c r="Z32" i="6"/>
  <c r="AC32" i="6"/>
  <c r="J33" i="6"/>
  <c r="K33" i="6"/>
  <c r="L33" i="6"/>
  <c r="R33" i="6"/>
  <c r="S33" i="6"/>
  <c r="T33" i="6"/>
  <c r="U33" i="6"/>
  <c r="X33" i="6"/>
  <c r="Y33" i="6"/>
  <c r="AC33" i="6"/>
  <c r="J34" i="6"/>
  <c r="K34" i="6"/>
  <c r="L34" i="6"/>
  <c r="O34" i="6"/>
  <c r="Q34" i="6"/>
  <c r="R34" i="6"/>
  <c r="S34" i="6"/>
  <c r="T34" i="6"/>
  <c r="U34" i="6"/>
  <c r="X34" i="6"/>
  <c r="Y34" i="6"/>
  <c r="Z34" i="6"/>
  <c r="AC34" i="6"/>
  <c r="AD34" i="6"/>
  <c r="AE34" i="6"/>
  <c r="J37" i="6"/>
  <c r="K37" i="6"/>
  <c r="L37" i="6"/>
  <c r="Q37" i="6"/>
  <c r="R37" i="6"/>
  <c r="S37" i="6"/>
  <c r="T37" i="6"/>
  <c r="U37" i="6"/>
  <c r="X37" i="6"/>
  <c r="AC37" i="6"/>
  <c r="AD37" i="6"/>
  <c r="AE37" i="6"/>
  <c r="J38" i="6"/>
  <c r="K38" i="6"/>
  <c r="L38" i="6"/>
  <c r="Q38" i="6"/>
  <c r="R38" i="6"/>
  <c r="S38" i="6"/>
  <c r="T38" i="6"/>
  <c r="U38" i="6"/>
  <c r="X38" i="6"/>
  <c r="AC38" i="6"/>
  <c r="AD38" i="6"/>
  <c r="AE38" i="6"/>
  <c r="J39" i="6"/>
  <c r="K39" i="6"/>
  <c r="L39" i="6"/>
  <c r="Q39" i="6"/>
  <c r="R39" i="6"/>
  <c r="S39" i="6"/>
  <c r="T39" i="6"/>
  <c r="U39" i="6"/>
  <c r="X39" i="6"/>
  <c r="AC39" i="6"/>
  <c r="AD39" i="6"/>
  <c r="AE39" i="6"/>
  <c r="J40" i="6"/>
  <c r="K40" i="6"/>
  <c r="L40" i="6"/>
  <c r="Q40" i="6"/>
  <c r="R40" i="6"/>
  <c r="S40" i="6"/>
  <c r="T40" i="6"/>
  <c r="U40" i="6"/>
  <c r="X40" i="6"/>
  <c r="J41" i="6"/>
  <c r="K41" i="6"/>
  <c r="L41" i="6"/>
  <c r="Q41" i="6"/>
  <c r="R41" i="6"/>
  <c r="S41" i="6"/>
  <c r="T41" i="6"/>
  <c r="U41" i="6"/>
  <c r="X41" i="6"/>
  <c r="Z41" i="6"/>
  <c r="J42" i="6"/>
  <c r="K42" i="6"/>
  <c r="L42" i="6"/>
  <c r="Q42" i="6"/>
  <c r="R42" i="6"/>
  <c r="S42" i="6"/>
  <c r="T42" i="6"/>
  <c r="U42" i="6"/>
  <c r="X42" i="6"/>
  <c r="Z42" i="6"/>
  <c r="AC42" i="6"/>
  <c r="AD42" i="6"/>
  <c r="AE42" i="6"/>
  <c r="J43" i="6"/>
  <c r="K43" i="6"/>
  <c r="L43" i="6"/>
  <c r="Q43" i="6"/>
  <c r="R43" i="6"/>
  <c r="S43" i="6"/>
  <c r="T43" i="6"/>
  <c r="U43" i="6"/>
  <c r="X43" i="6"/>
  <c r="AC43" i="6"/>
  <c r="AD43" i="6"/>
  <c r="AE43" i="6"/>
  <c r="J44" i="6"/>
  <c r="K44" i="6"/>
  <c r="L44" i="6"/>
  <c r="Q44" i="6"/>
  <c r="R44" i="6"/>
  <c r="S44" i="6"/>
  <c r="T44" i="6"/>
  <c r="U44" i="6"/>
  <c r="X44" i="6"/>
  <c r="Z44" i="6"/>
  <c r="AC44" i="6"/>
  <c r="AD44" i="6"/>
  <c r="AE44" i="6"/>
  <c r="X63" i="6"/>
  <c r="AC63" i="6"/>
  <c r="AD63" i="6"/>
  <c r="AE63" i="6"/>
  <c r="X64" i="6"/>
  <c r="AC64" i="6"/>
  <c r="AD64" i="6"/>
  <c r="AE64" i="6"/>
  <c r="X65" i="6"/>
  <c r="AC65" i="6"/>
  <c r="AD65" i="6"/>
  <c r="AE65" i="6"/>
  <c r="X66" i="6"/>
  <c r="AC66" i="6"/>
  <c r="X67" i="6"/>
  <c r="AC67" i="6"/>
  <c r="X68" i="6"/>
  <c r="AC68" i="6"/>
  <c r="AD68" i="6"/>
  <c r="AE68" i="6"/>
  <c r="X69" i="6"/>
  <c r="AC69" i="6"/>
  <c r="AD69" i="6"/>
  <c r="AE69" i="6"/>
  <c r="X70" i="6"/>
  <c r="AC70" i="6"/>
  <c r="AD70" i="6"/>
  <c r="AE70" i="6"/>
  <c r="M5" i="9"/>
  <c r="N5" i="9"/>
  <c r="O5" i="9"/>
  <c r="R5" i="9"/>
  <c r="S5" i="9"/>
  <c r="T5" i="9"/>
  <c r="U5" i="9"/>
  <c r="Y5" i="9"/>
  <c r="Z5" i="9"/>
  <c r="AA5" i="9"/>
  <c r="AB5" i="9"/>
  <c r="M6" i="9"/>
  <c r="N6" i="9"/>
  <c r="O6" i="9"/>
  <c r="R6" i="9"/>
  <c r="S6" i="9"/>
  <c r="T6" i="9"/>
  <c r="U6" i="9"/>
  <c r="Y6" i="9"/>
  <c r="Z6" i="9"/>
  <c r="AA6" i="9"/>
  <c r="AB6" i="9"/>
  <c r="M7" i="9"/>
  <c r="N7" i="9"/>
  <c r="O7" i="9"/>
  <c r="R7" i="9"/>
  <c r="S7" i="9"/>
  <c r="T7" i="9"/>
  <c r="U7" i="9"/>
  <c r="Y7" i="9"/>
  <c r="AA7" i="9"/>
  <c r="AB7" i="9"/>
  <c r="N8" i="9"/>
  <c r="R8" i="9"/>
  <c r="S8" i="9"/>
  <c r="Y8" i="9"/>
  <c r="Z8" i="9"/>
  <c r="AA8" i="9"/>
  <c r="AB8" i="9"/>
  <c r="N9" i="9"/>
  <c r="R9" i="9"/>
  <c r="S9" i="9"/>
  <c r="Y9" i="9"/>
  <c r="AA9" i="9"/>
  <c r="AB9" i="9"/>
  <c r="M10" i="9"/>
  <c r="N10" i="9"/>
  <c r="O10" i="9"/>
  <c r="R10" i="9"/>
  <c r="S10" i="9"/>
  <c r="T10" i="9"/>
  <c r="U10" i="9"/>
  <c r="V10" i="9"/>
  <c r="Y10" i="9"/>
  <c r="AA10" i="9"/>
  <c r="AB10" i="9"/>
  <c r="AC10" i="9"/>
  <c r="M11" i="9"/>
  <c r="N11" i="9"/>
  <c r="O11" i="9"/>
  <c r="R11" i="9"/>
  <c r="S11" i="9"/>
  <c r="T11" i="9"/>
  <c r="U11" i="9"/>
  <c r="Y11" i="9"/>
  <c r="Z11" i="9"/>
  <c r="AA11" i="9"/>
  <c r="AB11" i="9"/>
  <c r="M12" i="9"/>
  <c r="N12" i="9"/>
  <c r="O12" i="9"/>
  <c r="R12" i="9"/>
  <c r="S12" i="9"/>
  <c r="T12" i="9"/>
  <c r="U12" i="9"/>
  <c r="V12" i="9"/>
  <c r="Y12" i="9"/>
  <c r="Z12" i="9"/>
  <c r="AA12" i="9"/>
  <c r="AB12" i="9"/>
  <c r="AC12" i="9"/>
  <c r="H14" i="9"/>
  <c r="H15" i="9"/>
  <c r="I15" i="9"/>
  <c r="M15" i="9"/>
  <c r="N15" i="9"/>
  <c r="O15" i="9"/>
  <c r="R15" i="9"/>
  <c r="S15" i="9"/>
  <c r="T15" i="9"/>
  <c r="U15" i="9"/>
  <c r="V15" i="9"/>
  <c r="Y15" i="9"/>
  <c r="Z15" i="9"/>
  <c r="AA15" i="9"/>
  <c r="AB15" i="9"/>
  <c r="AC15" i="9"/>
  <c r="I16" i="9"/>
  <c r="M16" i="9"/>
  <c r="N16" i="9"/>
  <c r="O16" i="9"/>
  <c r="R16" i="9"/>
  <c r="S16" i="9"/>
  <c r="T16" i="9"/>
  <c r="U16" i="9"/>
  <c r="V16" i="9"/>
  <c r="Y16" i="9"/>
  <c r="Z16" i="9"/>
  <c r="AA16" i="9"/>
  <c r="AB16" i="9"/>
  <c r="AC16" i="9"/>
  <c r="H17" i="9"/>
  <c r="M17" i="9"/>
  <c r="N17" i="9"/>
  <c r="O17" i="9"/>
  <c r="R17" i="9"/>
  <c r="S17" i="9"/>
  <c r="T17" i="9"/>
  <c r="U17" i="9"/>
  <c r="V17" i="9"/>
  <c r="Y17" i="9"/>
  <c r="Z17" i="9"/>
  <c r="AA17" i="9"/>
  <c r="AB17" i="9"/>
  <c r="AC17" i="9"/>
  <c r="H18" i="9"/>
  <c r="M18" i="9"/>
  <c r="N18" i="9"/>
  <c r="O18" i="9"/>
  <c r="R18" i="9"/>
  <c r="S18" i="9"/>
  <c r="T18" i="9"/>
  <c r="U18" i="9"/>
  <c r="V18" i="9"/>
  <c r="Y18" i="9"/>
  <c r="Z18" i="9"/>
  <c r="AA18" i="9"/>
  <c r="AB18" i="9"/>
  <c r="AC18" i="9"/>
  <c r="H19" i="9"/>
  <c r="M19" i="9"/>
  <c r="N19" i="9"/>
  <c r="O19" i="9"/>
  <c r="R19" i="9"/>
  <c r="S19" i="9"/>
  <c r="T19" i="9"/>
  <c r="U19" i="9"/>
  <c r="V19" i="9"/>
  <c r="Y19" i="9"/>
  <c r="Z19" i="9"/>
  <c r="AA19" i="9"/>
  <c r="AB19" i="9"/>
  <c r="AC19" i="9"/>
  <c r="M20" i="9"/>
  <c r="N20" i="9"/>
  <c r="O20" i="9"/>
  <c r="R20" i="9"/>
  <c r="S20" i="9"/>
  <c r="U20" i="9"/>
  <c r="V20" i="9"/>
  <c r="Y20" i="9"/>
  <c r="Z20" i="9"/>
  <c r="AA20" i="9"/>
  <c r="AC20" i="9"/>
  <c r="M21" i="9"/>
  <c r="N21" i="9"/>
  <c r="O21" i="9"/>
  <c r="R21" i="9"/>
  <c r="S21" i="9"/>
  <c r="T21" i="9"/>
  <c r="U21" i="9"/>
  <c r="V21" i="9"/>
  <c r="Y21" i="9"/>
  <c r="Z21" i="9"/>
  <c r="AA21" i="9"/>
  <c r="AB21" i="9"/>
  <c r="AC21" i="9"/>
  <c r="M22" i="9"/>
  <c r="N22" i="9"/>
  <c r="O22" i="9"/>
  <c r="R22" i="9"/>
  <c r="S22" i="9"/>
  <c r="T22" i="9"/>
  <c r="V22" i="9"/>
  <c r="Y22" i="9"/>
  <c r="Z22" i="9"/>
  <c r="AA22" i="9"/>
  <c r="AB22" i="9"/>
  <c r="AC22" i="9"/>
  <c r="E25" i="9"/>
  <c r="E27" i="9"/>
  <c r="J27" i="9"/>
  <c r="K27" i="9"/>
  <c r="L27" i="9"/>
  <c r="R27" i="9"/>
  <c r="S27" i="9"/>
  <c r="T27" i="9"/>
  <c r="U27" i="9"/>
  <c r="X27" i="9"/>
  <c r="Y27" i="9"/>
  <c r="AC27" i="9"/>
  <c r="J28" i="9"/>
  <c r="K28" i="9"/>
  <c r="L28" i="9"/>
  <c r="R28" i="9"/>
  <c r="S28" i="9"/>
  <c r="T28" i="9"/>
  <c r="U28" i="9"/>
  <c r="X28" i="9"/>
  <c r="Y28" i="9"/>
  <c r="AC28" i="9"/>
  <c r="E29" i="9"/>
  <c r="J29" i="9"/>
  <c r="K29" i="9"/>
  <c r="L29" i="9"/>
  <c r="R29" i="9"/>
  <c r="X29" i="9"/>
  <c r="Y29" i="9"/>
  <c r="AC29" i="9"/>
  <c r="J30" i="9"/>
  <c r="K30" i="9"/>
  <c r="L30" i="9"/>
  <c r="R30" i="9"/>
  <c r="T30" i="9"/>
  <c r="U30" i="9"/>
  <c r="X30" i="9"/>
  <c r="Y30" i="9"/>
  <c r="AC30" i="9"/>
  <c r="AD30" i="9"/>
  <c r="AE30" i="9"/>
  <c r="E31" i="9"/>
  <c r="J31" i="9"/>
  <c r="K31" i="9"/>
  <c r="L31" i="9"/>
  <c r="R31" i="9"/>
  <c r="X31" i="9"/>
  <c r="Y31" i="9"/>
  <c r="Z31" i="9"/>
  <c r="AC31" i="9"/>
  <c r="AD31" i="9"/>
  <c r="AE31" i="9"/>
  <c r="J32" i="9"/>
  <c r="K32" i="9"/>
  <c r="L32" i="9"/>
  <c r="O32" i="9"/>
  <c r="Q32" i="9"/>
  <c r="R32" i="9"/>
  <c r="X32" i="9"/>
  <c r="Y32" i="9"/>
  <c r="Z32" i="9"/>
  <c r="AC32" i="9"/>
  <c r="J33" i="9"/>
  <c r="K33" i="9"/>
  <c r="L33" i="9"/>
  <c r="R33" i="9"/>
  <c r="S33" i="9"/>
  <c r="T33" i="9"/>
  <c r="U33" i="9"/>
  <c r="X33" i="9"/>
  <c r="Y33" i="9"/>
  <c r="AC33" i="9"/>
  <c r="J34" i="9"/>
  <c r="K34" i="9"/>
  <c r="L34" i="9"/>
  <c r="O34" i="9"/>
  <c r="Q34" i="9"/>
  <c r="R34" i="9"/>
  <c r="S34" i="9"/>
  <c r="T34" i="9"/>
  <c r="U34" i="9"/>
  <c r="X34" i="9"/>
  <c r="Y34" i="9"/>
  <c r="Z34" i="9"/>
  <c r="AC34" i="9"/>
  <c r="AD34" i="9"/>
  <c r="AE34" i="9"/>
  <c r="J37" i="9"/>
  <c r="K37" i="9"/>
  <c r="L37" i="9"/>
  <c r="Q37" i="9"/>
  <c r="R37" i="9"/>
  <c r="S37" i="9"/>
  <c r="T37" i="9"/>
  <c r="U37" i="9"/>
  <c r="X37" i="9"/>
  <c r="AC37" i="9"/>
  <c r="AD37" i="9"/>
  <c r="AE37" i="9"/>
  <c r="J38" i="9"/>
  <c r="K38" i="9"/>
  <c r="L38" i="9"/>
  <c r="Q38" i="9"/>
  <c r="R38" i="9"/>
  <c r="S38" i="9"/>
  <c r="T38" i="9"/>
  <c r="U38" i="9"/>
  <c r="X38" i="9"/>
  <c r="AC38" i="9"/>
  <c r="AD38" i="9"/>
  <c r="AE38" i="9"/>
  <c r="J39" i="9"/>
  <c r="K39" i="9"/>
  <c r="L39" i="9"/>
  <c r="Q39" i="9"/>
  <c r="R39" i="9"/>
  <c r="S39" i="9"/>
  <c r="T39" i="9"/>
  <c r="U39" i="9"/>
  <c r="X39" i="9"/>
  <c r="AC39" i="9"/>
  <c r="AD39" i="9"/>
  <c r="AE39" i="9"/>
  <c r="J40" i="9"/>
  <c r="K40" i="9"/>
  <c r="L40" i="9"/>
  <c r="Q40" i="9"/>
  <c r="R40" i="9"/>
  <c r="S40" i="9"/>
  <c r="T40" i="9"/>
  <c r="U40" i="9"/>
  <c r="X40" i="9"/>
  <c r="J41" i="9"/>
  <c r="K41" i="9"/>
  <c r="L41" i="9"/>
  <c r="Q41" i="9"/>
  <c r="R41" i="9"/>
  <c r="S41" i="9"/>
  <c r="T41" i="9"/>
  <c r="U41" i="9"/>
  <c r="X41" i="9"/>
  <c r="Z41" i="9"/>
  <c r="J42" i="9"/>
  <c r="K42" i="9"/>
  <c r="L42" i="9"/>
  <c r="Q42" i="9"/>
  <c r="R42" i="9"/>
  <c r="S42" i="9"/>
  <c r="T42" i="9"/>
  <c r="U42" i="9"/>
  <c r="X42" i="9"/>
  <c r="Z42" i="9"/>
  <c r="AC42" i="9"/>
  <c r="AD42" i="9"/>
  <c r="AE42" i="9"/>
  <c r="J43" i="9"/>
  <c r="K43" i="9"/>
  <c r="L43" i="9"/>
  <c r="Q43" i="9"/>
  <c r="R43" i="9"/>
  <c r="S43" i="9"/>
  <c r="T43" i="9"/>
  <c r="U43" i="9"/>
  <c r="X43" i="9"/>
  <c r="AC43" i="9"/>
  <c r="AD43" i="9"/>
  <c r="AE43" i="9"/>
  <c r="J44" i="9"/>
  <c r="K44" i="9"/>
  <c r="L44" i="9"/>
  <c r="Q44" i="9"/>
  <c r="R44" i="9"/>
  <c r="S44" i="9"/>
  <c r="T44" i="9"/>
  <c r="U44" i="9"/>
  <c r="X44" i="9"/>
  <c r="Z44" i="9"/>
  <c r="AC44" i="9"/>
  <c r="AD44" i="9"/>
  <c r="AE44" i="9"/>
  <c r="X63" i="9"/>
  <c r="AC63" i="9"/>
  <c r="AD63" i="9"/>
  <c r="AE63" i="9"/>
  <c r="X64" i="9"/>
  <c r="AC64" i="9"/>
  <c r="AD64" i="9"/>
  <c r="AE64" i="9"/>
  <c r="X65" i="9"/>
  <c r="AC65" i="9"/>
  <c r="AD65" i="9"/>
  <c r="AE65" i="9"/>
  <c r="X66" i="9"/>
  <c r="AC66" i="9"/>
  <c r="X67" i="9"/>
  <c r="AC67" i="9"/>
  <c r="X68" i="9"/>
  <c r="AC68" i="9"/>
  <c r="AD68" i="9"/>
  <c r="AE68" i="9"/>
  <c r="X69" i="9"/>
  <c r="AC69" i="9"/>
  <c r="AD69" i="9"/>
  <c r="AE69" i="9"/>
  <c r="X70" i="9"/>
  <c r="AC70" i="9"/>
  <c r="AD70" i="9"/>
  <c r="AE70" i="9"/>
  <c r="M5" i="11"/>
  <c r="N5" i="11"/>
  <c r="O5" i="11"/>
  <c r="R5" i="11"/>
  <c r="S5" i="11"/>
  <c r="T5" i="11"/>
  <c r="U5" i="11"/>
  <c r="Y5" i="11"/>
  <c r="Z5" i="11"/>
  <c r="AA5" i="11"/>
  <c r="AB5" i="11"/>
  <c r="M6" i="11"/>
  <c r="N6" i="11"/>
  <c r="O6" i="11"/>
  <c r="R6" i="11"/>
  <c r="S6" i="11"/>
  <c r="T6" i="11"/>
  <c r="U6" i="11"/>
  <c r="Y6" i="11"/>
  <c r="Z6" i="11"/>
  <c r="AA6" i="11"/>
  <c r="AB6" i="11"/>
  <c r="M7" i="11"/>
  <c r="N7" i="11"/>
  <c r="O7" i="11"/>
  <c r="R7" i="11"/>
  <c r="S7" i="11"/>
  <c r="T7" i="11"/>
  <c r="U7" i="11"/>
  <c r="Y7" i="11"/>
  <c r="AA7" i="11"/>
  <c r="AB7" i="11"/>
  <c r="N8" i="11"/>
  <c r="R8" i="11"/>
  <c r="S8" i="11"/>
  <c r="Y8" i="11"/>
  <c r="Z8" i="11"/>
  <c r="AA8" i="11"/>
  <c r="AB8" i="11"/>
  <c r="N9" i="11"/>
  <c r="R9" i="11"/>
  <c r="S9" i="11"/>
  <c r="Y9" i="11"/>
  <c r="AA9" i="11"/>
  <c r="AB9" i="11"/>
  <c r="M10" i="11"/>
  <c r="N10" i="11"/>
  <c r="O10" i="11"/>
  <c r="R10" i="11"/>
  <c r="S10" i="11"/>
  <c r="T10" i="11"/>
  <c r="U10" i="11"/>
  <c r="V10" i="11"/>
  <c r="Y10" i="11"/>
  <c r="AA10" i="11"/>
  <c r="AB10" i="11"/>
  <c r="AC10" i="11"/>
  <c r="M11" i="11"/>
  <c r="N11" i="11"/>
  <c r="O11" i="11"/>
  <c r="R11" i="11"/>
  <c r="S11" i="11"/>
  <c r="T11" i="11"/>
  <c r="U11" i="11"/>
  <c r="Y11" i="11"/>
  <c r="Z11" i="11"/>
  <c r="AA11" i="11"/>
  <c r="AB11" i="11"/>
  <c r="M12" i="11"/>
  <c r="N12" i="11"/>
  <c r="O12" i="11"/>
  <c r="R12" i="11"/>
  <c r="S12" i="11"/>
  <c r="T12" i="11"/>
  <c r="U12" i="11"/>
  <c r="V12" i="11"/>
  <c r="Y12" i="11"/>
  <c r="Z12" i="11"/>
  <c r="AA12" i="11"/>
  <c r="AB12" i="11"/>
  <c r="AC12" i="11"/>
  <c r="H14" i="11"/>
  <c r="H15" i="11"/>
  <c r="I15" i="11"/>
  <c r="M15" i="11"/>
  <c r="N15" i="11"/>
  <c r="O15" i="11"/>
  <c r="R15" i="11"/>
  <c r="S15" i="11"/>
  <c r="T15" i="11"/>
  <c r="U15" i="11"/>
  <c r="V15" i="11"/>
  <c r="Y15" i="11"/>
  <c r="Z15" i="11"/>
  <c r="AA15" i="11"/>
  <c r="AB15" i="11"/>
  <c r="AC15" i="11"/>
  <c r="I16" i="11"/>
  <c r="M16" i="11"/>
  <c r="N16" i="11"/>
  <c r="O16" i="11"/>
  <c r="R16" i="11"/>
  <c r="S16" i="11"/>
  <c r="T16" i="11"/>
  <c r="U16" i="11"/>
  <c r="V16" i="11"/>
  <c r="Y16" i="11"/>
  <c r="Z16" i="11"/>
  <c r="AA16" i="11"/>
  <c r="AB16" i="11"/>
  <c r="AC16" i="11"/>
  <c r="H17" i="11"/>
  <c r="M17" i="11"/>
  <c r="N17" i="11"/>
  <c r="O17" i="11"/>
  <c r="R17" i="11"/>
  <c r="S17" i="11"/>
  <c r="T17" i="11"/>
  <c r="U17" i="11"/>
  <c r="V17" i="11"/>
  <c r="Y17" i="11"/>
  <c r="Z17" i="11"/>
  <c r="AA17" i="11"/>
  <c r="AB17" i="11"/>
  <c r="AC17" i="11"/>
  <c r="H18" i="11"/>
  <c r="M18" i="11"/>
  <c r="N18" i="11"/>
  <c r="O18" i="11"/>
  <c r="R18" i="11"/>
  <c r="S18" i="11"/>
  <c r="T18" i="11"/>
  <c r="U18" i="11"/>
  <c r="V18" i="11"/>
  <c r="Y18" i="11"/>
  <c r="Z18" i="11"/>
  <c r="AA18" i="11"/>
  <c r="AB18" i="11"/>
  <c r="AC18" i="11"/>
  <c r="H19" i="11"/>
  <c r="M19" i="11"/>
  <c r="N19" i="11"/>
  <c r="O19" i="11"/>
  <c r="R19" i="11"/>
  <c r="S19" i="11"/>
  <c r="T19" i="11"/>
  <c r="U19" i="11"/>
  <c r="V19" i="11"/>
  <c r="Y19" i="11"/>
  <c r="Z19" i="11"/>
  <c r="AA19" i="11"/>
  <c r="AB19" i="11"/>
  <c r="AC19" i="11"/>
  <c r="H20" i="11"/>
  <c r="M20" i="11"/>
  <c r="N20" i="11"/>
  <c r="O20" i="11"/>
  <c r="R20" i="11"/>
  <c r="S20" i="11"/>
  <c r="U20" i="11"/>
  <c r="V20" i="11"/>
  <c r="Y20" i="11"/>
  <c r="Z20" i="11"/>
  <c r="AA20" i="11"/>
  <c r="AC20" i="11"/>
  <c r="M21" i="11"/>
  <c r="N21" i="11"/>
  <c r="O21" i="11"/>
  <c r="R21" i="11"/>
  <c r="S21" i="11"/>
  <c r="T21" i="11"/>
  <c r="U21" i="11"/>
  <c r="V21" i="11"/>
  <c r="Y21" i="11"/>
  <c r="Z21" i="11"/>
  <c r="AA21" i="11"/>
  <c r="AB21" i="11"/>
  <c r="AC21" i="11"/>
  <c r="M22" i="11"/>
  <c r="N22" i="11"/>
  <c r="O22" i="11"/>
  <c r="R22" i="11"/>
  <c r="S22" i="11"/>
  <c r="T22" i="11"/>
  <c r="V22" i="11"/>
  <c r="Y22" i="11"/>
  <c r="Z22" i="11"/>
  <c r="AA22" i="11"/>
  <c r="AB22" i="11"/>
  <c r="AC22" i="11"/>
  <c r="E25" i="11"/>
  <c r="E27" i="11"/>
  <c r="J27" i="11"/>
  <c r="K27" i="11"/>
  <c r="L27" i="11"/>
  <c r="R27" i="11"/>
  <c r="S27" i="11"/>
  <c r="T27" i="11"/>
  <c r="U27" i="11"/>
  <c r="X27" i="11"/>
  <c r="Y27" i="11"/>
  <c r="AC27" i="11"/>
  <c r="J28" i="11"/>
  <c r="K28" i="11"/>
  <c r="L28" i="11"/>
  <c r="R28" i="11"/>
  <c r="S28" i="11"/>
  <c r="T28" i="11"/>
  <c r="U28" i="11"/>
  <c r="X28" i="11"/>
  <c r="Y28" i="11"/>
  <c r="AC28" i="11"/>
  <c r="E29" i="11"/>
  <c r="J29" i="11"/>
  <c r="K29" i="11"/>
  <c r="L29" i="11"/>
  <c r="R29" i="11"/>
  <c r="X29" i="11"/>
  <c r="Y29" i="11"/>
  <c r="AC29" i="11"/>
  <c r="J30" i="11"/>
  <c r="K30" i="11"/>
  <c r="L30" i="11"/>
  <c r="R30" i="11"/>
  <c r="T30" i="11"/>
  <c r="U30" i="11"/>
  <c r="X30" i="11"/>
  <c r="Y30" i="11"/>
  <c r="AC30" i="11"/>
  <c r="AD30" i="11"/>
  <c r="AE30" i="11"/>
  <c r="E31" i="11"/>
  <c r="J31" i="11"/>
  <c r="K31" i="11"/>
  <c r="L31" i="11"/>
  <c r="R31" i="11"/>
  <c r="X31" i="11"/>
  <c r="Y31" i="11"/>
  <c r="Z31" i="11"/>
  <c r="AC31" i="11"/>
  <c r="AD31" i="11"/>
  <c r="AE31" i="11"/>
  <c r="J32" i="11"/>
  <c r="K32" i="11"/>
  <c r="L32" i="11"/>
  <c r="O32" i="11"/>
  <c r="Q32" i="11"/>
  <c r="R32" i="11"/>
  <c r="X32" i="11"/>
  <c r="Y32" i="11"/>
  <c r="Z32" i="11"/>
  <c r="AC32" i="11"/>
  <c r="J33" i="11"/>
  <c r="K33" i="11"/>
  <c r="L33" i="11"/>
  <c r="R33" i="11"/>
  <c r="S33" i="11"/>
  <c r="T33" i="11"/>
  <c r="U33" i="11"/>
  <c r="X33" i="11"/>
  <c r="Y33" i="11"/>
  <c r="AC33" i="11"/>
  <c r="J34" i="11"/>
  <c r="K34" i="11"/>
  <c r="L34" i="11"/>
  <c r="O34" i="11"/>
  <c r="Q34" i="11"/>
  <c r="R34" i="11"/>
  <c r="S34" i="11"/>
  <c r="T34" i="11"/>
  <c r="U34" i="11"/>
  <c r="X34" i="11"/>
  <c r="Y34" i="11"/>
  <c r="Z34" i="11"/>
  <c r="AC34" i="11"/>
  <c r="AD34" i="11"/>
  <c r="AE34" i="11"/>
  <c r="J37" i="11"/>
  <c r="K37" i="11"/>
  <c r="L37" i="11"/>
  <c r="Q37" i="11"/>
  <c r="R37" i="11"/>
  <c r="S37" i="11"/>
  <c r="T37" i="11"/>
  <c r="U37" i="11"/>
  <c r="X37" i="11"/>
  <c r="AC37" i="11"/>
  <c r="AD37" i="11"/>
  <c r="AE37" i="11"/>
  <c r="J38" i="11"/>
  <c r="K38" i="11"/>
  <c r="L38" i="11"/>
  <c r="Q38" i="11"/>
  <c r="R38" i="11"/>
  <c r="S38" i="11"/>
  <c r="T38" i="11"/>
  <c r="U38" i="11"/>
  <c r="X38" i="11"/>
  <c r="AC38" i="11"/>
  <c r="AD38" i="11"/>
  <c r="AE38" i="11"/>
  <c r="J39" i="11"/>
  <c r="K39" i="11"/>
  <c r="L39" i="11"/>
  <c r="Q39" i="11"/>
  <c r="R39" i="11"/>
  <c r="S39" i="11"/>
  <c r="T39" i="11"/>
  <c r="U39" i="11"/>
  <c r="X39" i="11"/>
  <c r="AC39" i="11"/>
  <c r="AD39" i="11"/>
  <c r="AE39" i="11"/>
  <c r="J40" i="11"/>
  <c r="K40" i="11"/>
  <c r="L40" i="11"/>
  <c r="Q40" i="11"/>
  <c r="R40" i="11"/>
  <c r="S40" i="11"/>
  <c r="T40" i="11"/>
  <c r="U40" i="11"/>
  <c r="X40" i="11"/>
  <c r="J41" i="11"/>
  <c r="K41" i="11"/>
  <c r="L41" i="11"/>
  <c r="Q41" i="11"/>
  <c r="R41" i="11"/>
  <c r="S41" i="11"/>
  <c r="T41" i="11"/>
  <c r="U41" i="11"/>
  <c r="X41" i="11"/>
  <c r="Z41" i="11"/>
  <c r="J42" i="11"/>
  <c r="K42" i="11"/>
  <c r="L42" i="11"/>
  <c r="Q42" i="11"/>
  <c r="R42" i="11"/>
  <c r="S42" i="11"/>
  <c r="T42" i="11"/>
  <c r="U42" i="11"/>
  <c r="X42" i="11"/>
  <c r="Z42" i="11"/>
  <c r="AC42" i="11"/>
  <c r="AD42" i="11"/>
  <c r="AE42" i="11"/>
  <c r="J43" i="11"/>
  <c r="K43" i="11"/>
  <c r="L43" i="11"/>
  <c r="Q43" i="11"/>
  <c r="R43" i="11"/>
  <c r="S43" i="11"/>
  <c r="T43" i="11"/>
  <c r="U43" i="11"/>
  <c r="X43" i="11"/>
  <c r="AC43" i="11"/>
  <c r="AD43" i="11"/>
  <c r="AE43" i="11"/>
  <c r="J44" i="11"/>
  <c r="K44" i="11"/>
  <c r="L44" i="11"/>
  <c r="Q44" i="11"/>
  <c r="R44" i="11"/>
  <c r="S44" i="11"/>
  <c r="T44" i="11"/>
  <c r="U44" i="11"/>
  <c r="X44" i="11"/>
  <c r="Z44" i="11"/>
  <c r="AC44" i="11"/>
  <c r="AD44" i="11"/>
  <c r="AE44" i="11"/>
  <c r="X63" i="11"/>
  <c r="AC63" i="11"/>
  <c r="AD63" i="11"/>
  <c r="AE63" i="11"/>
  <c r="X64" i="11"/>
  <c r="AC64" i="11"/>
  <c r="AD64" i="11"/>
  <c r="AE64" i="11"/>
  <c r="X65" i="11"/>
  <c r="AC65" i="11"/>
  <c r="AD65" i="11"/>
  <c r="AE65" i="11"/>
  <c r="X66" i="11"/>
  <c r="AC66" i="11"/>
  <c r="X67" i="11"/>
  <c r="AC67" i="11"/>
  <c r="X68" i="11"/>
  <c r="AC68" i="11"/>
  <c r="AD68" i="11"/>
  <c r="AE68" i="11"/>
  <c r="X69" i="11"/>
  <c r="AC69" i="11"/>
  <c r="AD69" i="11"/>
  <c r="AE69" i="11"/>
  <c r="X70" i="11"/>
  <c r="AC70" i="11"/>
  <c r="AD70" i="11"/>
  <c r="AE7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tc={B8E3C1A3-BD88-4551-94CE-068FE01E6BC7}</author>
    <author>Luiz Dembicki</author>
    <author>tc={AB5D0910-3E59-4A01-A340-941F08B1F6C8}</author>
    <author>tc={DFE2C3C8-A633-4B70-9A94-712934122072}</author>
    <author>tc={9308B80F-8AB1-4A97-8FBC-F6A1AC4D4E75}</author>
  </authors>
  <commentList>
    <comment ref="N5" authorId="0" shapeId="0" xr:uid="{B8E3C1A3-BD88-4551-94CE-068FE01E6BC7}">
      <text>
        <t>[Threaded comment]
Your version of Excel allows you to read this threaded comment; however, any edits to it will get removed if the file is opened in a newer version of Excel. Learn more: https://go.microsoft.com/fwlink/?linkid=870924
Comment:
    n(N2, 4)=n(N2, 5)</t>
      </text>
    </comment>
    <comment ref="AB10" authorId="1" shapeId="0" xr:uid="{899EC103-D8DB-4F72-8661-83334DC3F4BD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Importante OBTER ESSE VALOR
Ptotal = 6 bar
1 Bar é H2O </t>
        </r>
      </text>
    </comment>
    <comment ref="M12" authorId="2" shapeId="0" xr:uid="{AB5D0910-3E59-4A01-A340-941F08B1F6C8}">
      <text>
        <t>[Threaded comment]
Your version of Excel allows you to read this threaded comment; however, any edits to it will get removed if the file is opened in a newer version of Excel. Learn more: https://go.microsoft.com/fwlink/?linkid=870924
Comment:
    menor valor possível, reciclo maior (menos desperdício)</t>
      </text>
    </comment>
    <comment ref="AB12" authorId="1" shapeId="0" xr:uid="{A97E34CE-29C4-4558-B655-37C3362D392D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NTotal = Ngases/(FraçãoGases)</t>
        </r>
      </text>
    </comment>
    <comment ref="AB20" authorId="1" shapeId="0" xr:uid="{E068A8D4-1D49-4FF6-8C0D-9247C1D29DA2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Ptotal = 6 bar
Ph2o = 1 bar(vapsat)
Ph2o/Ptot = Nh2o/Ntotal</t>
        </r>
      </text>
    </comment>
    <comment ref="O26" authorId="3" shapeId="0" xr:uid="{DFE2C3C8-A633-4B70-9A94-7129341220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 verdade ainda faltam os dados dessas correntes </t>
      </text>
    </comment>
    <comment ref="AD26" authorId="4" shapeId="0" xr:uid="{9308B80F-8AB1-4A97-8FBC-F6A1AC4D4E7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Valores a serem calculados ainda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tc={5B9D98FB-4969-481A-B4E5-0669F0CB5A69}</author>
    <author>Luiz Dembicki</author>
    <author>tc={8FA8CF65-3A44-4B9C-A85C-97BC42887528}</author>
    <author>tc={96EF1720-05C6-44DC-A0E0-D157C513F6EC}</author>
    <author>tc={A7E2D2E2-4945-4288-A700-0F9ED15421D5}</author>
  </authors>
  <commentList>
    <comment ref="N5" authorId="0" shapeId="0" xr:uid="{5B9D98FB-4969-481A-B4E5-0669F0CB5A69}">
      <text>
        <t>[Threaded comment]
Your version of Excel allows you to read this threaded comment; however, any edits to it will get removed if the file is opened in a newer version of Excel. Learn more: https://go.microsoft.com/fwlink/?linkid=870924
Comment:
    n(N2, 4)=n(N2, 5)</t>
      </text>
    </comment>
    <comment ref="AB10" authorId="1" shapeId="0" xr:uid="{A9F7B597-7F00-401B-B4A1-E9E7DA352739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Importante OBTER ESSE VALOR
Ptotal = 6 bar
1 Bar é H2O </t>
        </r>
      </text>
    </comment>
    <comment ref="M12" authorId="2" shapeId="0" xr:uid="{8FA8CF65-3A44-4B9C-A85C-97BC42887528}">
      <text>
        <t>[Threaded comment]
Your version of Excel allows you to read this threaded comment; however, any edits to it will get removed if the file is opened in a newer version of Excel. Learn more: https://go.microsoft.com/fwlink/?linkid=870924
Comment:
    menor valor possível, reciclo maior (menos desperdício)</t>
      </text>
    </comment>
    <comment ref="AB12" authorId="1" shapeId="0" xr:uid="{74922972-EF44-45CA-A6D0-0B52453E0B3E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NTotal = Ngases/(FraçãoGases)</t>
        </r>
      </text>
    </comment>
    <comment ref="AB20" authorId="1" shapeId="0" xr:uid="{A7C84459-6A2C-4381-ACAE-D68781776D82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Ptotal = 6 bar
Ph2o = 1 bar(vapsat)
Ph2o/Ptot = Nh2o/Ntotal</t>
        </r>
      </text>
    </comment>
    <comment ref="O26" authorId="3" shapeId="0" xr:uid="{96EF1720-05C6-44DC-A0E0-D157C513F6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 verdade ainda faltam os dados dessas correntes </t>
      </text>
    </comment>
    <comment ref="AD26" authorId="4" shapeId="0" xr:uid="{A7E2D2E2-4945-4288-A700-0F9ED15421D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Valores a serem calculados ainda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tc={87593091-CB12-44C9-96AB-B02A0D734445}</author>
    <author>Luiz Dembicki</author>
    <author>tc={76D991C9-6DCB-44EA-9210-F1D40B1087D2}</author>
    <author>tc={4C39B27F-16B8-4203-8BB0-E48F94D4BD75}</author>
    <author>tc={39D8819B-62C1-4461-AE60-494D81C198C6}</author>
  </authors>
  <commentList>
    <comment ref="N5" authorId="0" shapeId="0" xr:uid="{87593091-CB12-44C9-96AB-B02A0D734445}">
      <text>
        <t>[Threaded comment]
Your version of Excel allows you to read this threaded comment; however, any edits to it will get removed if the file is opened in a newer version of Excel. Learn more: https://go.microsoft.com/fwlink/?linkid=870924
Comment:
    n(N2, 4)=n(N2, 5)</t>
      </text>
    </comment>
    <comment ref="AB10" authorId="1" shapeId="0" xr:uid="{126FCE3E-732A-42C1-AE0E-54EA16B23264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Importante OBTER ESSE VALOR
Ptotal = 6 bar
1 Bar é H2O </t>
        </r>
      </text>
    </comment>
    <comment ref="M12" authorId="2" shapeId="0" xr:uid="{76D991C9-6DCB-44EA-9210-F1D40B108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menor valor possível, reciclo maior (menos desperdício)</t>
      </text>
    </comment>
    <comment ref="AB12" authorId="1" shapeId="0" xr:uid="{C55BAEAE-2D9E-463C-9751-1549DCE09B0C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NTotal = Ngases/(FraçãoGases)</t>
        </r>
      </text>
    </comment>
    <comment ref="AB20" authorId="1" shapeId="0" xr:uid="{56A9EBD4-4DBC-4876-88E2-AFBA82077C49}">
      <text>
        <r>
          <rPr>
            <b/>
            <sz val="9"/>
            <color indexed="81"/>
            <rFont val="Tahoma"/>
            <family val="2"/>
          </rPr>
          <t>Luiz Dembicki:</t>
        </r>
        <r>
          <rPr>
            <sz val="9"/>
            <color indexed="81"/>
            <rFont val="Tahoma"/>
            <family val="2"/>
          </rPr>
          <t xml:space="preserve">
Ptotal = 6 bar
Ph2o = 1 bar(vapsat)
Ph2o/Ptot = Nh2o/Ntotal</t>
        </r>
      </text>
    </comment>
    <comment ref="O26" authorId="3" shapeId="0" xr:uid="{4C39B27F-16B8-4203-8BB0-E48F94D4BD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 verdade ainda faltam os dados dessas correntes </t>
      </text>
    </comment>
    <comment ref="AD26" authorId="4" shapeId="0" xr:uid="{39D8819B-62C1-4461-AE60-494D81C198C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Valores a serem calculados ainda</t>
      </text>
    </comment>
  </commentList>
</comments>
</file>

<file path=xl/sharedStrings.xml><?xml version="1.0" encoding="utf-8"?>
<sst xmlns="http://schemas.openxmlformats.org/spreadsheetml/2006/main" count="880" uniqueCount="98">
  <si>
    <t>Dados</t>
  </si>
  <si>
    <t>DADOS PARA ITERAÇÃO</t>
  </si>
  <si>
    <t>Produção de óxido de etileno  + impureza</t>
  </si>
  <si>
    <t>REATOR - RE01</t>
  </si>
  <si>
    <t>LAVADORA - LAV01 - Ju</t>
  </si>
  <si>
    <t>COLUNA STRIPING - STRIP01 - Luiz</t>
  </si>
  <si>
    <t>kg/h</t>
  </si>
  <si>
    <t>kmol/h</t>
  </si>
  <si>
    <t>Entrada de etileno</t>
  </si>
  <si>
    <t>3 e 4</t>
  </si>
  <si>
    <t>7c</t>
  </si>
  <si>
    <t>7a</t>
  </si>
  <si>
    <t>7b</t>
  </si>
  <si>
    <t>8c</t>
  </si>
  <si>
    <t>14c</t>
  </si>
  <si>
    <t>6b</t>
  </si>
  <si>
    <t>Quantidade dos componentes</t>
  </si>
  <si>
    <t>Entrada de ar</t>
  </si>
  <si>
    <t>N2</t>
  </si>
  <si>
    <t>OE</t>
  </si>
  <si>
    <t>CH3CHO</t>
  </si>
  <si>
    <t>Razão H2O/OE</t>
  </si>
  <si>
    <t>O2</t>
  </si>
  <si>
    <t>Fração CH3CHO</t>
  </si>
  <si>
    <t>Fração CH3CHO saída</t>
  </si>
  <si>
    <t>C2H4</t>
  </si>
  <si>
    <t>Massas molares (kg/kmol)</t>
  </si>
  <si>
    <t>C2H4O</t>
  </si>
  <si>
    <t>Entrada O2 reator</t>
  </si>
  <si>
    <t>Purga 1 %(7b)</t>
  </si>
  <si>
    <t>H2O</t>
  </si>
  <si>
    <t>Purga 2 %(14b)</t>
  </si>
  <si>
    <t>CO2</t>
  </si>
  <si>
    <t>Razão reciclo</t>
  </si>
  <si>
    <t>TOTAL</t>
  </si>
  <si>
    <t>Frações molares</t>
  </si>
  <si>
    <t>Ar sintético</t>
  </si>
  <si>
    <t>Alimentação</t>
  </si>
  <si>
    <t>Conversão de etileno</t>
  </si>
  <si>
    <t>Etileno reação 2</t>
  </si>
  <si>
    <t>CONDENSADOR - COND01 - Victor</t>
  </si>
  <si>
    <t>LAVADORA - LAV02 - Ana</t>
  </si>
  <si>
    <t>COLUNA DE DESTILAÇÃO - DEST01</t>
  </si>
  <si>
    <t>VASO DE SEPARAÇÃO - V02 (?)</t>
  </si>
  <si>
    <t>Produção de acetaldeído do OE</t>
  </si>
  <si>
    <t>Produção OE</t>
  </si>
  <si>
    <t>8d</t>
  </si>
  <si>
    <t>9 MKUP</t>
  </si>
  <si>
    <t>9a</t>
  </si>
  <si>
    <t>14b PURGA</t>
  </si>
  <si>
    <t>15e</t>
  </si>
  <si>
    <t>15d</t>
  </si>
  <si>
    <t>Rendimento</t>
  </si>
  <si>
    <t>graus de avanço 1</t>
  </si>
  <si>
    <t>LAVADORA - LAV01</t>
  </si>
  <si>
    <t>graus de avanço 2</t>
  </si>
  <si>
    <t>Solvente</t>
  </si>
  <si>
    <t>Recuperação de acetaldeído</t>
  </si>
  <si>
    <t>Absorção de N2</t>
  </si>
  <si>
    <t>14b</t>
  </si>
  <si>
    <t>Recuperação de OE</t>
  </si>
  <si>
    <t>Absorção de O2</t>
  </si>
  <si>
    <t>Absorção de CO2</t>
  </si>
  <si>
    <t>Fração molar de H2O no topo</t>
  </si>
  <si>
    <t>Absorção de etileno</t>
  </si>
  <si>
    <t>11 (topo)</t>
  </si>
  <si>
    <t>12 (fundo)</t>
  </si>
  <si>
    <t>Razão H2O/OE (alimentações)</t>
  </si>
  <si>
    <t>NO MUNDO IDEAL, OS ULTIMOS DOIS EQUIPAMENTOS FECHARIAM ASSIM</t>
  </si>
  <si>
    <t>COLUNA STRIPING - STRIP01</t>
  </si>
  <si>
    <t>Gases</t>
  </si>
  <si>
    <t>todos se esgotam inclusive OE e CH3CHO</t>
  </si>
  <si>
    <t>CONDENSADOR - COND01</t>
  </si>
  <si>
    <t>Topo</t>
  </si>
  <si>
    <t>saem todos os incondensáveis</t>
  </si>
  <si>
    <t>H2O e acetaldeído</t>
  </si>
  <si>
    <t>condensados</t>
  </si>
  <si>
    <t>Recuperação do OE condensado</t>
  </si>
  <si>
    <t>LAVADORA - LAV02</t>
  </si>
  <si>
    <t>Fundo</t>
  </si>
  <si>
    <t>da alimentação</t>
  </si>
  <si>
    <t>CO2, N2 e O2</t>
  </si>
  <si>
    <t>Razão molar H2O/gases (alimentações)</t>
  </si>
  <si>
    <t>COLUNA DE DESTILAÇÃO</t>
  </si>
  <si>
    <t>água</t>
  </si>
  <si>
    <t>Fração de acetaldeído (topo)</t>
  </si>
  <si>
    <t>Razão de refluxo</t>
  </si>
  <si>
    <t>Pressão da água saturada a 100 C (Bar)</t>
  </si>
  <si>
    <t>VARIÁVEIS</t>
  </si>
  <si>
    <t>BM N2</t>
  </si>
  <si>
    <t>RESTRIÇÃO</t>
  </si>
  <si>
    <t>Valor O2</t>
  </si>
  <si>
    <t>&gt;0</t>
  </si>
  <si>
    <t>Produção</t>
  </si>
  <si>
    <t>Make-up</t>
  </si>
  <si>
    <t>Corrente 8d</t>
  </si>
  <si>
    <t>Razão H2O/OE 1</t>
  </si>
  <si>
    <t>Razão H2O/OE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</si>
</sst>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B2E7"/>
        <bgColor indexed="64"/>
      </patternFill>
    </fill>
    <fill>
      <patternFill patternType="solid">
        <fgColor rgb="FFFF8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6" borderId="6" xfId="0" applyFill="1" applyBorder="1"/>
    <xf numFmtId="0" fontId="0" fillId="3" borderId="12" xfId="0" applyFill="1" applyBorder="1"/>
    <xf numFmtId="0" fontId="0" fillId="3" borderId="13" xfId="0" applyFill="1" applyBorder="1"/>
    <xf numFmtId="2" fontId="0" fillId="3" borderId="1" xfId="0" applyNumberFormat="1" applyFill="1" applyBorder="1"/>
    <xf numFmtId="164" fontId="0" fillId="0" borderId="0" xfId="0" applyNumberFormat="1"/>
    <xf numFmtId="165" fontId="0" fillId="0" borderId="0" xfId="0" applyNumberFormat="1"/>
    <xf numFmtId="165" fontId="0" fillId="3" borderId="1" xfId="0" applyNumberFormat="1" applyFill="1" applyBorder="1"/>
    <xf numFmtId="165" fontId="0" fillId="2" borderId="1" xfId="0" applyNumberFormat="1" applyFill="1" applyBorder="1"/>
    <xf numFmtId="0" fontId="0" fillId="2" borderId="22" xfId="0" applyFill="1" applyBorder="1"/>
    <xf numFmtId="0" fontId="0" fillId="2" borderId="23" xfId="0" applyFill="1" applyBorder="1" applyAlignment="1">
      <alignment horizontal="center"/>
    </xf>
    <xf numFmtId="0" fontId="0" fillId="3" borderId="23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0" borderId="26" xfId="0" applyBorder="1"/>
    <xf numFmtId="0" fontId="0" fillId="2" borderId="27" xfId="0" applyFill="1" applyBorder="1"/>
    <xf numFmtId="0" fontId="0" fillId="2" borderId="3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" fontId="0" fillId="3" borderId="1" xfId="0" applyNumberFormat="1" applyFill="1" applyBorder="1"/>
    <xf numFmtId="0" fontId="0" fillId="3" borderId="33" xfId="0" applyFill="1" applyBorder="1"/>
    <xf numFmtId="0" fontId="0" fillId="2" borderId="1" xfId="0" applyFill="1" applyBorder="1" applyAlignment="1">
      <alignment horizontal="center"/>
    </xf>
    <xf numFmtId="0" fontId="0" fillId="12" borderId="6" xfId="0" applyFill="1" applyBorder="1"/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13"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99FF"/>
      <color rgb="FFCC66FF"/>
      <color rgb="FFFFCCFF"/>
      <color rgb="FFFF00FF"/>
      <color rgb="FFFF66FF"/>
      <color rgb="FFEE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94512</xdr:colOff>
      <xdr:row>31</xdr:row>
      <xdr:rowOff>178403</xdr:rowOff>
    </xdr:from>
    <xdr:ext cx="1482009" cy="219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E6EC308-F19B-4B86-897F-E8E832701531}"/>
                </a:ext>
              </a:extLst>
            </xdr:cNvPr>
            <xdr:cNvSpPr txBox="1"/>
          </xdr:nvSpPr>
          <xdr:spPr>
            <a:xfrm>
              <a:off x="2685312" y="6179153"/>
              <a:ext cx="1482009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type m:val="skw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E6EC308-F19B-4B86-897F-E8E832701531}"/>
                </a:ext>
              </a:extLst>
            </xdr:cNvPr>
            <xdr:cNvSpPr txBox="1"/>
          </xdr:nvSpPr>
          <xdr:spPr>
            <a:xfrm>
              <a:off x="2685312" y="6179153"/>
              <a:ext cx="1482009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𝐻_4+1⁄2 𝑂_2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𝐶_2 𝐻_4 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80225</xdr:colOff>
      <xdr:row>35</xdr:row>
      <xdr:rowOff>7242</xdr:rowOff>
    </xdr:from>
    <xdr:ext cx="1164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2586120-71D2-4ACE-9BD8-F005DFEBC6CB}"/>
                </a:ext>
                <a:ext uri="{147F2762-F138-4A5C-976F-8EAC2B608ADB}">
                  <a16:predDERef xmlns:a16="http://schemas.microsoft.com/office/drawing/2014/main" pred="{61525957-5C0D-534B-5129-5C35A44AA4FA}"/>
                </a:ext>
              </a:extLst>
            </xdr:cNvPr>
            <xdr:cNvSpPr txBox="1"/>
          </xdr:nvSpPr>
          <xdr:spPr>
            <a:xfrm>
              <a:off x="2671025" y="6769992"/>
              <a:ext cx="11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𝐶𝐻𝑂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2586120-71D2-4ACE-9BD8-F005DFEBC6CB}"/>
                </a:ext>
                <a:ext uri="{147F2762-F138-4A5C-976F-8EAC2B608ADB}">
                  <a16:predDERef xmlns:a16="http://schemas.microsoft.com/office/drawing/2014/main" pred="{61525957-5C0D-534B-5129-5C35A44AA4FA}"/>
                </a:ext>
              </a:extLst>
            </xdr:cNvPr>
            <xdr:cNvSpPr txBox="1"/>
          </xdr:nvSpPr>
          <xdr:spPr>
            <a:xfrm>
              <a:off x="2671025" y="6769992"/>
              <a:ext cx="11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 𝑂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→𝐶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𝐻_3 𝐶𝐻𝑂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80225</xdr:colOff>
      <xdr:row>33</xdr:row>
      <xdr:rowOff>105357</xdr:rowOff>
    </xdr:from>
    <xdr:ext cx="17584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BEF1E14-5898-46FC-9B34-9B6DF9166CFE}"/>
                </a:ext>
                <a:ext uri="{147F2762-F138-4A5C-976F-8EAC2B608ADB}">
                  <a16:predDERef xmlns:a16="http://schemas.microsoft.com/office/drawing/2014/main" pred="{386290A0-75CC-4C24-9B83-FD1D7B4C0D00}"/>
                </a:ext>
              </a:extLst>
            </xdr:cNvPr>
            <xdr:cNvSpPr txBox="1"/>
          </xdr:nvSpPr>
          <xdr:spPr>
            <a:xfrm>
              <a:off x="2671025" y="6487107"/>
              <a:ext cx="1758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→2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BEF1E14-5898-46FC-9B34-9B6DF9166CFE}"/>
                </a:ext>
                <a:ext uri="{147F2762-F138-4A5C-976F-8EAC2B608ADB}">
                  <a16:predDERef xmlns:a16="http://schemas.microsoft.com/office/drawing/2014/main" pred="{386290A0-75CC-4C24-9B83-FD1D7B4C0D00}"/>
                </a:ext>
              </a:extLst>
            </xdr:cNvPr>
            <xdr:cNvSpPr txBox="1"/>
          </xdr:nvSpPr>
          <xdr:spPr>
            <a:xfrm>
              <a:off x="2671025" y="6487107"/>
              <a:ext cx="1758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𝐻_4+3𝑂_2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→2𝐶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𝑂_2+2𝐻_2 𝑂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94512</xdr:colOff>
      <xdr:row>31</xdr:row>
      <xdr:rowOff>178403</xdr:rowOff>
    </xdr:from>
    <xdr:ext cx="1482009" cy="219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CA08E95-3B0C-4DB7-B8C4-5DA7EADB836F}"/>
                </a:ext>
              </a:extLst>
            </xdr:cNvPr>
            <xdr:cNvSpPr txBox="1"/>
          </xdr:nvSpPr>
          <xdr:spPr>
            <a:xfrm>
              <a:off x="2685312" y="6169628"/>
              <a:ext cx="1482009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type m:val="skw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CA08E95-3B0C-4DB7-B8C4-5DA7EADB836F}"/>
                </a:ext>
              </a:extLst>
            </xdr:cNvPr>
            <xdr:cNvSpPr txBox="1"/>
          </xdr:nvSpPr>
          <xdr:spPr>
            <a:xfrm>
              <a:off x="2685312" y="6169628"/>
              <a:ext cx="1482009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𝐻_4+1⁄2 𝑂_2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𝐶_2 𝐻_4 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80225</xdr:colOff>
      <xdr:row>35</xdr:row>
      <xdr:rowOff>7242</xdr:rowOff>
    </xdr:from>
    <xdr:ext cx="1164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1B676154-280F-4812-8D63-0748F3EFE7F1}"/>
                </a:ext>
                <a:ext uri="{147F2762-F138-4A5C-976F-8EAC2B608ADB}">
                  <a16:predDERef xmlns:a16="http://schemas.microsoft.com/office/drawing/2014/main" pred="{61525957-5C0D-534B-5129-5C35A44AA4FA}"/>
                </a:ext>
              </a:extLst>
            </xdr:cNvPr>
            <xdr:cNvSpPr txBox="1"/>
          </xdr:nvSpPr>
          <xdr:spPr>
            <a:xfrm>
              <a:off x="2671025" y="6760467"/>
              <a:ext cx="11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𝐶𝐻𝑂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1B676154-280F-4812-8D63-0748F3EFE7F1}"/>
                </a:ext>
                <a:ext uri="{147F2762-F138-4A5C-976F-8EAC2B608ADB}">
                  <a16:predDERef xmlns:a16="http://schemas.microsoft.com/office/drawing/2014/main" pred="{61525957-5C0D-534B-5129-5C35A44AA4FA}"/>
                </a:ext>
              </a:extLst>
            </xdr:cNvPr>
            <xdr:cNvSpPr txBox="1"/>
          </xdr:nvSpPr>
          <xdr:spPr>
            <a:xfrm>
              <a:off x="2671025" y="6760467"/>
              <a:ext cx="11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 𝑂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→𝐶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𝐻_3 𝐶𝐻𝑂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80225</xdr:colOff>
      <xdr:row>33</xdr:row>
      <xdr:rowOff>105357</xdr:rowOff>
    </xdr:from>
    <xdr:ext cx="17584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95B4310-BDA9-4925-B842-D14ECB787411}"/>
                </a:ext>
                <a:ext uri="{147F2762-F138-4A5C-976F-8EAC2B608ADB}">
                  <a16:predDERef xmlns:a16="http://schemas.microsoft.com/office/drawing/2014/main" pred="{386290A0-75CC-4C24-9B83-FD1D7B4C0D00}"/>
                </a:ext>
              </a:extLst>
            </xdr:cNvPr>
            <xdr:cNvSpPr txBox="1"/>
          </xdr:nvSpPr>
          <xdr:spPr>
            <a:xfrm>
              <a:off x="2671025" y="6477582"/>
              <a:ext cx="1758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→2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95B4310-BDA9-4925-B842-D14ECB787411}"/>
                </a:ext>
                <a:ext uri="{147F2762-F138-4A5C-976F-8EAC2B608ADB}">
                  <a16:predDERef xmlns:a16="http://schemas.microsoft.com/office/drawing/2014/main" pred="{386290A0-75CC-4C24-9B83-FD1D7B4C0D00}"/>
                </a:ext>
              </a:extLst>
            </xdr:cNvPr>
            <xdr:cNvSpPr txBox="1"/>
          </xdr:nvSpPr>
          <xdr:spPr>
            <a:xfrm>
              <a:off x="2671025" y="6477582"/>
              <a:ext cx="1758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𝐻_4+3𝑂_2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→2𝐶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𝑂_2+2𝐻_2 𝑂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94512</xdr:colOff>
      <xdr:row>31</xdr:row>
      <xdr:rowOff>178403</xdr:rowOff>
    </xdr:from>
    <xdr:ext cx="1482009" cy="219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44E794A-CD45-4723-A73B-BBDBF4235423}"/>
                </a:ext>
              </a:extLst>
            </xdr:cNvPr>
            <xdr:cNvSpPr txBox="1"/>
          </xdr:nvSpPr>
          <xdr:spPr>
            <a:xfrm>
              <a:off x="2685312" y="6169628"/>
              <a:ext cx="1482009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type m:val="skw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F44E794A-CD45-4723-A73B-BBDBF4235423}"/>
                </a:ext>
              </a:extLst>
            </xdr:cNvPr>
            <xdr:cNvSpPr txBox="1"/>
          </xdr:nvSpPr>
          <xdr:spPr>
            <a:xfrm>
              <a:off x="2685312" y="6169628"/>
              <a:ext cx="1482009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𝐻_4+1⁄2 𝑂_2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𝐶_2 𝐻_4 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80225</xdr:colOff>
      <xdr:row>35</xdr:row>
      <xdr:rowOff>7242</xdr:rowOff>
    </xdr:from>
    <xdr:ext cx="1164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4BEAED5-571D-419F-9F99-05782A95D9B8}"/>
                </a:ext>
                <a:ext uri="{147F2762-F138-4A5C-976F-8EAC2B608ADB}">
                  <a16:predDERef xmlns:a16="http://schemas.microsoft.com/office/drawing/2014/main" pred="{61525957-5C0D-534B-5129-5C35A44AA4FA}"/>
                </a:ext>
              </a:extLst>
            </xdr:cNvPr>
            <xdr:cNvSpPr txBox="1"/>
          </xdr:nvSpPr>
          <xdr:spPr>
            <a:xfrm>
              <a:off x="2671025" y="6760467"/>
              <a:ext cx="11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𝐶𝐻𝑂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4BEAED5-571D-419F-9F99-05782A95D9B8}"/>
                </a:ext>
                <a:ext uri="{147F2762-F138-4A5C-976F-8EAC2B608ADB}">
                  <a16:predDERef xmlns:a16="http://schemas.microsoft.com/office/drawing/2014/main" pred="{61525957-5C0D-534B-5129-5C35A44AA4FA}"/>
                </a:ext>
              </a:extLst>
            </xdr:cNvPr>
            <xdr:cNvSpPr txBox="1"/>
          </xdr:nvSpPr>
          <xdr:spPr>
            <a:xfrm>
              <a:off x="2671025" y="6760467"/>
              <a:ext cx="11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 𝑂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→𝐶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𝐻_3 𝐶𝐻𝑂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80225</xdr:colOff>
      <xdr:row>33</xdr:row>
      <xdr:rowOff>105357</xdr:rowOff>
    </xdr:from>
    <xdr:ext cx="17584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45F9F69-2A70-457B-88DB-F46C16905EC6}"/>
                </a:ext>
                <a:ext uri="{147F2762-F138-4A5C-976F-8EAC2B608ADB}">
                  <a16:predDERef xmlns:a16="http://schemas.microsoft.com/office/drawing/2014/main" pred="{386290A0-75CC-4C24-9B83-FD1D7B4C0D00}"/>
                </a:ext>
              </a:extLst>
            </xdr:cNvPr>
            <xdr:cNvSpPr txBox="1"/>
          </xdr:nvSpPr>
          <xdr:spPr>
            <a:xfrm>
              <a:off x="2671025" y="6477582"/>
              <a:ext cx="1758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→2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45F9F69-2A70-457B-88DB-F46C16905EC6}"/>
                </a:ext>
                <a:ext uri="{147F2762-F138-4A5C-976F-8EAC2B608ADB}">
                  <a16:predDERef xmlns:a16="http://schemas.microsoft.com/office/drawing/2014/main" pred="{386290A0-75CC-4C24-9B83-FD1D7B4C0D00}"/>
                </a:ext>
              </a:extLst>
            </xdr:cNvPr>
            <xdr:cNvSpPr txBox="1"/>
          </xdr:nvSpPr>
          <xdr:spPr>
            <a:xfrm>
              <a:off x="2671025" y="6477582"/>
              <a:ext cx="1758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𝐶_2 𝐻_4+3𝑂_2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→2𝐶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𝑂_2+2𝐻_2 𝑂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353478</xdr:colOff>
      <xdr:row>53</xdr:row>
      <xdr:rowOff>66674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A1AFF-6AA9-B7A5-C6EB-0C8F98C64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74278" cy="101631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abelli Krul Vieira" id="{3B8D220C-1C16-41CC-9A57-DDACD87A05EC}" userId="Isabelli Krul Vieira" providerId="None"/>
  <person displayName="Ana Leticia Waszak da Silva" id="{BEAA5DF1-E459-48A1-B012-1E713C3E9D6D}" userId="S::ana.waszak@ufpr.br::9410cb81-7149-4059-81e2-278ade3cf53a" providerId="AD"/>
</personList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3-04-15T22:51:08.48" personId="{3B8D220C-1C16-41CC-9A57-DDACD87A05EC}" id="{B8E3C1A3-BD88-4551-94CE-068FE01E6BC7}">
    <text>n(N2, 4)=n(N2, 5)</text>
  </threadedComment>
  <threadedComment ref="M12" dT="2023-04-11T00:23:26.73" personId="{BEAA5DF1-E459-48A1-B012-1E713C3E9D6D}" id="{AB5D0910-3E59-4A01-A340-941F08B1F6C8}">
    <text>menor valor possível, reciclo maior (menos desperdício)</text>
  </threadedComment>
  <threadedComment ref="O26" dT="2023-04-26T12:00:24.65" personId="{BEAA5DF1-E459-48A1-B012-1E713C3E9D6D}" id="{DFE2C3C8-A633-4B70-9A94-712934122072}">
    <text xml:space="preserve">Na verdade ainda faltam os dados dessas correntes </text>
  </threadedComment>
  <threadedComment ref="AD26" dT="2023-04-25T21:53:27.48" personId="{BEAA5DF1-E459-48A1-B012-1E713C3E9D6D}" id="{9308B80F-8AB1-4A97-8FBC-F6A1AC4D4E75}">
    <text>Valores a serem calculados ainda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5" dT="2023-04-15T22:51:08.48" personId="{3B8D220C-1C16-41CC-9A57-DDACD87A05EC}" id="{5B9D98FB-4969-481A-B4E5-0669F0CB5A69}">
    <text>n(N2, 4)=n(N2, 5)</text>
  </threadedComment>
  <threadedComment ref="M12" dT="2023-04-11T00:23:26.73" personId="{BEAA5DF1-E459-48A1-B012-1E713C3E9D6D}" id="{8FA8CF65-3A44-4B9C-A85C-97BC42887528}">
    <text>menor valor possível, reciclo maior (menos desperdício)</text>
  </threadedComment>
  <threadedComment ref="O26" dT="2023-04-26T12:00:24.65" personId="{BEAA5DF1-E459-48A1-B012-1E713C3E9D6D}" id="{96EF1720-05C6-44DC-A0E0-D157C513F6EC}">
    <text xml:space="preserve">Na verdade ainda faltam os dados dessas correntes </text>
  </threadedComment>
  <threadedComment ref="AD26" dT="2023-04-25T21:53:27.48" personId="{BEAA5DF1-E459-48A1-B012-1E713C3E9D6D}" id="{A7E2D2E2-4945-4288-A700-0F9ED15421D5}">
    <text>Valores a serem calculados ainda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N5" dT="2023-04-15T22:51:08.48" personId="{3B8D220C-1C16-41CC-9A57-DDACD87A05EC}" id="{87593091-CB12-44C9-96AB-B02A0D734445}">
    <text>n(N2, 4)=n(N2, 5)</text>
  </threadedComment>
  <threadedComment ref="M12" dT="2023-04-11T00:23:26.73" personId="{BEAA5DF1-E459-48A1-B012-1E713C3E9D6D}" id="{76D991C9-6DCB-44EA-9210-F1D40B1087D2}">
    <text>menor valor possível, reciclo maior (menos desperdício)</text>
  </threadedComment>
  <threadedComment ref="O26" dT="2023-04-26T12:00:24.65" personId="{BEAA5DF1-E459-48A1-B012-1E713C3E9D6D}" id="{4C39B27F-16B8-4203-8BB0-E48F94D4BD75}">
    <text xml:space="preserve">Na verdade ainda faltam os dados dessas correntes </text>
  </threadedComment>
  <threadedComment ref="AD26" dT="2023-04-25T21:53:27.48" personId="{BEAA5DF1-E459-48A1-B012-1E713C3E9D6D}" id="{39D8819B-62C1-4461-AE60-494D81C198C6}">
    <text>Valores a serem calculados ainda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4F3A-35D8-4A0F-8182-BC70C8D15338}">
  <dimension ref="A1:AE76"/>
  <sheetViews>
    <sheetView tabSelected="1" zoomScaleNormal="100" workbookViewId="0">
      <selection activeCell="K66" sqref="K66"/>
    </sheetView>
  </sheetViews>
  <sheetFormatPr defaultRowHeight="15" x14ac:dyDescent="0.25"/>
  <cols>
    <col min="2" max="2" width="10.28515625" bestFit="1" customWidth="1"/>
    <col min="4" max="4" width="10.28515625" bestFit="1" customWidth="1"/>
    <col min="8" max="8" width="12.5703125" bestFit="1" customWidth="1"/>
    <col min="11" max="11" width="14.28515625" customWidth="1"/>
    <col min="13" max="13" width="13.28515625" bestFit="1" customWidth="1"/>
    <col min="14" max="14" width="12.42578125" bestFit="1" customWidth="1"/>
    <col min="18" max="18" width="14.5703125" customWidth="1"/>
    <col min="19" max="19" width="9.5703125" customWidth="1"/>
    <col min="20" max="20" width="10.140625" customWidth="1"/>
    <col min="21" max="21" width="10.85546875" customWidth="1"/>
    <col min="26" max="26" width="9.5703125" customWidth="1"/>
  </cols>
  <sheetData>
    <row r="1" spans="1:29" x14ac:dyDescent="0.25">
      <c r="A1" s="32" t="s">
        <v>0</v>
      </c>
      <c r="B1" s="32"/>
      <c r="C1" s="32"/>
      <c r="D1" s="32"/>
      <c r="F1" s="26" t="s">
        <v>1</v>
      </c>
      <c r="G1" s="27"/>
      <c r="H1" s="27"/>
    </row>
    <row r="2" spans="1:29" x14ac:dyDescent="0.25">
      <c r="A2" s="32" t="s">
        <v>2</v>
      </c>
      <c r="B2" s="32"/>
      <c r="C2" s="32"/>
      <c r="D2" s="33"/>
      <c r="F2" s="34" t="s">
        <v>88</v>
      </c>
      <c r="G2" s="34"/>
      <c r="H2" s="35"/>
      <c r="J2" s="36" t="s">
        <v>3</v>
      </c>
      <c r="K2" s="36"/>
      <c r="L2" s="36"/>
      <c r="M2" s="36"/>
      <c r="N2" s="36"/>
      <c r="O2" s="36"/>
      <c r="Q2" s="26" t="s">
        <v>4</v>
      </c>
      <c r="R2" s="27"/>
      <c r="S2" s="27"/>
      <c r="T2" s="27"/>
      <c r="U2" s="27"/>
      <c r="V2" s="28"/>
      <c r="X2" s="26" t="s">
        <v>5</v>
      </c>
      <c r="Y2" s="27"/>
      <c r="Z2" s="27"/>
      <c r="AA2" s="27"/>
      <c r="AB2" s="27"/>
      <c r="AC2" s="28"/>
    </row>
    <row r="3" spans="1:29" x14ac:dyDescent="0.25">
      <c r="A3" s="29" t="s">
        <v>6</v>
      </c>
      <c r="B3" s="29"/>
      <c r="C3" s="29">
        <v>10000</v>
      </c>
      <c r="D3" s="30"/>
      <c r="F3" s="26" t="s">
        <v>8</v>
      </c>
      <c r="G3" s="28"/>
      <c r="H3" s="1">
        <v>8049.1311040728297</v>
      </c>
      <c r="J3" s="31" t="s">
        <v>7</v>
      </c>
      <c r="K3" s="31"/>
      <c r="L3" s="31"/>
      <c r="M3" s="31"/>
      <c r="N3" s="31"/>
      <c r="O3" s="31"/>
      <c r="Q3" s="31" t="s">
        <v>7</v>
      </c>
      <c r="R3" s="31"/>
      <c r="S3" s="31"/>
      <c r="T3" s="31"/>
      <c r="U3" s="31"/>
      <c r="V3" s="31"/>
      <c r="X3" s="31" t="s">
        <v>7</v>
      </c>
      <c r="Y3" s="31"/>
      <c r="Z3" s="31"/>
      <c r="AA3" s="31"/>
      <c r="AB3" s="31"/>
      <c r="AC3" s="31"/>
    </row>
    <row r="4" spans="1:29" x14ac:dyDescent="0.25">
      <c r="A4" s="29" t="s">
        <v>7</v>
      </c>
      <c r="B4" s="29"/>
      <c r="C4" s="29">
        <f>C3/C12</f>
        <v>226.99929630218148</v>
      </c>
      <c r="D4" s="29"/>
      <c r="F4" s="26" t="s">
        <v>17</v>
      </c>
      <c r="G4" s="28"/>
      <c r="H4" s="1">
        <v>75177.561791266067</v>
      </c>
      <c r="J4" s="2"/>
      <c r="K4" s="24">
        <v>1</v>
      </c>
      <c r="L4" s="24">
        <v>2</v>
      </c>
      <c r="M4" s="24" t="s">
        <v>9</v>
      </c>
      <c r="N4" s="24">
        <v>5</v>
      </c>
      <c r="O4" s="24" t="s">
        <v>10</v>
      </c>
      <c r="Q4" s="2"/>
      <c r="R4" s="24">
        <v>5</v>
      </c>
      <c r="S4" s="24">
        <v>6</v>
      </c>
      <c r="T4" s="24" t="s">
        <v>11</v>
      </c>
      <c r="U4" s="24" t="s">
        <v>12</v>
      </c>
      <c r="V4" s="24" t="s">
        <v>13</v>
      </c>
      <c r="X4" s="2"/>
      <c r="Y4" s="24">
        <v>6</v>
      </c>
      <c r="Z4" s="24" t="s">
        <v>14</v>
      </c>
      <c r="AA4" s="24" t="s">
        <v>15</v>
      </c>
      <c r="AB4" s="24">
        <v>10</v>
      </c>
      <c r="AC4" s="24">
        <v>8</v>
      </c>
    </row>
    <row r="5" spans="1:29" x14ac:dyDescent="0.25">
      <c r="A5" s="37" t="s">
        <v>16</v>
      </c>
      <c r="B5" s="46"/>
      <c r="C5" s="46"/>
      <c r="D5" s="38"/>
      <c r="F5" s="26" t="s">
        <v>24</v>
      </c>
      <c r="G5" s="28"/>
      <c r="H5" s="1">
        <v>8.0000000000000002E-3</v>
      </c>
      <c r="I5" s="1">
        <v>8.0000000000000002E-3</v>
      </c>
      <c r="J5" s="2" t="s">
        <v>18</v>
      </c>
      <c r="K5" s="1">
        <f>K15*K$12</f>
        <v>0</v>
      </c>
      <c r="L5" s="1">
        <f>L12*L15</f>
        <v>59390.273815100198</v>
      </c>
      <c r="M5" s="1">
        <f ca="1">K5+L5+O5</f>
        <v>59836.086020672119</v>
      </c>
      <c r="N5" s="1">
        <f ca="1">M5</f>
        <v>59836.086020672119</v>
      </c>
      <c r="O5" s="1">
        <f ca="1">T5-U5</f>
        <v>445.81220557192137</v>
      </c>
      <c r="Q5" s="2" t="s">
        <v>18</v>
      </c>
      <c r="R5" s="1">
        <f ca="1">N5</f>
        <v>59836.086020672119</v>
      </c>
      <c r="S5" s="1">
        <f ca="1">R5*A36</f>
        <v>598.36086020672121</v>
      </c>
      <c r="T5" s="1">
        <f ca="1">R5-S5</f>
        <v>59237.725160465401</v>
      </c>
      <c r="U5" s="1">
        <f t="shared" ref="U5:U11" ca="1" si="0">T5*$H$6</f>
        <v>58791.91295489348</v>
      </c>
      <c r="V5" s="1">
        <v>0</v>
      </c>
      <c r="X5" s="2" t="s">
        <v>18</v>
      </c>
      <c r="Y5" s="1">
        <f t="shared" ref="Y5:Y11" ca="1" si="1">S5</f>
        <v>598.36086020672121</v>
      </c>
      <c r="Z5" s="1">
        <f ca="1">T27-U27</f>
        <v>0.59895982002674797</v>
      </c>
      <c r="AA5" s="1">
        <f ca="1">Z5+Y5</f>
        <v>598.95982002674793</v>
      </c>
      <c r="AB5" s="1">
        <f ca="1">AA5</f>
        <v>598.95982002674793</v>
      </c>
      <c r="AC5" s="1">
        <f>0</f>
        <v>0</v>
      </c>
    </row>
    <row r="6" spans="1:29" ht="15.75" customHeight="1" x14ac:dyDescent="0.25">
      <c r="A6" s="25" t="s">
        <v>19</v>
      </c>
      <c r="B6" s="25">
        <f>C4-D6</f>
        <v>225.18330193176402</v>
      </c>
      <c r="C6" s="25" t="s">
        <v>20</v>
      </c>
      <c r="D6" s="25">
        <f>C7*C4</f>
        <v>1.8159943704174519</v>
      </c>
      <c r="F6" s="26" t="s">
        <v>29</v>
      </c>
      <c r="G6" s="28"/>
      <c r="H6" s="1">
        <v>0.99247418424046019</v>
      </c>
      <c r="J6" s="2" t="s">
        <v>22</v>
      </c>
      <c r="K6" s="1">
        <f t="shared" ref="K6:L11" si="2">K16*K$12</f>
        <v>0</v>
      </c>
      <c r="L6" s="1">
        <f>L12*L16</f>
        <v>15787.287976165873</v>
      </c>
      <c r="M6" s="1">
        <f t="shared" ref="M6:M11" ca="1" si="3">K6+L6+O6</f>
        <v>15787.287976173295</v>
      </c>
      <c r="N6" s="1">
        <f ca="1">M6-((M7-((E29)/2))+(M7-((E31)/2)))</f>
        <v>1.0063376976177096E-6</v>
      </c>
      <c r="O6" s="1">
        <f ca="1">T6-U6</f>
        <v>7.4220418620672941E-9</v>
      </c>
      <c r="Q6" s="2" t="s">
        <v>22</v>
      </c>
      <c r="R6" s="1">
        <f ca="1">N6</f>
        <v>1.0063376976177096E-6</v>
      </c>
      <c r="S6" s="1">
        <f ca="1">R6*A40</f>
        <v>2.0126753952354195E-8</v>
      </c>
      <c r="T6" s="1">
        <f ca="1">R6-S6</f>
        <v>9.8621094366535536E-7</v>
      </c>
      <c r="U6" s="1">
        <f t="shared" ca="1" si="0"/>
        <v>9.7878890180328807E-7</v>
      </c>
      <c r="V6" s="1">
        <v>0</v>
      </c>
      <c r="X6" s="2" t="s">
        <v>22</v>
      </c>
      <c r="Y6" s="1">
        <f t="shared" ca="1" si="1"/>
        <v>2.0126753952354195E-8</v>
      </c>
      <c r="Z6" s="1">
        <f t="shared" ref="Z6:Z11" ca="1" si="4">T28-U28</f>
        <v>2.014690081678428E-11</v>
      </c>
      <c r="AA6" s="1">
        <f t="shared" ref="AA6:AA11" ca="1" si="5">Z6+Y6</f>
        <v>2.0146900853170978E-8</v>
      </c>
      <c r="AB6" s="1">
        <f ca="1">AA6</f>
        <v>2.0146900853170978E-8</v>
      </c>
      <c r="AC6" s="1">
        <v>0</v>
      </c>
    </row>
    <row r="7" spans="1:29" ht="15.75" customHeight="1" x14ac:dyDescent="0.25">
      <c r="A7" s="37" t="s">
        <v>23</v>
      </c>
      <c r="B7" s="38"/>
      <c r="C7" s="39">
        <f>H5</f>
        <v>8.0000000000000002E-3</v>
      </c>
      <c r="D7" s="40"/>
      <c r="F7" s="26" t="s">
        <v>31</v>
      </c>
      <c r="G7" s="28"/>
      <c r="H7" s="1">
        <v>0</v>
      </c>
      <c r="J7" s="2" t="s">
        <v>25</v>
      </c>
      <c r="K7" s="1">
        <f>K17*K$12</f>
        <v>8049.1311040728297</v>
      </c>
      <c r="L7" s="1">
        <f t="shared" si="2"/>
        <v>0</v>
      </c>
      <c r="M7" s="1">
        <f t="shared" ca="1" si="3"/>
        <v>8103.5252926634621</v>
      </c>
      <c r="N7" s="1">
        <f ca="1">(1-A25)*M7</f>
        <v>7264.0000723435269</v>
      </c>
      <c r="O7" s="1">
        <f ca="1">T7-U7</f>
        <v>54.394188590632439</v>
      </c>
      <c r="Q7" s="2" t="s">
        <v>25</v>
      </c>
      <c r="R7" s="1">
        <f t="shared" ref="R7:R11" ca="1" si="6">N7</f>
        <v>7264.0000723435269</v>
      </c>
      <c r="S7" s="1">
        <f ca="1">R7*A46</f>
        <v>36.320000361717632</v>
      </c>
      <c r="T7" s="1">
        <f ca="1">R7-S7</f>
        <v>7227.6800719818093</v>
      </c>
      <c r="U7" s="1">
        <f t="shared" ca="1" si="0"/>
        <v>7173.2858833911769</v>
      </c>
      <c r="V7" s="1">
        <v>0</v>
      </c>
      <c r="X7" s="2" t="s">
        <v>25</v>
      </c>
      <c r="Y7" s="1">
        <f t="shared" ca="1" si="1"/>
        <v>36.320000361717632</v>
      </c>
      <c r="Z7" s="1">
        <f t="shared" si="4"/>
        <v>0</v>
      </c>
      <c r="AA7" s="1">
        <f t="shared" ca="1" si="5"/>
        <v>36.320000361717632</v>
      </c>
      <c r="AB7" s="1">
        <f ca="1">AA7</f>
        <v>36.320000361717632</v>
      </c>
      <c r="AC7" s="1">
        <v>0</v>
      </c>
    </row>
    <row r="8" spans="1:29" x14ac:dyDescent="0.25">
      <c r="A8" s="41" t="s">
        <v>26</v>
      </c>
      <c r="B8" s="42"/>
      <c r="C8" s="42"/>
      <c r="D8" s="43"/>
      <c r="F8" s="26" t="s">
        <v>94</v>
      </c>
      <c r="G8" s="28"/>
      <c r="H8" s="1">
        <v>13.999996703735235</v>
      </c>
      <c r="J8" s="2" t="s">
        <v>27</v>
      </c>
      <c r="K8" s="1">
        <f t="shared" si="2"/>
        <v>0</v>
      </c>
      <c r="L8" s="1">
        <f t="shared" si="2"/>
        <v>0</v>
      </c>
      <c r="M8" s="1">
        <f t="shared" si="3"/>
        <v>0</v>
      </c>
      <c r="N8" s="1">
        <f ca="1">E27-N9</f>
        <v>655.26622496411539</v>
      </c>
      <c r="O8" s="1">
        <f t="shared" ref="O8:O10" si="7">T8-U8</f>
        <v>0</v>
      </c>
      <c r="Q8" s="2" t="s">
        <v>27</v>
      </c>
      <c r="R8" s="1">
        <f t="shared" ca="1" si="6"/>
        <v>655.26622496411539</v>
      </c>
      <c r="S8" s="1">
        <f ca="1">R8*A38</f>
        <v>651.98989383929484</v>
      </c>
      <c r="T8" s="1">
        <v>0</v>
      </c>
      <c r="U8" s="1">
        <f t="shared" si="0"/>
        <v>0</v>
      </c>
      <c r="V8" s="1">
        <v>0</v>
      </c>
      <c r="X8" s="2" t="s">
        <v>27</v>
      </c>
      <c r="Y8" s="1">
        <f t="shared" ca="1" si="1"/>
        <v>651.98989383929484</v>
      </c>
      <c r="Z8" s="1">
        <f t="shared" ca="1" si="4"/>
        <v>0.65264253637567105</v>
      </c>
      <c r="AA8" s="1">
        <f t="shared" ca="1" si="5"/>
        <v>652.64253637567049</v>
      </c>
      <c r="AB8" s="1">
        <f ca="1">AA8</f>
        <v>652.64253637567049</v>
      </c>
      <c r="AC8" s="1">
        <v>0</v>
      </c>
    </row>
    <row r="9" spans="1:29" x14ac:dyDescent="0.25">
      <c r="A9" s="44" t="s">
        <v>18</v>
      </c>
      <c r="B9" s="45"/>
      <c r="C9" s="44">
        <f>28.01348</f>
        <v>28.013480000000001</v>
      </c>
      <c r="D9" s="45"/>
      <c r="F9" s="26" t="s">
        <v>37</v>
      </c>
      <c r="G9" s="28"/>
      <c r="H9" s="1">
        <f>K12+L12</f>
        <v>83226.6928953389</v>
      </c>
      <c r="J9" s="2" t="s">
        <v>20</v>
      </c>
      <c r="K9" s="1">
        <f>K19*K$12</f>
        <v>0</v>
      </c>
      <c r="L9" s="1">
        <f t="shared" si="2"/>
        <v>0</v>
      </c>
      <c r="M9" s="1">
        <f t="shared" si="3"/>
        <v>0</v>
      </c>
      <c r="N9" s="1">
        <f ca="1">A27*E27</f>
        <v>7.9586990886329811</v>
      </c>
      <c r="O9" s="1">
        <f t="shared" si="7"/>
        <v>0</v>
      </c>
      <c r="Q9" s="2" t="s">
        <v>20</v>
      </c>
      <c r="R9" s="1">
        <f ca="1">N9</f>
        <v>7.9586990886329811</v>
      </c>
      <c r="S9" s="1">
        <f ca="1">R9*A34</f>
        <v>7.9586990886329811</v>
      </c>
      <c r="T9" s="1">
        <v>0</v>
      </c>
      <c r="U9" s="1">
        <f t="shared" si="0"/>
        <v>0</v>
      </c>
      <c r="V9" s="1">
        <v>0</v>
      </c>
      <c r="X9" s="2" t="s">
        <v>20</v>
      </c>
      <c r="Y9" s="1">
        <f t="shared" ca="1" si="1"/>
        <v>7.9586990886329811</v>
      </c>
      <c r="Z9" s="1">
        <f t="shared" si="4"/>
        <v>0</v>
      </c>
      <c r="AA9" s="1">
        <f t="shared" ca="1" si="5"/>
        <v>7.9586990886329811</v>
      </c>
      <c r="AB9" s="1">
        <f ca="1">AA9</f>
        <v>7.9586990886329811</v>
      </c>
      <c r="AC9" s="1">
        <v>0</v>
      </c>
    </row>
    <row r="10" spans="1:29" x14ac:dyDescent="0.25">
      <c r="A10" s="44" t="s">
        <v>22</v>
      </c>
      <c r="B10" s="45"/>
      <c r="C10" s="44">
        <f>31.9988</f>
        <v>31.998799999999999</v>
      </c>
      <c r="D10" s="45"/>
      <c r="F10" s="26" t="s">
        <v>33</v>
      </c>
      <c r="G10" s="27"/>
      <c r="H10" s="1">
        <f>1-H6</f>
        <v>7.5258157595398112E-3</v>
      </c>
      <c r="J10" s="2" t="s">
        <v>30</v>
      </c>
      <c r="K10" s="1">
        <f t="shared" si="2"/>
        <v>0</v>
      </c>
      <c r="L10" s="1">
        <f t="shared" si="2"/>
        <v>0</v>
      </c>
      <c r="M10" s="1">
        <f t="shared" ca="1" si="3"/>
        <v>0.75514408928798105</v>
      </c>
      <c r="N10" s="1">
        <f ca="1">E25*2</f>
        <v>352.60059253437362</v>
      </c>
      <c r="O10" s="1">
        <f t="shared" ca="1" si="7"/>
        <v>0.75514408928798105</v>
      </c>
      <c r="Q10" s="2" t="s">
        <v>30</v>
      </c>
      <c r="R10" s="1">
        <f ca="1">N10</f>
        <v>352.60059253437362</v>
      </c>
      <c r="S10" s="1">
        <f ca="1">R10+V10-T10+P32</f>
        <v>28090.107173739332</v>
      </c>
      <c r="T10" s="1">
        <f ca="1">T12*T20</f>
        <v>100.34049642136765</v>
      </c>
      <c r="U10" s="1">
        <f t="shared" ca="1" si="0"/>
        <v>99.585352332079665</v>
      </c>
      <c r="V10" s="1">
        <f ca="1">(A48*R8)-R10</f>
        <v>27823.847080922587</v>
      </c>
      <c r="X10" s="2" t="s">
        <v>30</v>
      </c>
      <c r="Y10" s="1">
        <f t="shared" ca="1" si="1"/>
        <v>28090.107173739332</v>
      </c>
      <c r="Z10" s="1">
        <f t="shared" si="4"/>
        <v>0</v>
      </c>
      <c r="AA10" s="1">
        <f t="shared" ca="1" si="5"/>
        <v>28090.107173739332</v>
      </c>
      <c r="AB10" s="1">
        <f ca="1">AB12*AB20</f>
        <v>264.11756081970952</v>
      </c>
      <c r="AC10" s="1">
        <f ca="1">AA10-AB10</f>
        <v>27825.989612919624</v>
      </c>
    </row>
    <row r="11" spans="1:29" x14ac:dyDescent="0.25">
      <c r="A11" s="44" t="s">
        <v>25</v>
      </c>
      <c r="B11" s="45"/>
      <c r="C11" s="44">
        <f>28.054</f>
        <v>28.053999999999998</v>
      </c>
      <c r="D11" s="45"/>
      <c r="J11" s="2" t="s">
        <v>32</v>
      </c>
      <c r="K11" s="1">
        <f t="shared" si="2"/>
        <v>0</v>
      </c>
      <c r="L11" s="1">
        <f t="shared" si="2"/>
        <v>0</v>
      </c>
      <c r="M11" s="1">
        <f t="shared" ca="1" si="3"/>
        <v>2.4678545993899661</v>
      </c>
      <c r="N11" s="1">
        <f ca="1">E25*2</f>
        <v>352.60059253437362</v>
      </c>
      <c r="O11" s="1">
        <f ca="1">T11-U11</f>
        <v>2.4678545993899661</v>
      </c>
      <c r="Q11" s="2" t="s">
        <v>32</v>
      </c>
      <c r="R11" s="6">
        <f t="shared" ca="1" si="6"/>
        <v>352.60059253437362</v>
      </c>
      <c r="S11" s="6">
        <f ca="1">R11*A42</f>
        <v>24.682041477406155</v>
      </c>
      <c r="T11" s="6">
        <f ca="1">R11-S11</f>
        <v>327.91855105696749</v>
      </c>
      <c r="U11" s="1">
        <f t="shared" ca="1" si="0"/>
        <v>325.45069645757752</v>
      </c>
      <c r="V11" s="1">
        <v>0</v>
      </c>
      <c r="X11" s="2" t="s">
        <v>32</v>
      </c>
      <c r="Y11" s="1">
        <f t="shared" ca="1" si="1"/>
        <v>24.682041477406155</v>
      </c>
      <c r="Z11" s="1">
        <f t="shared" ca="1" si="4"/>
        <v>2.4706748225631788E-2</v>
      </c>
      <c r="AA11" s="1">
        <f t="shared" ca="1" si="5"/>
        <v>24.706748225631788</v>
      </c>
      <c r="AB11" s="1">
        <f ca="1">AA11</f>
        <v>24.706748225631788</v>
      </c>
      <c r="AC11" s="1">
        <v>0</v>
      </c>
    </row>
    <row r="12" spans="1:29" x14ac:dyDescent="0.25">
      <c r="A12" s="44" t="s">
        <v>27</v>
      </c>
      <c r="B12" s="45"/>
      <c r="C12" s="44">
        <f>44.053</f>
        <v>44.052999999999997</v>
      </c>
      <c r="D12" s="45"/>
      <c r="J12" s="2" t="s">
        <v>34</v>
      </c>
      <c r="K12" s="2">
        <f>H3</f>
        <v>8049.1311040728297</v>
      </c>
      <c r="L12" s="2">
        <f>H4</f>
        <v>75177.561791266067</v>
      </c>
      <c r="M12" s="21">
        <f ca="1">SUM(M5:M11)</f>
        <v>83730.122288197555</v>
      </c>
      <c r="N12" s="2">
        <f ca="1">SUM(N5:N11)</f>
        <v>68468.512203143488</v>
      </c>
      <c r="O12" s="2">
        <f ca="1">SUM(O5:O11)</f>
        <v>503.42939285865378</v>
      </c>
      <c r="Q12" s="2" t="s">
        <v>34</v>
      </c>
      <c r="R12" s="2">
        <f ca="1">N12</f>
        <v>68468.512203143488</v>
      </c>
      <c r="S12" s="2">
        <f ca="1">SUM(S5:S11)</f>
        <v>29409.418668733229</v>
      </c>
      <c r="T12" s="2">
        <f ca="1">SUM(T5:T11)</f>
        <v>66893.664280911762</v>
      </c>
      <c r="U12" s="2">
        <f ca="1">SUM(U5:U11)</f>
        <v>66390.234888053106</v>
      </c>
      <c r="V12" s="2">
        <f ca="1">SUM(V5:V11)</f>
        <v>27823.847080922587</v>
      </c>
      <c r="X12" s="2" t="s">
        <v>34</v>
      </c>
      <c r="Y12" s="2">
        <f ca="1">SUM(Y5:Y11)</f>
        <v>29409.418668733229</v>
      </c>
      <c r="Z12" s="2">
        <f ca="1">T34-U34</f>
        <v>1.2763091046481976</v>
      </c>
      <c r="AA12" s="2">
        <f ca="1">Z12+Y12</f>
        <v>29410.694977837877</v>
      </c>
      <c r="AB12" s="2">
        <f ca="1">(SUM(AB5:AB9) + AB11) /  (1 - AB20)</f>
        <v>1584.7053649182574</v>
      </c>
      <c r="AC12" s="2">
        <f ca="1">SUM(AC5:AC11)</f>
        <v>27825.989612919624</v>
      </c>
    </row>
    <row r="13" spans="1:29" ht="15.75" thickBot="1" x14ac:dyDescent="0.3">
      <c r="A13" s="48" t="s">
        <v>20</v>
      </c>
      <c r="B13" s="48"/>
      <c r="C13" s="48">
        <f>44.053</f>
        <v>44.052999999999997</v>
      </c>
      <c r="D13" s="48"/>
      <c r="F13" s="49" t="s">
        <v>90</v>
      </c>
      <c r="G13" s="49"/>
      <c r="H13" s="49"/>
      <c r="J13" s="31" t="s">
        <v>35</v>
      </c>
      <c r="K13" s="31"/>
      <c r="L13" s="31"/>
      <c r="M13" s="31"/>
      <c r="N13" s="31"/>
      <c r="O13" s="31"/>
      <c r="Q13" s="31" t="s">
        <v>35</v>
      </c>
      <c r="R13" s="31"/>
      <c r="S13" s="31"/>
      <c r="T13" s="31"/>
      <c r="U13" s="31"/>
      <c r="V13" s="31"/>
      <c r="X13" s="31" t="s">
        <v>35</v>
      </c>
      <c r="Y13" s="31"/>
      <c r="Z13" s="31"/>
      <c r="AA13" s="31"/>
      <c r="AB13" s="31"/>
      <c r="AC13" s="31"/>
    </row>
    <row r="14" spans="1:29" ht="15.75" thickBot="1" x14ac:dyDescent="0.3">
      <c r="A14" s="44" t="s">
        <v>32</v>
      </c>
      <c r="B14" s="45"/>
      <c r="C14" s="44">
        <v>44.009</v>
      </c>
      <c r="D14" s="45"/>
      <c r="F14" s="26" t="s">
        <v>96</v>
      </c>
      <c r="G14" s="47"/>
      <c r="H14" s="4">
        <f ca="1">(N10+V10)/(N8+V8)</f>
        <v>43</v>
      </c>
      <c r="I14" s="23">
        <f>A48</f>
        <v>43</v>
      </c>
      <c r="J14" s="2"/>
      <c r="K14" s="24">
        <v>1</v>
      </c>
      <c r="L14" s="24">
        <v>2</v>
      </c>
      <c r="M14" s="24" t="s">
        <v>9</v>
      </c>
      <c r="N14" s="24">
        <v>5</v>
      </c>
      <c r="O14" s="24" t="s">
        <v>10</v>
      </c>
      <c r="Q14" s="2"/>
      <c r="R14" s="24">
        <v>5</v>
      </c>
      <c r="S14" s="24">
        <v>6</v>
      </c>
      <c r="T14" s="24" t="s">
        <v>11</v>
      </c>
      <c r="U14" s="24" t="s">
        <v>12</v>
      </c>
      <c r="V14" s="24" t="s">
        <v>13</v>
      </c>
      <c r="X14" s="2"/>
      <c r="Y14" s="24">
        <v>6</v>
      </c>
      <c r="Z14" s="24" t="s">
        <v>14</v>
      </c>
      <c r="AA14" s="24" t="s">
        <v>15</v>
      </c>
      <c r="AB14" s="24">
        <v>10</v>
      </c>
      <c r="AC14" s="24">
        <v>8</v>
      </c>
    </row>
    <row r="15" spans="1:29" ht="15.75" thickBot="1" x14ac:dyDescent="0.3">
      <c r="A15" s="48" t="s">
        <v>30</v>
      </c>
      <c r="B15" s="48"/>
      <c r="C15" s="48">
        <v>18.015000000000001</v>
      </c>
      <c r="D15" s="48"/>
      <c r="F15" s="26" t="s">
        <v>28</v>
      </c>
      <c r="G15" s="47"/>
      <c r="H15" s="4">
        <f ca="1">M7/2</f>
        <v>4051.762646331731</v>
      </c>
      <c r="I15" s="5">
        <f ca="1">M6</f>
        <v>15787.287976173295</v>
      </c>
      <c r="J15" s="2" t="s">
        <v>18</v>
      </c>
      <c r="K15" s="1">
        <v>0</v>
      </c>
      <c r="L15" s="1">
        <f>C18</f>
        <v>0.79</v>
      </c>
      <c r="M15" s="1">
        <f ca="1">M5/M$12</f>
        <v>0.71463034312451379</v>
      </c>
      <c r="N15" s="1">
        <f ca="1">N5/N$12</f>
        <v>0.87392122444753462</v>
      </c>
      <c r="O15" s="1">
        <f ca="1">O5/O$12</f>
        <v>0.88555060927300799</v>
      </c>
      <c r="Q15" s="2" t="s">
        <v>18</v>
      </c>
      <c r="R15" s="1">
        <f ca="1">R5/R$12</f>
        <v>0.87392122444753462</v>
      </c>
      <c r="S15" s="1">
        <f ca="1">S5/$S$12</f>
        <v>2.0345892142467664E-2</v>
      </c>
      <c r="T15" s="1">
        <f ca="1">T5/$T$12</f>
        <v>0.88555060927300711</v>
      </c>
      <c r="U15" s="1">
        <f ca="1">U5/$U$12</f>
        <v>0.88555060927300711</v>
      </c>
      <c r="V15" s="1">
        <f ca="1">V5/$V$12</f>
        <v>0</v>
      </c>
      <c r="X15" s="2" t="s">
        <v>18</v>
      </c>
      <c r="Y15" s="1">
        <f t="shared" ref="Y15:AC21" ca="1" si="8">Y5/Y$12</f>
        <v>2.0345892142467664E-2</v>
      </c>
      <c r="Z15" s="1">
        <f t="shared" ca="1" si="8"/>
        <v>0.46929056436672956</v>
      </c>
      <c r="AA15" s="1">
        <f ca="1">AA5/AA$12</f>
        <v>2.0365374584928642E-2</v>
      </c>
      <c r="AB15" s="1">
        <f t="shared" ca="1" si="8"/>
        <v>0.37796289031787533</v>
      </c>
      <c r="AC15" s="1">
        <f t="shared" ca="1" si="8"/>
        <v>0</v>
      </c>
    </row>
    <row r="16" spans="1:29" ht="15.75" thickBot="1" x14ac:dyDescent="0.3">
      <c r="A16" s="51" t="s">
        <v>3</v>
      </c>
      <c r="B16" s="51"/>
      <c r="C16" s="51"/>
      <c r="D16" s="51"/>
      <c r="F16" s="26" t="s">
        <v>89</v>
      </c>
      <c r="G16" s="47"/>
      <c r="H16" s="4">
        <f>L5</f>
        <v>59390.273815100198</v>
      </c>
      <c r="I16" s="23">
        <f ca="1">S27+U5</f>
        <v>59390.273815100198</v>
      </c>
      <c r="J16" s="2" t="s">
        <v>22</v>
      </c>
      <c r="K16" s="1">
        <v>0</v>
      </c>
      <c r="L16" s="1">
        <f>C19</f>
        <v>0.21</v>
      </c>
      <c r="M16" s="1">
        <f t="shared" ref="M16:O21" ca="1" si="9">M6/M$12</f>
        <v>0.18854968253639637</v>
      </c>
      <c r="N16" s="1">
        <f t="shared" ca="1" si="9"/>
        <v>1.4697817511090991E-11</v>
      </c>
      <c r="O16" s="1">
        <f t="shared" ca="1" si="9"/>
        <v>1.4742964887135934E-11</v>
      </c>
      <c r="Q16" s="2" t="s">
        <v>22</v>
      </c>
      <c r="R16" s="1">
        <f t="shared" ref="R16:R21" ca="1" si="10">R6/R$12</f>
        <v>1.4697817511090991E-11</v>
      </c>
      <c r="S16" s="1">
        <f t="shared" ref="S16:S21" ca="1" si="11">S6/$S$12</f>
        <v>6.8436422287231591E-13</v>
      </c>
      <c r="T16" s="1">
        <f t="shared" ref="T16:T19" ca="1" si="12">T6/$T$12</f>
        <v>1.4742964887136144E-11</v>
      </c>
      <c r="U16" s="1">
        <f t="shared" ref="U16:U21" ca="1" si="13">U6/$U$12</f>
        <v>1.4742964887136147E-11</v>
      </c>
      <c r="V16" s="1">
        <f t="shared" ref="V16:V21" ca="1" si="14">V6/$V$12</f>
        <v>0</v>
      </c>
      <c r="X16" s="2" t="s">
        <v>22</v>
      </c>
      <c r="Y16" s="1">
        <f t="shared" ca="1" si="8"/>
        <v>6.8436422287231591E-13</v>
      </c>
      <c r="Z16" s="1">
        <f t="shared" ca="1" si="8"/>
        <v>1.5785283316879246E-11</v>
      </c>
      <c r="AA16" s="1">
        <f t="shared" ca="1" si="8"/>
        <v>6.8501954368478762E-13</v>
      </c>
      <c r="AB16" s="1">
        <f t="shared" ca="1" si="8"/>
        <v>1.2713341734796361E-11</v>
      </c>
      <c r="AC16" s="1">
        <f t="shared" ca="1" si="8"/>
        <v>0</v>
      </c>
    </row>
    <row r="17" spans="1:31" ht="15.75" thickBot="1" x14ac:dyDescent="0.3">
      <c r="A17" s="51" t="s">
        <v>36</v>
      </c>
      <c r="B17" s="51"/>
      <c r="C17" s="51"/>
      <c r="D17" s="51"/>
      <c r="F17" s="26" t="s">
        <v>91</v>
      </c>
      <c r="G17" s="47"/>
      <c r="H17" s="4">
        <f ca="1">N6</f>
        <v>1.0063376976177096E-6</v>
      </c>
      <c r="I17" s="5" t="s">
        <v>92</v>
      </c>
      <c r="J17" s="2" t="s">
        <v>25</v>
      </c>
      <c r="K17" s="1">
        <v>1</v>
      </c>
      <c r="L17" s="1">
        <v>0</v>
      </c>
      <c r="M17" s="1">
        <f t="shared" ca="1" si="9"/>
        <v>9.6781481636576086E-2</v>
      </c>
      <c r="N17" s="1">
        <f t="shared" ca="1" si="9"/>
        <v>0.1060925648682348</v>
      </c>
      <c r="O17" s="1">
        <f t="shared" ca="1" si="9"/>
        <v>0.10804730387664217</v>
      </c>
      <c r="Q17" s="2" t="s">
        <v>25</v>
      </c>
      <c r="R17" s="1">
        <f t="shared" ca="1" si="10"/>
        <v>0.1060925648682348</v>
      </c>
      <c r="S17" s="1">
        <f t="shared" ca="1" si="11"/>
        <v>1.234978520684988E-3</v>
      </c>
      <c r="T17" s="1">
        <f t="shared" ca="1" si="12"/>
        <v>0.10804730387664295</v>
      </c>
      <c r="U17" s="1">
        <f t="shared" ca="1" si="13"/>
        <v>0.10804730387664295</v>
      </c>
      <c r="V17" s="1">
        <f t="shared" ca="1" si="14"/>
        <v>0</v>
      </c>
      <c r="X17" s="2" t="s">
        <v>25</v>
      </c>
      <c r="Y17" s="1">
        <f t="shared" ca="1" si="8"/>
        <v>1.234978520684988E-3</v>
      </c>
      <c r="Z17" s="1">
        <f t="shared" ca="1" si="8"/>
        <v>0</v>
      </c>
      <c r="AA17" s="1">
        <f t="shared" ca="1" si="8"/>
        <v>1.2349249274485419E-3</v>
      </c>
      <c r="AB17" s="1">
        <f t="shared" ca="1" si="8"/>
        <v>2.2919087147528588E-2</v>
      </c>
      <c r="AC17" s="1">
        <f t="shared" ca="1" si="8"/>
        <v>0</v>
      </c>
    </row>
    <row r="18" spans="1:31" ht="15.75" thickBot="1" x14ac:dyDescent="0.3">
      <c r="A18" s="50" t="s">
        <v>18</v>
      </c>
      <c r="B18" s="50"/>
      <c r="C18" s="50">
        <v>0.79</v>
      </c>
      <c r="D18" s="50"/>
      <c r="F18" s="26" t="s">
        <v>93</v>
      </c>
      <c r="G18" s="47"/>
      <c r="H18" s="4">
        <f ca="1">AE34</f>
        <v>219.08262561804261</v>
      </c>
      <c r="I18" s="23">
        <f>C4</f>
        <v>226.99929630218148</v>
      </c>
      <c r="J18" s="2" t="s">
        <v>27</v>
      </c>
      <c r="K18" s="1">
        <v>0</v>
      </c>
      <c r="L18" s="1">
        <v>0</v>
      </c>
      <c r="M18" s="1">
        <f t="shared" ca="1" si="9"/>
        <v>0</v>
      </c>
      <c r="N18" s="1">
        <f ca="1">N8/N$12</f>
        <v>9.570329540971553E-3</v>
      </c>
      <c r="O18" s="1">
        <f t="shared" ca="1" si="9"/>
        <v>0</v>
      </c>
      <c r="Q18" s="2" t="s">
        <v>27</v>
      </c>
      <c r="R18" s="1">
        <f t="shared" ca="1" si="10"/>
        <v>9.570329540971553E-3</v>
      </c>
      <c r="S18" s="1">
        <f t="shared" ca="1" si="11"/>
        <v>2.2169424740532569E-2</v>
      </c>
      <c r="T18" s="1">
        <f t="shared" ca="1" si="12"/>
        <v>0</v>
      </c>
      <c r="U18" s="1">
        <f t="shared" ca="1" si="13"/>
        <v>0</v>
      </c>
      <c r="V18" s="1">
        <f t="shared" ca="1" si="14"/>
        <v>0</v>
      </c>
      <c r="X18" s="2" t="s">
        <v>27</v>
      </c>
      <c r="Y18" s="1">
        <f t="shared" ca="1" si="8"/>
        <v>2.2169424740532569E-2</v>
      </c>
      <c r="Z18" s="1">
        <f t="shared" ca="1" si="8"/>
        <v>0.51135146963914024</v>
      </c>
      <c r="AA18" s="1">
        <f t="shared" ca="1" si="8"/>
        <v>2.2190653327555248E-2</v>
      </c>
      <c r="AB18" s="1">
        <f t="shared" ca="1" si="8"/>
        <v>0.41183840909716063</v>
      </c>
      <c r="AC18" s="1">
        <f t="shared" ca="1" si="8"/>
        <v>0</v>
      </c>
    </row>
    <row r="19" spans="1:31" ht="15.75" thickBot="1" x14ac:dyDescent="0.3">
      <c r="A19" s="50" t="s">
        <v>22</v>
      </c>
      <c r="B19" s="50"/>
      <c r="C19" s="50">
        <v>0.21</v>
      </c>
      <c r="D19" s="50"/>
      <c r="F19" s="26" t="s">
        <v>95</v>
      </c>
      <c r="G19" s="47"/>
      <c r="H19" s="4">
        <f ca="1">O34</f>
        <v>2.1425319970403507</v>
      </c>
      <c r="I19" s="23" t="s">
        <v>92</v>
      </c>
      <c r="J19" s="2" t="s">
        <v>20</v>
      </c>
      <c r="K19" s="1">
        <v>0</v>
      </c>
      <c r="L19" s="1">
        <v>0</v>
      </c>
      <c r="M19" s="1">
        <f t="shared" ca="1" si="9"/>
        <v>0</v>
      </c>
      <c r="N19" s="1">
        <f t="shared" ca="1" si="9"/>
        <v>1.1623882033568689E-4</v>
      </c>
      <c r="O19" s="1">
        <f t="shared" ca="1" si="9"/>
        <v>0</v>
      </c>
      <c r="Q19" s="2" t="s">
        <v>20</v>
      </c>
      <c r="R19" s="1">
        <f t="shared" ca="1" si="10"/>
        <v>1.1623882033568689E-4</v>
      </c>
      <c r="S19" s="1">
        <f t="shared" ca="1" si="11"/>
        <v>2.7061735487802455E-4</v>
      </c>
      <c r="T19" s="1">
        <f t="shared" ca="1" si="12"/>
        <v>0</v>
      </c>
      <c r="U19" s="1">
        <f t="shared" ca="1" si="13"/>
        <v>0</v>
      </c>
      <c r="V19" s="1">
        <f t="shared" ca="1" si="14"/>
        <v>0</v>
      </c>
      <c r="X19" s="2" t="s">
        <v>20</v>
      </c>
      <c r="Y19" s="1">
        <f t="shared" ca="1" si="8"/>
        <v>2.7061735487802455E-4</v>
      </c>
      <c r="Z19" s="1">
        <f t="shared" ca="1" si="8"/>
        <v>0</v>
      </c>
      <c r="AA19" s="1">
        <f t="shared" ca="1" si="8"/>
        <v>2.7060561114350325E-4</v>
      </c>
      <c r="AB19" s="1">
        <f t="shared" ca="1" si="8"/>
        <v>5.0221948286541633E-3</v>
      </c>
      <c r="AC19" s="1">
        <f t="shared" ca="1" si="8"/>
        <v>0</v>
      </c>
    </row>
    <row r="20" spans="1:31" ht="15.75" thickBot="1" x14ac:dyDescent="0.3">
      <c r="A20" s="51" t="s">
        <v>37</v>
      </c>
      <c r="B20" s="51"/>
      <c r="C20" s="51"/>
      <c r="D20" s="51"/>
      <c r="F20" s="26" t="s">
        <v>97</v>
      </c>
      <c r="G20" s="47"/>
      <c r="H20" s="4">
        <f ca="1">(R32+Q32)/(R29+Q29)</f>
        <v>0.44445287830421648</v>
      </c>
      <c r="I20" s="23">
        <f>A65</f>
        <v>2</v>
      </c>
      <c r="J20" s="2" t="s">
        <v>30</v>
      </c>
      <c r="K20" s="1">
        <v>0</v>
      </c>
      <c r="L20" s="1">
        <v>0</v>
      </c>
      <c r="M20" s="1">
        <f t="shared" ca="1" si="9"/>
        <v>9.0187864134342108E-6</v>
      </c>
      <c r="N20" s="1">
        <f t="shared" ca="1" si="9"/>
        <v>5.1498211541127258E-3</v>
      </c>
      <c r="O20" s="1">
        <f t="shared" ca="1" si="9"/>
        <v>1.5000000000000007E-3</v>
      </c>
      <c r="Q20" s="2" t="s">
        <v>30</v>
      </c>
      <c r="R20" s="1">
        <f t="shared" ca="1" si="10"/>
        <v>5.1498211541127258E-3</v>
      </c>
      <c r="S20" s="1">
        <f t="shared" ca="1" si="11"/>
        <v>0.95513983088701682</v>
      </c>
      <c r="T20" s="1">
        <v>1.5E-3</v>
      </c>
      <c r="U20" s="1">
        <f t="shared" ca="1" si="13"/>
        <v>1.5E-3</v>
      </c>
      <c r="V20" s="1">
        <f t="shared" ca="1" si="14"/>
        <v>1</v>
      </c>
      <c r="X20" s="2" t="s">
        <v>30</v>
      </c>
      <c r="Y20" s="1">
        <f t="shared" ca="1" si="8"/>
        <v>0.95513983088701682</v>
      </c>
      <c r="Z20" s="1">
        <f t="shared" ca="1" si="8"/>
        <v>0</v>
      </c>
      <c r="AA20" s="1">
        <f t="shared" ca="1" si="8"/>
        <v>0.95509838155495275</v>
      </c>
      <c r="AB20" s="1">
        <f>A76/6</f>
        <v>0.16666666666666666</v>
      </c>
      <c r="AC20" s="1">
        <f ca="1">AC10/AC$12</f>
        <v>1</v>
      </c>
    </row>
    <row r="21" spans="1:31" x14ac:dyDescent="0.25">
      <c r="A21" s="50" t="s">
        <v>18</v>
      </c>
      <c r="B21" s="50"/>
      <c r="C21" s="50">
        <f>L5</f>
        <v>59390.273815100198</v>
      </c>
      <c r="D21" s="50"/>
      <c r="J21" s="2" t="s">
        <v>32</v>
      </c>
      <c r="K21" s="1">
        <v>0</v>
      </c>
      <c r="L21" s="1">
        <v>0</v>
      </c>
      <c r="M21" s="1">
        <f t="shared" ca="1" si="9"/>
        <v>2.9473916100297279E-5</v>
      </c>
      <c r="N21" s="1">
        <f t="shared" ca="1" si="9"/>
        <v>5.1498211541127258E-3</v>
      </c>
      <c r="O21" s="1">
        <f t="shared" ca="1" si="9"/>
        <v>4.9020868356068701E-3</v>
      </c>
      <c r="Q21" s="2" t="s">
        <v>32</v>
      </c>
      <c r="R21" s="1">
        <f t="shared" ca="1" si="10"/>
        <v>5.1498211541127258E-3</v>
      </c>
      <c r="S21" s="1">
        <f t="shared" ca="1" si="11"/>
        <v>8.3925635373564833E-4</v>
      </c>
      <c r="T21" s="1">
        <f ca="1">T11/T12</f>
        <v>4.902086835606936E-3</v>
      </c>
      <c r="U21" s="1">
        <f t="shared" ca="1" si="13"/>
        <v>4.9020868356069369E-3</v>
      </c>
      <c r="V21" s="1">
        <f t="shared" ca="1" si="14"/>
        <v>0</v>
      </c>
      <c r="X21" s="2" t="s">
        <v>32</v>
      </c>
      <c r="Y21" s="1">
        <f t="shared" ca="1" si="8"/>
        <v>8.3925635373564833E-4</v>
      </c>
      <c r="Z21" s="1">
        <f t="shared" ca="1" si="8"/>
        <v>1.9357965978345007E-2</v>
      </c>
      <c r="AA21" s="1">
        <f t="shared" ca="1" si="8"/>
        <v>8.4005999328643204E-4</v>
      </c>
      <c r="AB21" s="1">
        <f ca="1">AB11/AB$12</f>
        <v>1.5590751929401221E-2</v>
      </c>
      <c r="AC21" s="1">
        <f ca="1">AC11/AC$12</f>
        <v>0</v>
      </c>
    </row>
    <row r="22" spans="1:31" x14ac:dyDescent="0.25">
      <c r="A22" s="50" t="s">
        <v>22</v>
      </c>
      <c r="B22" s="50"/>
      <c r="C22" s="50">
        <f>L6</f>
        <v>15787.287976165873</v>
      </c>
      <c r="D22" s="50"/>
      <c r="J22" s="2" t="s">
        <v>34</v>
      </c>
      <c r="K22" s="2">
        <f>SUM(K15:K21)</f>
        <v>1</v>
      </c>
      <c r="L22" s="2">
        <f>SUM(L15:L21)</f>
        <v>1</v>
      </c>
      <c r="M22" s="2">
        <f ca="1">SUM(M15:M21)</f>
        <v>1</v>
      </c>
      <c r="N22" s="2">
        <f ca="1">SUM(N15:N21)</f>
        <v>1</v>
      </c>
      <c r="O22" s="2">
        <f ca="1">SUM(O15:O21)</f>
        <v>1</v>
      </c>
      <c r="Q22" s="2" t="s">
        <v>34</v>
      </c>
      <c r="R22" s="2">
        <f ca="1">SUM(R15:R21)</f>
        <v>1</v>
      </c>
      <c r="S22" s="2">
        <f ca="1">SUM(S15:S21)</f>
        <v>1</v>
      </c>
      <c r="T22" s="2">
        <f ca="1">SUM(T15:T21)</f>
        <v>0.99999999999999989</v>
      </c>
      <c r="U22" s="2">
        <v>1</v>
      </c>
      <c r="V22" s="2">
        <f ca="1">SUM(V15:V21)</f>
        <v>1</v>
      </c>
      <c r="X22" s="2" t="s">
        <v>34</v>
      </c>
      <c r="Y22" s="2">
        <f ca="1">SUM(Y15:Y21)</f>
        <v>1</v>
      </c>
      <c r="Z22" s="2">
        <f ca="1">SUM(Z15:Z21)</f>
        <v>1</v>
      </c>
      <c r="AA22" s="2">
        <f ca="1">SUM(AA15:AA21)</f>
        <v>1.0000000000000002</v>
      </c>
      <c r="AB22" s="2">
        <f ca="1">SUM(AB15:AB21)</f>
        <v>0.99999999999999989</v>
      </c>
      <c r="AC22" s="2">
        <f ca="1">SUM(AC15:AC21)</f>
        <v>1</v>
      </c>
    </row>
    <row r="23" spans="1:31" x14ac:dyDescent="0.25">
      <c r="A23" s="50" t="s">
        <v>25</v>
      </c>
      <c r="B23" s="50"/>
      <c r="C23" s="50">
        <f>K7</f>
        <v>8049.1311040728297</v>
      </c>
      <c r="D23" s="50"/>
    </row>
    <row r="24" spans="1:31" x14ac:dyDescent="0.25">
      <c r="A24" s="51" t="s">
        <v>38</v>
      </c>
      <c r="B24" s="51"/>
      <c r="C24" s="51"/>
      <c r="D24" s="51"/>
      <c r="E24" s="55" t="s">
        <v>39</v>
      </c>
      <c r="F24" s="55"/>
      <c r="I24" s="26" t="s">
        <v>40</v>
      </c>
      <c r="J24" s="27"/>
      <c r="K24" s="27"/>
      <c r="L24" s="28"/>
      <c r="N24" s="62" t="s">
        <v>41</v>
      </c>
      <c r="O24" s="63"/>
      <c r="P24" s="63"/>
      <c r="Q24" s="63"/>
      <c r="R24" s="63"/>
      <c r="S24" s="63"/>
      <c r="T24" s="63"/>
      <c r="U24" s="63"/>
      <c r="W24" s="26" t="s">
        <v>42</v>
      </c>
      <c r="X24" s="27"/>
      <c r="Y24" s="27"/>
      <c r="Z24" s="28"/>
      <c r="AB24" s="26" t="s">
        <v>43</v>
      </c>
      <c r="AC24" s="27"/>
      <c r="AD24" s="27"/>
      <c r="AE24" s="28"/>
    </row>
    <row r="25" spans="1:31" x14ac:dyDescent="0.25">
      <c r="A25" s="52">
        <f>(10+3*0.12)%</f>
        <v>0.1036</v>
      </c>
      <c r="B25" s="53"/>
      <c r="C25" s="53"/>
      <c r="D25" s="54"/>
      <c r="E25" s="55">
        <f ca="1">(M7-N7)-E27</f>
        <v>176.30029626718681</v>
      </c>
      <c r="F25" s="55"/>
      <c r="I25" s="56" t="s">
        <v>7</v>
      </c>
      <c r="J25" s="57"/>
      <c r="K25" s="57"/>
      <c r="L25" s="58"/>
      <c r="N25" s="59" t="s">
        <v>7</v>
      </c>
      <c r="O25" s="60"/>
      <c r="P25" s="60"/>
      <c r="Q25" s="60"/>
      <c r="R25" s="60"/>
      <c r="S25" s="60"/>
      <c r="T25" s="60"/>
      <c r="U25" s="60"/>
      <c r="W25" s="56" t="s">
        <v>7</v>
      </c>
      <c r="X25" s="57"/>
      <c r="Y25" s="57"/>
      <c r="Z25" s="58"/>
      <c r="AB25" s="56" t="s">
        <v>7</v>
      </c>
      <c r="AC25" s="57"/>
      <c r="AD25" s="57"/>
      <c r="AE25" s="58"/>
    </row>
    <row r="26" spans="1:31" x14ac:dyDescent="0.25">
      <c r="A26" s="51" t="s">
        <v>44</v>
      </c>
      <c r="B26" s="51"/>
      <c r="C26" s="51"/>
      <c r="D26" s="51"/>
      <c r="E26" s="55" t="s">
        <v>45</v>
      </c>
      <c r="F26" s="55"/>
      <c r="I26" s="2"/>
      <c r="J26" s="24">
        <v>10</v>
      </c>
      <c r="K26" s="24">
        <v>11</v>
      </c>
      <c r="L26" s="24">
        <v>12</v>
      </c>
      <c r="N26" s="2"/>
      <c r="O26" s="20" t="s">
        <v>46</v>
      </c>
      <c r="P26" s="20" t="s">
        <v>47</v>
      </c>
      <c r="Q26" s="20" t="s">
        <v>48</v>
      </c>
      <c r="R26" s="24">
        <v>11</v>
      </c>
      <c r="S26" s="24">
        <v>13</v>
      </c>
      <c r="T26" s="24">
        <v>14</v>
      </c>
      <c r="U26" s="24" t="s">
        <v>49</v>
      </c>
      <c r="W26" s="2"/>
      <c r="X26" s="24">
        <v>12</v>
      </c>
      <c r="Y26" s="24">
        <v>15</v>
      </c>
      <c r="Z26" s="24">
        <v>16</v>
      </c>
      <c r="AB26" s="2"/>
      <c r="AC26" s="24">
        <v>15</v>
      </c>
      <c r="AD26" s="24" t="s">
        <v>50</v>
      </c>
      <c r="AE26" s="24" t="s">
        <v>51</v>
      </c>
    </row>
    <row r="27" spans="1:31" x14ac:dyDescent="0.25">
      <c r="A27" s="50">
        <f>(1.2)/100</f>
        <v>1.2E-2</v>
      </c>
      <c r="B27" s="50"/>
      <c r="C27" s="50"/>
      <c r="D27" s="50"/>
      <c r="E27" s="61">
        <f ca="1">M18+E29</f>
        <v>663.22492405274841</v>
      </c>
      <c r="F27" s="55"/>
      <c r="I27" s="2" t="s">
        <v>18</v>
      </c>
      <c r="J27" s="1">
        <f t="shared" ref="J27:J34" ca="1" si="15">AB5</f>
        <v>598.95982002674793</v>
      </c>
      <c r="K27" s="9">
        <f t="shared" ref="K27:K33" ca="1" si="16">J46*J27</f>
        <v>598.95982002674793</v>
      </c>
      <c r="L27" s="1">
        <f t="shared" ref="L27:L33" ca="1" si="17">K46*J27</f>
        <v>0</v>
      </c>
      <c r="N27" s="2" t="s">
        <v>18</v>
      </c>
      <c r="O27" s="21">
        <f>AC5-V5</f>
        <v>0</v>
      </c>
      <c r="P27" s="21">
        <v>0</v>
      </c>
      <c r="Q27" s="21">
        <f>O27+P27</f>
        <v>0</v>
      </c>
      <c r="R27" s="9">
        <f ca="1">K27</f>
        <v>598.95982002674793</v>
      </c>
      <c r="S27" s="1">
        <f ca="1">0.999*R27</f>
        <v>598.36086020672121</v>
      </c>
      <c r="T27" s="1">
        <f ca="1">0.001*R27</f>
        <v>0.59895982002674797</v>
      </c>
      <c r="U27" s="1">
        <f t="shared" ref="U27:U33" ca="1" si="18">T27*$H$7</f>
        <v>0</v>
      </c>
      <c r="W27" s="2" t="s">
        <v>18</v>
      </c>
      <c r="X27" s="1">
        <f t="shared" ref="X27:X34" ca="1" si="19">L27</f>
        <v>0</v>
      </c>
      <c r="Y27" s="1">
        <f ca="1">AC27</f>
        <v>0</v>
      </c>
      <c r="Z27" s="1">
        <v>0</v>
      </c>
      <c r="AB27" s="2" t="s">
        <v>18</v>
      </c>
      <c r="AC27" s="1">
        <f t="shared" ref="AC27:AC34" ca="1" si="20">Y27</f>
        <v>0</v>
      </c>
      <c r="AD27" s="1">
        <f>$A$74*AE27</f>
        <v>0</v>
      </c>
      <c r="AE27" s="1">
        <v>0</v>
      </c>
    </row>
    <row r="28" spans="1:31" x14ac:dyDescent="0.25">
      <c r="A28" s="51" t="s">
        <v>52</v>
      </c>
      <c r="B28" s="51"/>
      <c r="C28" s="51"/>
      <c r="D28" s="51"/>
      <c r="E28" s="55" t="s">
        <v>53</v>
      </c>
      <c r="F28" s="55"/>
      <c r="I28" s="2" t="s">
        <v>22</v>
      </c>
      <c r="J28" s="1">
        <f t="shared" ca="1" si="15"/>
        <v>2.0146900853170978E-8</v>
      </c>
      <c r="K28" s="9">
        <f t="shared" ca="1" si="16"/>
        <v>2.0146900853170978E-8</v>
      </c>
      <c r="L28" s="1">
        <f t="shared" ca="1" si="17"/>
        <v>0</v>
      </c>
      <c r="N28" s="2" t="s">
        <v>22</v>
      </c>
      <c r="O28" s="21">
        <f t="shared" ref="O28:O33" si="21">AC6-V6</f>
        <v>0</v>
      </c>
      <c r="P28" s="21">
        <v>0</v>
      </c>
      <c r="Q28" s="21">
        <f t="shared" ref="Q28:Q33" si="22">O28+P28</f>
        <v>0</v>
      </c>
      <c r="R28" s="9">
        <f t="shared" ref="R28:R34" ca="1" si="23">K28</f>
        <v>2.0146900853170978E-8</v>
      </c>
      <c r="S28" s="1">
        <f ca="1">0.999*R28</f>
        <v>2.0126753952317805E-8</v>
      </c>
      <c r="T28" s="1">
        <f ca="1">0.001*R28</f>
        <v>2.014690085317098E-11</v>
      </c>
      <c r="U28" s="1">
        <f t="shared" ca="1" si="18"/>
        <v>0</v>
      </c>
      <c r="W28" s="2" t="s">
        <v>22</v>
      </c>
      <c r="X28" s="1">
        <f t="shared" ca="1" si="19"/>
        <v>0</v>
      </c>
      <c r="Y28" s="1">
        <f t="shared" ref="Y28:Y33" ca="1" si="24">AC28</f>
        <v>0</v>
      </c>
      <c r="Z28" s="1">
        <v>0</v>
      </c>
      <c r="AB28" s="2" t="s">
        <v>22</v>
      </c>
      <c r="AC28" s="1">
        <f t="shared" ca="1" si="20"/>
        <v>0</v>
      </c>
      <c r="AD28" s="1">
        <f t="shared" ref="AD28:AD33" si="25">$A$74*AE28</f>
        <v>0</v>
      </c>
      <c r="AE28" s="1">
        <v>0</v>
      </c>
    </row>
    <row r="29" spans="1:31" x14ac:dyDescent="0.25">
      <c r="A29" s="50">
        <f>(79)/100</f>
        <v>0.79</v>
      </c>
      <c r="B29" s="50"/>
      <c r="C29" s="50"/>
      <c r="D29" s="50"/>
      <c r="E29" s="55">
        <f ca="1">A29*A25*M7</f>
        <v>663.22492405274841</v>
      </c>
      <c r="F29" s="55"/>
      <c r="I29" s="2" t="s">
        <v>25</v>
      </c>
      <c r="J29" s="1">
        <f t="shared" ca="1" si="15"/>
        <v>36.320000361717632</v>
      </c>
      <c r="K29" s="9">
        <f t="shared" ca="1" si="16"/>
        <v>36.320000361717632</v>
      </c>
      <c r="L29" s="1">
        <f t="shared" ca="1" si="17"/>
        <v>0</v>
      </c>
      <c r="N29" s="2" t="s">
        <v>25</v>
      </c>
      <c r="O29" s="21">
        <f t="shared" si="21"/>
        <v>0</v>
      </c>
      <c r="P29" s="21">
        <v>0</v>
      </c>
      <c r="Q29" s="21">
        <f t="shared" si="22"/>
        <v>0</v>
      </c>
      <c r="R29" s="9">
        <f t="shared" ca="1" si="23"/>
        <v>36.320000361717632</v>
      </c>
      <c r="S29" s="1"/>
      <c r="T29" s="1"/>
      <c r="U29" s="1">
        <f t="shared" si="18"/>
        <v>0</v>
      </c>
      <c r="W29" s="2" t="s">
        <v>25</v>
      </c>
      <c r="X29" s="1">
        <f t="shared" ca="1" si="19"/>
        <v>0</v>
      </c>
      <c r="Y29" s="1">
        <f t="shared" ca="1" si="24"/>
        <v>0</v>
      </c>
      <c r="Z29" s="1">
        <v>0</v>
      </c>
      <c r="AB29" s="2" t="s">
        <v>25</v>
      </c>
      <c r="AC29" s="1">
        <f t="shared" ca="1" si="20"/>
        <v>0</v>
      </c>
      <c r="AD29" s="1">
        <f t="shared" si="25"/>
        <v>0</v>
      </c>
      <c r="AE29" s="1">
        <v>0</v>
      </c>
    </row>
    <row r="30" spans="1:31" x14ac:dyDescent="0.25">
      <c r="A30" s="67" t="s">
        <v>54</v>
      </c>
      <c r="B30" s="67"/>
      <c r="C30" s="67"/>
      <c r="D30" s="67"/>
      <c r="E30" s="55" t="s">
        <v>55</v>
      </c>
      <c r="F30" s="55"/>
      <c r="I30" s="2" t="s">
        <v>27</v>
      </c>
      <c r="J30" s="1">
        <f t="shared" ca="1" si="15"/>
        <v>652.64253637567049</v>
      </c>
      <c r="K30" s="9">
        <f t="shared" ca="1" si="16"/>
        <v>0.65264253637567105</v>
      </c>
      <c r="L30" s="1">
        <f t="shared" ca="1" si="17"/>
        <v>651.98989383929484</v>
      </c>
      <c r="N30" s="2" t="s">
        <v>27</v>
      </c>
      <c r="O30" s="21">
        <f t="shared" si="21"/>
        <v>0</v>
      </c>
      <c r="P30" s="21">
        <v>0</v>
      </c>
      <c r="Q30" s="21">
        <f t="shared" si="22"/>
        <v>0</v>
      </c>
      <c r="R30" s="9">
        <f t="shared" ca="1" si="23"/>
        <v>0.65264253637567105</v>
      </c>
      <c r="S30" s="1">
        <v>0</v>
      </c>
      <c r="T30" s="9">
        <f ca="1">R30</f>
        <v>0.65264253637567105</v>
      </c>
      <c r="U30" s="1">
        <f t="shared" ca="1" si="18"/>
        <v>0</v>
      </c>
      <c r="W30" s="2" t="s">
        <v>27</v>
      </c>
      <c r="X30" s="1">
        <f t="shared" ca="1" si="19"/>
        <v>651.98989383929484</v>
      </c>
      <c r="Y30" s="1">
        <f ca="1">X30</f>
        <v>651.98989383929484</v>
      </c>
      <c r="Z30" s="1">
        <v>0</v>
      </c>
      <c r="AB30" s="2" t="s">
        <v>27</v>
      </c>
      <c r="AC30" s="1">
        <f t="shared" ca="1" si="20"/>
        <v>651.98989383929484</v>
      </c>
      <c r="AD30" s="1">
        <f ca="1">($A$74/3)*AC30</f>
        <v>434.65992922619654</v>
      </c>
      <c r="AE30" s="1">
        <f ca="1">1/3*AC30</f>
        <v>217.32996461309827</v>
      </c>
    </row>
    <row r="31" spans="1:31" x14ac:dyDescent="0.25">
      <c r="A31" s="67" t="s">
        <v>56</v>
      </c>
      <c r="B31" s="67"/>
      <c r="C31" s="67"/>
      <c r="D31" s="67"/>
      <c r="E31" s="55">
        <f ca="1">(1-A29)*A25*M7</f>
        <v>176.30029626718624</v>
      </c>
      <c r="F31" s="55"/>
      <c r="I31" s="2" t="s">
        <v>20</v>
      </c>
      <c r="J31" s="1">
        <f t="shared" ca="1" si="15"/>
        <v>7.9586990886329811</v>
      </c>
      <c r="K31" s="22">
        <f t="shared" ca="1" si="16"/>
        <v>0</v>
      </c>
      <c r="L31" s="1">
        <f t="shared" ca="1" si="17"/>
        <v>7.9586990886329811</v>
      </c>
      <c r="N31" s="2" t="s">
        <v>20</v>
      </c>
      <c r="O31" s="21">
        <f t="shared" si="21"/>
        <v>0</v>
      </c>
      <c r="P31" s="21">
        <v>0</v>
      </c>
      <c r="Q31" s="21">
        <f t="shared" si="22"/>
        <v>0</v>
      </c>
      <c r="R31" s="9">
        <f t="shared" ca="1" si="23"/>
        <v>0</v>
      </c>
      <c r="S31" s="1"/>
      <c r="T31" s="1"/>
      <c r="U31" s="1">
        <f t="shared" si="18"/>
        <v>0</v>
      </c>
      <c r="W31" s="2" t="s">
        <v>20</v>
      </c>
      <c r="X31" s="1">
        <f t="shared" ca="1" si="19"/>
        <v>7.9586990886329811</v>
      </c>
      <c r="Y31" s="1">
        <f ca="1">Y41*Y34</f>
        <v>5.2579830148330231</v>
      </c>
      <c r="Z31" s="1">
        <f ca="1">X31-Y31</f>
        <v>2.700716073799958</v>
      </c>
      <c r="AB31" s="2" t="s">
        <v>20</v>
      </c>
      <c r="AC31" s="1">
        <f t="shared" ca="1" si="20"/>
        <v>5.2579830148330231</v>
      </c>
      <c r="AD31" s="1">
        <f ca="1">($A$74/3)*AC31</f>
        <v>3.5053220098886819</v>
      </c>
      <c r="AE31" s="1">
        <f ca="1">1/3*AC31</f>
        <v>1.752661004944341</v>
      </c>
    </row>
    <row r="32" spans="1:31" x14ac:dyDescent="0.25">
      <c r="A32" s="64" t="s">
        <v>30</v>
      </c>
      <c r="B32" s="65"/>
      <c r="C32" s="65"/>
      <c r="D32" s="66"/>
      <c r="I32" s="2" t="s">
        <v>30</v>
      </c>
      <c r="J32" s="1">
        <f t="shared" ca="1" si="15"/>
        <v>264.11756081970952</v>
      </c>
      <c r="K32" s="22">
        <f t="shared" ca="1" si="16"/>
        <v>0</v>
      </c>
      <c r="L32" s="1">
        <f t="shared" ca="1" si="17"/>
        <v>264.11756081970952</v>
      </c>
      <c r="N32" s="2" t="s">
        <v>30</v>
      </c>
      <c r="O32" s="21">
        <f ca="1">AC10-V10</f>
        <v>2.1425319970367127</v>
      </c>
      <c r="P32" s="21">
        <f>P34</f>
        <v>13.999996703735235</v>
      </c>
      <c r="Q32" s="21">
        <f ca="1">O32+P32</f>
        <v>16.142528700771948</v>
      </c>
      <c r="R32" s="9">
        <f t="shared" ca="1" si="23"/>
        <v>0</v>
      </c>
      <c r="S32" s="1"/>
      <c r="T32" s="1"/>
      <c r="U32" s="1">
        <f t="shared" si="18"/>
        <v>0</v>
      </c>
      <c r="W32" s="2" t="s">
        <v>30</v>
      </c>
      <c r="X32" s="1">
        <f t="shared" ca="1" si="19"/>
        <v>264.11756081970952</v>
      </c>
      <c r="Y32" s="1">
        <f t="shared" ca="1" si="24"/>
        <v>0</v>
      </c>
      <c r="Z32" s="1">
        <f ca="1">X32</f>
        <v>264.11756081970952</v>
      </c>
      <c r="AB32" s="2" t="s">
        <v>30</v>
      </c>
      <c r="AC32" s="1">
        <f t="shared" ca="1" si="20"/>
        <v>0</v>
      </c>
      <c r="AD32" s="1">
        <f t="shared" si="25"/>
        <v>0</v>
      </c>
      <c r="AE32" s="1">
        <v>0</v>
      </c>
    </row>
    <row r="33" spans="1:31" x14ac:dyDescent="0.25">
      <c r="A33" s="67" t="s">
        <v>57</v>
      </c>
      <c r="B33" s="67"/>
      <c r="C33" s="67"/>
      <c r="D33" s="67"/>
      <c r="I33" s="2" t="s">
        <v>32</v>
      </c>
      <c r="J33" s="1">
        <f t="shared" ca="1" si="15"/>
        <v>24.706748225631788</v>
      </c>
      <c r="K33" s="9">
        <f t="shared" ca="1" si="16"/>
        <v>24.706748225631788</v>
      </c>
      <c r="L33" s="1">
        <f t="shared" ca="1" si="17"/>
        <v>0</v>
      </c>
      <c r="N33" s="2" t="s">
        <v>32</v>
      </c>
      <c r="O33" s="21">
        <f t="shared" si="21"/>
        <v>0</v>
      </c>
      <c r="P33" s="21">
        <v>0</v>
      </c>
      <c r="Q33" s="21">
        <f t="shared" si="22"/>
        <v>0</v>
      </c>
      <c r="R33" s="9">
        <f t="shared" ca="1" si="23"/>
        <v>24.706748225631788</v>
      </c>
      <c r="S33" s="1">
        <f ca="1">0.999*R33</f>
        <v>24.682041477406155</v>
      </c>
      <c r="T33" s="1">
        <f ca="1">0.001*R33</f>
        <v>2.4706748225631788E-2</v>
      </c>
      <c r="U33" s="1">
        <f t="shared" ca="1" si="18"/>
        <v>0</v>
      </c>
      <c r="W33" s="2" t="s">
        <v>32</v>
      </c>
      <c r="X33" s="1">
        <f t="shared" ca="1" si="19"/>
        <v>0</v>
      </c>
      <c r="Y33" s="1">
        <f t="shared" ca="1" si="24"/>
        <v>0</v>
      </c>
      <c r="Z33" s="1">
        <v>0</v>
      </c>
      <c r="AB33" s="2" t="s">
        <v>32</v>
      </c>
      <c r="AC33" s="1">
        <f t="shared" ca="1" si="20"/>
        <v>0</v>
      </c>
      <c r="AD33" s="1">
        <f t="shared" si="25"/>
        <v>0</v>
      </c>
      <c r="AE33" s="1">
        <v>0</v>
      </c>
    </row>
    <row r="34" spans="1:31" x14ac:dyDescent="0.25">
      <c r="A34" s="64">
        <v>1</v>
      </c>
      <c r="B34" s="65"/>
      <c r="C34" s="65"/>
      <c r="D34" s="66"/>
      <c r="I34" s="2" t="s">
        <v>34</v>
      </c>
      <c r="J34" s="2">
        <f t="shared" ca="1" si="15"/>
        <v>1584.7053649182574</v>
      </c>
      <c r="K34" s="10">
        <f ca="1">SUM(K27:K33)</f>
        <v>660.63921117062</v>
      </c>
      <c r="L34" s="2">
        <f ca="1">SUM(L27:L33)</f>
        <v>924.06615374763737</v>
      </c>
      <c r="M34" s="8"/>
      <c r="N34" s="2" t="s">
        <v>34</v>
      </c>
      <c r="O34" s="21">
        <f ca="1">SUM(O27:O33)</f>
        <v>2.1425319970367127</v>
      </c>
      <c r="P34" s="21">
        <f>H8</f>
        <v>13.999996703735235</v>
      </c>
      <c r="Q34" s="21">
        <f ca="1">SUM(Q27:Q33)</f>
        <v>16.142528700771948</v>
      </c>
      <c r="R34" s="2">
        <f t="shared" ca="1" si="23"/>
        <v>660.63921117062</v>
      </c>
      <c r="S34" s="2">
        <f ca="1">SUM(S27:S33)</f>
        <v>623.04290170425418</v>
      </c>
      <c r="T34" s="2">
        <f ca="1">SUM(T27:T33)</f>
        <v>1.2763091046481976</v>
      </c>
      <c r="U34" s="2">
        <f ca="1">SUM(U27:U33)</f>
        <v>0</v>
      </c>
      <c r="W34" s="2" t="s">
        <v>34</v>
      </c>
      <c r="X34" s="2">
        <f t="shared" ca="1" si="19"/>
        <v>924.06615374763737</v>
      </c>
      <c r="Y34" s="2">
        <f ca="1">Y30/Y40</f>
        <v>657.24787685412787</v>
      </c>
      <c r="Z34" s="2">
        <f ca="1">SUM(Z27:Z33)</f>
        <v>266.81827689350951</v>
      </c>
      <c r="AB34" s="2" t="s">
        <v>34</v>
      </c>
      <c r="AC34" s="2">
        <f t="shared" ca="1" si="20"/>
        <v>657.24787685412787</v>
      </c>
      <c r="AD34" s="2">
        <f ca="1">2/3*AC34</f>
        <v>438.16525123608523</v>
      </c>
      <c r="AE34" s="19">
        <f ca="1">1/3*AC34</f>
        <v>219.08262561804261</v>
      </c>
    </row>
    <row r="35" spans="1:31" x14ac:dyDescent="0.25">
      <c r="A35" s="67" t="s">
        <v>58</v>
      </c>
      <c r="B35" s="67"/>
      <c r="C35" s="67"/>
      <c r="D35" s="67"/>
      <c r="I35" s="56" t="s">
        <v>35</v>
      </c>
      <c r="J35" s="57"/>
      <c r="K35" s="57"/>
      <c r="L35" s="58"/>
      <c r="N35" s="56" t="s">
        <v>35</v>
      </c>
      <c r="O35" s="57"/>
      <c r="P35" s="57"/>
      <c r="Q35" s="57"/>
      <c r="R35" s="57"/>
      <c r="S35" s="57"/>
      <c r="T35" s="57"/>
      <c r="U35" s="58"/>
      <c r="W35" s="56" t="s">
        <v>35</v>
      </c>
      <c r="X35" s="57"/>
      <c r="Y35" s="57"/>
      <c r="Z35" s="58"/>
      <c r="AB35" s="56" t="s">
        <v>35</v>
      </c>
      <c r="AC35" s="57"/>
      <c r="AD35" s="57"/>
      <c r="AE35" s="68"/>
    </row>
    <row r="36" spans="1:31" x14ac:dyDescent="0.25">
      <c r="A36" s="64">
        <f>1/100</f>
        <v>0.01</v>
      </c>
      <c r="B36" s="65"/>
      <c r="C36" s="65"/>
      <c r="D36" s="66"/>
      <c r="I36" s="2"/>
      <c r="J36" s="24">
        <v>10</v>
      </c>
      <c r="K36" s="24">
        <v>11</v>
      </c>
      <c r="L36" s="24">
        <v>12</v>
      </c>
      <c r="N36" s="2"/>
      <c r="O36" s="20" t="s">
        <v>46</v>
      </c>
      <c r="P36" s="20">
        <v>9</v>
      </c>
      <c r="Q36" s="20" t="s">
        <v>48</v>
      </c>
      <c r="R36" s="24">
        <v>11</v>
      </c>
      <c r="S36" s="24">
        <v>13</v>
      </c>
      <c r="T36" s="24">
        <v>14</v>
      </c>
      <c r="U36" s="24" t="s">
        <v>59</v>
      </c>
      <c r="W36" s="2"/>
      <c r="X36" s="24">
        <v>15</v>
      </c>
      <c r="Y36" s="24" t="s">
        <v>50</v>
      </c>
      <c r="Z36" s="24">
        <v>16</v>
      </c>
      <c r="AB36" s="2"/>
      <c r="AC36" s="24">
        <v>15</v>
      </c>
      <c r="AD36" s="24" t="s">
        <v>50</v>
      </c>
      <c r="AE36" s="24" t="s">
        <v>51</v>
      </c>
    </row>
    <row r="37" spans="1:31" x14ac:dyDescent="0.25">
      <c r="A37" s="67" t="s">
        <v>60</v>
      </c>
      <c r="B37" s="67"/>
      <c r="C37" s="67"/>
      <c r="D37" s="67"/>
      <c r="H37" s="7"/>
      <c r="I37" s="2" t="s">
        <v>18</v>
      </c>
      <c r="J37" s="1">
        <f t="shared" ref="J37:J43" ca="1" si="26">J27/$J$34</f>
        <v>0.37796289031787533</v>
      </c>
      <c r="K37" s="1">
        <f t="shared" ref="K37:K43" ca="1" si="27">K27/$K$34</f>
        <v>0.90663679948003806</v>
      </c>
      <c r="L37" s="1">
        <f t="shared" ref="L37:L43" ca="1" si="28">L27/$L$34</f>
        <v>0</v>
      </c>
      <c r="N37" s="2" t="s">
        <v>18</v>
      </c>
      <c r="O37" s="21">
        <v>0</v>
      </c>
      <c r="P37" s="21">
        <v>0</v>
      </c>
      <c r="Q37" s="21">
        <f ca="1">Q27/Q$34</f>
        <v>0</v>
      </c>
      <c r="R37" s="1">
        <f ca="1">K37</f>
        <v>0.90663679948003806</v>
      </c>
      <c r="S37" s="1">
        <f ca="1">S27/$S$34</f>
        <v>0.96038468389573428</v>
      </c>
      <c r="T37" s="1">
        <f ca="1">T27/$T$34</f>
        <v>0.46929056436672956</v>
      </c>
      <c r="U37" s="1" t="e">
        <f ca="1">U27/$U$34</f>
        <v>#DIV/0!</v>
      </c>
      <c r="W37" s="2" t="s">
        <v>18</v>
      </c>
      <c r="X37" s="1">
        <f t="shared" ref="X37:X44" ca="1" si="29">L37</f>
        <v>0</v>
      </c>
      <c r="Y37" s="1">
        <v>0</v>
      </c>
      <c r="Z37" s="1">
        <v>0</v>
      </c>
      <c r="AB37" s="2" t="s">
        <v>18</v>
      </c>
      <c r="AC37" s="1">
        <f ca="1">AC27/AC$34</f>
        <v>0</v>
      </c>
      <c r="AD37" s="1">
        <f ca="1">AD27/AD$34</f>
        <v>0</v>
      </c>
      <c r="AE37" s="1">
        <f ca="1">AE27/AE$34</f>
        <v>0</v>
      </c>
    </row>
    <row r="38" spans="1:31" x14ac:dyDescent="0.25">
      <c r="A38" s="64">
        <v>0.995</v>
      </c>
      <c r="B38" s="65"/>
      <c r="C38" s="65"/>
      <c r="D38" s="66"/>
      <c r="H38" s="7"/>
      <c r="I38" s="2" t="s">
        <v>22</v>
      </c>
      <c r="J38" s="1">
        <f t="shared" ca="1" si="26"/>
        <v>1.2713341734796361E-11</v>
      </c>
      <c r="K38" s="1">
        <f t="shared" ca="1" si="27"/>
        <v>3.0496071853609271E-11</v>
      </c>
      <c r="L38" s="1">
        <f t="shared" ca="1" si="28"/>
        <v>0</v>
      </c>
      <c r="N38" s="2" t="s">
        <v>22</v>
      </c>
      <c r="O38" s="21">
        <v>0</v>
      </c>
      <c r="P38" s="21">
        <v>0</v>
      </c>
      <c r="Q38" s="21">
        <f t="shared" ref="Q38:Q43" ca="1" si="30">Q28/Q$34</f>
        <v>0</v>
      </c>
      <c r="R38" s="1">
        <f t="shared" ref="R38:R44" ca="1" si="31">K38</f>
        <v>3.0496071853609271E-11</v>
      </c>
      <c r="S38" s="1">
        <f t="shared" ref="S38:S43" ca="1" si="32">S28/$S$34</f>
        <v>3.2303961568719655E-11</v>
      </c>
      <c r="T38" s="1">
        <f t="shared" ref="T38:T43" ca="1" si="33">T28/$T$34</f>
        <v>1.5785283345388562E-11</v>
      </c>
      <c r="U38" s="1" t="e">
        <f t="shared" ref="U38:U43" ca="1" si="34">U28/$U$34</f>
        <v>#DIV/0!</v>
      </c>
      <c r="W38" s="2" t="s">
        <v>22</v>
      </c>
      <c r="X38" s="1">
        <f t="shared" ca="1" si="29"/>
        <v>0</v>
      </c>
      <c r="Y38" s="1">
        <v>0</v>
      </c>
      <c r="Z38" s="1">
        <v>0</v>
      </c>
      <c r="AB38" s="2" t="s">
        <v>22</v>
      </c>
      <c r="AC38" s="1">
        <f t="shared" ref="AC38:AE43" ca="1" si="35">AC28/AC$34</f>
        <v>0</v>
      </c>
      <c r="AD38" s="1">
        <f t="shared" ca="1" si="35"/>
        <v>0</v>
      </c>
      <c r="AE38" s="1">
        <f t="shared" ca="1" si="35"/>
        <v>0</v>
      </c>
    </row>
    <row r="39" spans="1:31" x14ac:dyDescent="0.25">
      <c r="A39" s="67" t="s">
        <v>61</v>
      </c>
      <c r="B39" s="67"/>
      <c r="C39" s="67"/>
      <c r="D39" s="67"/>
      <c r="H39" s="7"/>
      <c r="I39" s="2" t="s">
        <v>25</v>
      </c>
      <c r="J39" s="1">
        <f t="shared" ca="1" si="26"/>
        <v>2.2919087147528588E-2</v>
      </c>
      <c r="K39" s="1">
        <f t="shared" ca="1" si="27"/>
        <v>5.4977058199982387E-2</v>
      </c>
      <c r="L39" s="1">
        <f t="shared" ca="1" si="28"/>
        <v>0</v>
      </c>
      <c r="N39" s="2" t="s">
        <v>25</v>
      </c>
      <c r="O39" s="21">
        <v>0</v>
      </c>
      <c r="P39" s="21">
        <v>0</v>
      </c>
      <c r="Q39" s="21">
        <f t="shared" ca="1" si="30"/>
        <v>0</v>
      </c>
      <c r="R39" s="1">
        <f t="shared" ca="1" si="31"/>
        <v>5.4977058199982387E-2</v>
      </c>
      <c r="S39" s="1">
        <f t="shared" ca="1" si="32"/>
        <v>0</v>
      </c>
      <c r="T39" s="1">
        <f t="shared" ca="1" si="33"/>
        <v>0</v>
      </c>
      <c r="U39" s="1" t="e">
        <f t="shared" ca="1" si="34"/>
        <v>#DIV/0!</v>
      </c>
      <c r="W39" s="2" t="s">
        <v>25</v>
      </c>
      <c r="X39" s="1">
        <f t="shared" ca="1" si="29"/>
        <v>0</v>
      </c>
      <c r="Y39" s="1">
        <v>0</v>
      </c>
      <c r="Z39" s="1">
        <v>0</v>
      </c>
      <c r="AB39" s="2" t="s">
        <v>25</v>
      </c>
      <c r="AC39" s="1">
        <f t="shared" ca="1" si="35"/>
        <v>0</v>
      </c>
      <c r="AD39" s="1">
        <f t="shared" ca="1" si="35"/>
        <v>0</v>
      </c>
      <c r="AE39" s="1">
        <f t="shared" ca="1" si="35"/>
        <v>0</v>
      </c>
    </row>
    <row r="40" spans="1:31" x14ac:dyDescent="0.25">
      <c r="A40" s="64">
        <f>2/100</f>
        <v>0.02</v>
      </c>
      <c r="B40" s="65"/>
      <c r="C40" s="65"/>
      <c r="D40" s="66"/>
      <c r="H40" s="7"/>
      <c r="I40" s="2" t="s">
        <v>27</v>
      </c>
      <c r="J40" s="1">
        <f t="shared" ca="1" si="26"/>
        <v>0.41183840909716063</v>
      </c>
      <c r="K40" s="1">
        <f t="shared" ca="1" si="27"/>
        <v>9.8789554925027951E-4</v>
      </c>
      <c r="L40" s="1">
        <f t="shared" ca="1" si="28"/>
        <v>0.70556625323315691</v>
      </c>
      <c r="N40" s="2" t="s">
        <v>27</v>
      </c>
      <c r="O40" s="21">
        <v>0</v>
      </c>
      <c r="P40" s="21">
        <v>0</v>
      </c>
      <c r="Q40" s="21">
        <f t="shared" ca="1" si="30"/>
        <v>0</v>
      </c>
      <c r="R40" s="1">
        <f t="shared" ca="1" si="31"/>
        <v>9.8789554925027951E-4</v>
      </c>
      <c r="S40" s="1">
        <f t="shared" ca="1" si="32"/>
        <v>0</v>
      </c>
      <c r="T40" s="1">
        <f t="shared" ca="1" si="33"/>
        <v>0.51135146963914024</v>
      </c>
      <c r="U40" s="1" t="e">
        <f t="shared" ca="1" si="34"/>
        <v>#DIV/0!</v>
      </c>
      <c r="W40" s="2" t="s">
        <v>27</v>
      </c>
      <c r="X40" s="1">
        <f t="shared" ca="1" si="29"/>
        <v>0.70556625323315691</v>
      </c>
      <c r="Y40" s="1">
        <f>1-Y41</f>
        <v>0.99199999999999999</v>
      </c>
      <c r="Z40" s="1">
        <v>0</v>
      </c>
      <c r="AB40" s="2" t="s">
        <v>27</v>
      </c>
      <c r="AC40" s="1">
        <f t="shared" ref="AC40:AD40" si="36">1-AC$41</f>
        <v>0.99199999999999999</v>
      </c>
      <c r="AD40" s="1">
        <f t="shared" si="36"/>
        <v>0.99199999999999999</v>
      </c>
      <c r="AE40" s="1">
        <f>1-AE$41</f>
        <v>0.99199999999999999</v>
      </c>
    </row>
    <row r="41" spans="1:31" x14ac:dyDescent="0.25">
      <c r="A41" s="67" t="s">
        <v>62</v>
      </c>
      <c r="B41" s="67"/>
      <c r="C41" s="67"/>
      <c r="D41" s="67"/>
      <c r="H41" s="7"/>
      <c r="I41" s="2" t="s">
        <v>20</v>
      </c>
      <c r="J41" s="1">
        <f t="shared" ca="1" si="26"/>
        <v>5.0221948286541633E-3</v>
      </c>
      <c r="K41" s="1">
        <f t="shared" ca="1" si="27"/>
        <v>0</v>
      </c>
      <c r="L41" s="1">
        <f t="shared" ca="1" si="28"/>
        <v>8.6126940764529973E-3</v>
      </c>
      <c r="N41" s="2" t="s">
        <v>20</v>
      </c>
      <c r="O41" s="21">
        <v>0</v>
      </c>
      <c r="P41" s="21">
        <v>0</v>
      </c>
      <c r="Q41" s="21">
        <f t="shared" ca="1" si="30"/>
        <v>0</v>
      </c>
      <c r="R41" s="1">
        <f t="shared" ca="1" si="31"/>
        <v>0</v>
      </c>
      <c r="S41" s="1">
        <f t="shared" ca="1" si="32"/>
        <v>0</v>
      </c>
      <c r="T41" s="1">
        <f t="shared" ca="1" si="33"/>
        <v>0</v>
      </c>
      <c r="U41" s="1" t="e">
        <f t="shared" ca="1" si="34"/>
        <v>#DIV/0!</v>
      </c>
      <c r="W41" s="2" t="s">
        <v>20</v>
      </c>
      <c r="X41" s="1">
        <f t="shared" ca="1" si="29"/>
        <v>8.6126940764529973E-3</v>
      </c>
      <c r="Y41" s="1">
        <f>H5</f>
        <v>8.0000000000000002E-3</v>
      </c>
      <c r="Z41" s="1">
        <f ca="1">Z31/Z34</f>
        <v>1.0121930571037484E-2</v>
      </c>
      <c r="AB41" s="2" t="s">
        <v>20</v>
      </c>
      <c r="AC41" s="1">
        <f>H5</f>
        <v>8.0000000000000002E-3</v>
      </c>
      <c r="AD41" s="1">
        <f>H5</f>
        <v>8.0000000000000002E-3</v>
      </c>
      <c r="AE41" s="1">
        <f>H5</f>
        <v>8.0000000000000002E-3</v>
      </c>
    </row>
    <row r="42" spans="1:31" x14ac:dyDescent="0.25">
      <c r="A42" s="64">
        <f>7/100</f>
        <v>7.0000000000000007E-2</v>
      </c>
      <c r="B42" s="65"/>
      <c r="C42" s="65"/>
      <c r="D42" s="66"/>
      <c r="H42" s="7"/>
      <c r="I42" s="2" t="s">
        <v>30</v>
      </c>
      <c r="J42" s="1">
        <f t="shared" ca="1" si="26"/>
        <v>0.16666666666666663</v>
      </c>
      <c r="K42" s="1">
        <f t="shared" ca="1" si="27"/>
        <v>0</v>
      </c>
      <c r="L42" s="1">
        <f t="shared" ca="1" si="28"/>
        <v>0.28582105269039004</v>
      </c>
      <c r="N42" s="2" t="s">
        <v>30</v>
      </c>
      <c r="O42" s="21">
        <v>1</v>
      </c>
      <c r="P42" s="21">
        <v>1</v>
      </c>
      <c r="Q42" s="21">
        <f t="shared" ca="1" si="30"/>
        <v>1</v>
      </c>
      <c r="R42" s="1">
        <f t="shared" ca="1" si="31"/>
        <v>0</v>
      </c>
      <c r="S42" s="1">
        <f t="shared" ca="1" si="32"/>
        <v>0</v>
      </c>
      <c r="T42" s="1">
        <f t="shared" ca="1" si="33"/>
        <v>0</v>
      </c>
      <c r="U42" s="1" t="e">
        <f t="shared" ca="1" si="34"/>
        <v>#DIV/0!</v>
      </c>
      <c r="W42" s="2" t="s">
        <v>30</v>
      </c>
      <c r="X42" s="1">
        <f t="shared" ca="1" si="29"/>
        <v>0.28582105269039004</v>
      </c>
      <c r="Y42" s="1">
        <v>0</v>
      </c>
      <c r="Z42" s="1">
        <f ca="1">Z32/Z34</f>
        <v>0.98987806942896239</v>
      </c>
      <c r="AB42" s="2" t="s">
        <v>30</v>
      </c>
      <c r="AC42" s="1">
        <f t="shared" ca="1" si="35"/>
        <v>0</v>
      </c>
      <c r="AD42" s="1">
        <f t="shared" ca="1" si="35"/>
        <v>0</v>
      </c>
      <c r="AE42" s="1">
        <f t="shared" ca="1" si="35"/>
        <v>0</v>
      </c>
    </row>
    <row r="43" spans="1:31" x14ac:dyDescent="0.25">
      <c r="A43" s="67" t="s">
        <v>63</v>
      </c>
      <c r="B43" s="67"/>
      <c r="C43" s="67"/>
      <c r="D43" s="67"/>
      <c r="H43" s="7"/>
      <c r="I43" s="2" t="s">
        <v>32</v>
      </c>
      <c r="J43" s="1">
        <f t="shared" ca="1" si="26"/>
        <v>1.5590751929401221E-2</v>
      </c>
      <c r="K43" s="1">
        <f t="shared" ca="1" si="27"/>
        <v>3.7398246740233072E-2</v>
      </c>
      <c r="L43" s="1">
        <f t="shared" ca="1" si="28"/>
        <v>0</v>
      </c>
      <c r="N43" s="2" t="s">
        <v>32</v>
      </c>
      <c r="O43" s="21">
        <v>0</v>
      </c>
      <c r="P43" s="21">
        <v>0</v>
      </c>
      <c r="Q43" s="21">
        <f t="shared" ca="1" si="30"/>
        <v>0</v>
      </c>
      <c r="R43" s="1">
        <f t="shared" ca="1" si="31"/>
        <v>3.7398246740233072E-2</v>
      </c>
      <c r="S43" s="1">
        <f t="shared" ca="1" si="32"/>
        <v>3.9615316071961636E-2</v>
      </c>
      <c r="T43" s="1">
        <f t="shared" ca="1" si="33"/>
        <v>1.9357965978345007E-2</v>
      </c>
      <c r="U43" s="1" t="e">
        <f t="shared" ca="1" si="34"/>
        <v>#DIV/0!</v>
      </c>
      <c r="W43" s="2" t="s">
        <v>32</v>
      </c>
      <c r="X43" s="1">
        <f t="shared" ca="1" si="29"/>
        <v>0</v>
      </c>
      <c r="Y43" s="1">
        <v>0</v>
      </c>
      <c r="Z43" s="1">
        <v>0</v>
      </c>
      <c r="AB43" s="2" t="s">
        <v>32</v>
      </c>
      <c r="AC43" s="1">
        <f t="shared" ca="1" si="35"/>
        <v>0</v>
      </c>
      <c r="AD43" s="1">
        <f t="shared" ca="1" si="35"/>
        <v>0</v>
      </c>
      <c r="AE43" s="1">
        <f t="shared" ca="1" si="35"/>
        <v>0</v>
      </c>
    </row>
    <row r="44" spans="1:31" x14ac:dyDescent="0.25">
      <c r="A44" s="64">
        <v>1.5E-3</v>
      </c>
      <c r="B44" s="65"/>
      <c r="C44" s="65"/>
      <c r="D44" s="66"/>
      <c r="I44" s="2" t="s">
        <v>34</v>
      </c>
      <c r="J44" s="2">
        <f ca="1">SUM(J37:J43)</f>
        <v>0.99999999999999989</v>
      </c>
      <c r="K44" s="2">
        <f ca="1">SUM(K37:K43)</f>
        <v>0.99999999999999978</v>
      </c>
      <c r="L44" s="2">
        <f ca="1">SUM(L37:L43)</f>
        <v>1</v>
      </c>
      <c r="N44" s="2" t="s">
        <v>34</v>
      </c>
      <c r="O44" s="21">
        <f>SUM(O37:O43)</f>
        <v>1</v>
      </c>
      <c r="P44" s="21">
        <f>SUM(P37:P43)</f>
        <v>1</v>
      </c>
      <c r="Q44" s="21">
        <f ca="1">SUM(Q37:Q43)</f>
        <v>1</v>
      </c>
      <c r="R44" s="2">
        <f t="shared" ca="1" si="31"/>
        <v>0.99999999999999978</v>
      </c>
      <c r="S44" s="2">
        <f ca="1">SUM(S37:S43)</f>
        <v>0.99999999999999989</v>
      </c>
      <c r="T44" s="2">
        <f ca="1">SUM(T37:T43)</f>
        <v>1</v>
      </c>
      <c r="U44" s="2" t="e">
        <f ca="1">SUM(U37:U43)</f>
        <v>#DIV/0!</v>
      </c>
      <c r="W44" s="2" t="s">
        <v>34</v>
      </c>
      <c r="X44" s="2">
        <f t="shared" ca="1" si="29"/>
        <v>1</v>
      </c>
      <c r="Y44" s="2">
        <f>SUM(Y37:Y43)</f>
        <v>1</v>
      </c>
      <c r="Z44" s="2">
        <f ca="1">SUM(Z37:Z43)</f>
        <v>0.99999999999999989</v>
      </c>
      <c r="AB44" s="2" t="s">
        <v>34</v>
      </c>
      <c r="AC44" s="2">
        <f ca="1">SUM(AC37:AC43)</f>
        <v>1</v>
      </c>
      <c r="AD44" s="2">
        <f ca="1">SUM(AD37:AD43)</f>
        <v>1</v>
      </c>
      <c r="AE44" s="2">
        <f ca="1">SUM(AE37:AE43)</f>
        <v>1</v>
      </c>
    </row>
    <row r="45" spans="1:31" x14ac:dyDescent="0.25">
      <c r="A45" s="67" t="s">
        <v>64</v>
      </c>
      <c r="B45" s="67"/>
      <c r="C45" s="67"/>
      <c r="D45" s="67"/>
      <c r="J45" t="s">
        <v>65</v>
      </c>
      <c r="K45" t="s">
        <v>66</v>
      </c>
    </row>
    <row r="46" spans="1:31" x14ac:dyDescent="0.25">
      <c r="A46" s="64">
        <f>0.5/100</f>
        <v>5.0000000000000001E-3</v>
      </c>
      <c r="B46" s="65"/>
      <c r="C46" s="65"/>
      <c r="D46" s="66"/>
      <c r="I46" t="str">
        <f t="shared" ref="I46:I52" si="37">I37</f>
        <v>N2</v>
      </c>
      <c r="J46">
        <f t="shared" ref="J46:J52" si="38">1-K46</f>
        <v>1</v>
      </c>
      <c r="K46">
        <v>0</v>
      </c>
    </row>
    <row r="47" spans="1:31" ht="15.75" thickBot="1" x14ac:dyDescent="0.3">
      <c r="A47" s="67" t="s">
        <v>67</v>
      </c>
      <c r="B47" s="67"/>
      <c r="C47" s="67"/>
      <c r="D47" s="67"/>
      <c r="I47" t="str">
        <f t="shared" si="37"/>
        <v>O2</v>
      </c>
      <c r="J47">
        <f t="shared" si="38"/>
        <v>1</v>
      </c>
      <c r="K47">
        <v>0</v>
      </c>
    </row>
    <row r="48" spans="1:31" x14ac:dyDescent="0.25">
      <c r="A48" s="64">
        <v>43</v>
      </c>
      <c r="B48" s="65"/>
      <c r="C48" s="65"/>
      <c r="D48" s="66"/>
      <c r="I48" t="str">
        <f t="shared" si="37"/>
        <v>C2H4</v>
      </c>
      <c r="J48">
        <f t="shared" si="38"/>
        <v>1</v>
      </c>
      <c r="K48">
        <v>0</v>
      </c>
      <c r="W48" s="76" t="s">
        <v>68</v>
      </c>
      <c r="X48" s="77"/>
      <c r="Y48" s="77"/>
      <c r="Z48" s="77"/>
      <c r="AA48" s="77"/>
      <c r="AB48" s="77"/>
      <c r="AC48" s="77"/>
      <c r="AD48" s="77"/>
      <c r="AE48" s="78"/>
    </row>
    <row r="49" spans="1:31" x14ac:dyDescent="0.25">
      <c r="A49" s="82" t="s">
        <v>69</v>
      </c>
      <c r="B49" s="82"/>
      <c r="C49" s="82"/>
      <c r="D49" s="82"/>
      <c r="I49" t="str">
        <f t="shared" si="37"/>
        <v>C2H4O</v>
      </c>
      <c r="J49">
        <f t="shared" si="38"/>
        <v>1.0000000000000009E-3</v>
      </c>
      <c r="K49">
        <v>0.999</v>
      </c>
      <c r="W49" s="79"/>
      <c r="X49" s="80"/>
      <c r="Y49" s="80"/>
      <c r="Z49" s="80"/>
      <c r="AA49" s="80"/>
      <c r="AB49" s="80"/>
      <c r="AC49" s="80"/>
      <c r="AD49" s="80"/>
      <c r="AE49" s="81"/>
    </row>
    <row r="50" spans="1:31" x14ac:dyDescent="0.25">
      <c r="A50" s="82" t="s">
        <v>70</v>
      </c>
      <c r="B50" s="82"/>
      <c r="C50" s="82"/>
      <c r="D50" s="82"/>
      <c r="I50" t="str">
        <f t="shared" si="37"/>
        <v>CH3CHO</v>
      </c>
      <c r="J50">
        <f t="shared" si="38"/>
        <v>0</v>
      </c>
      <c r="K50">
        <v>1</v>
      </c>
      <c r="W50" s="83" t="s">
        <v>42</v>
      </c>
      <c r="X50" s="27"/>
      <c r="Y50" s="27"/>
      <c r="Z50" s="28"/>
      <c r="AB50" s="26" t="s">
        <v>43</v>
      </c>
      <c r="AC50" s="27"/>
      <c r="AD50" s="27"/>
      <c r="AE50" s="84"/>
    </row>
    <row r="51" spans="1:31" x14ac:dyDescent="0.25">
      <c r="A51" s="69" t="s">
        <v>71</v>
      </c>
      <c r="B51" s="70"/>
      <c r="C51" s="70"/>
      <c r="D51" s="71"/>
      <c r="I51" t="str">
        <f t="shared" si="37"/>
        <v>H2O</v>
      </c>
      <c r="J51">
        <f t="shared" si="38"/>
        <v>0</v>
      </c>
      <c r="K51">
        <v>1</v>
      </c>
      <c r="W51" s="72" t="s">
        <v>7</v>
      </c>
      <c r="X51" s="57"/>
      <c r="Y51" s="57"/>
      <c r="Z51" s="58"/>
      <c r="AB51" s="56" t="s">
        <v>7</v>
      </c>
      <c r="AC51" s="57"/>
      <c r="AD51" s="57"/>
      <c r="AE51" s="73"/>
    </row>
    <row r="52" spans="1:31" x14ac:dyDescent="0.25">
      <c r="A52" s="32" t="s">
        <v>72</v>
      </c>
      <c r="B52" s="32"/>
      <c r="C52" s="32"/>
      <c r="D52" s="32"/>
      <c r="I52" t="str">
        <f t="shared" si="37"/>
        <v>CO2</v>
      </c>
      <c r="J52">
        <f t="shared" si="38"/>
        <v>1</v>
      </c>
      <c r="K52">
        <v>0</v>
      </c>
      <c r="W52" s="11"/>
      <c r="X52" s="24">
        <v>12</v>
      </c>
      <c r="Y52" s="24">
        <v>15</v>
      </c>
      <c r="Z52" s="24">
        <v>16</v>
      </c>
      <c r="AB52" s="2"/>
      <c r="AC52" s="24">
        <v>15</v>
      </c>
      <c r="AD52" s="24" t="s">
        <v>50</v>
      </c>
      <c r="AE52" s="12" t="s">
        <v>51</v>
      </c>
    </row>
    <row r="53" spans="1:31" x14ac:dyDescent="0.25">
      <c r="A53" s="32" t="s">
        <v>73</v>
      </c>
      <c r="B53" s="32"/>
      <c r="C53" s="32"/>
      <c r="D53" s="32"/>
      <c r="W53" s="11" t="s">
        <v>18</v>
      </c>
      <c r="X53" s="1"/>
      <c r="Y53" s="1">
        <f t="shared" ref="Y53:Y60" si="39">AC53</f>
        <v>0</v>
      </c>
      <c r="Z53" s="1">
        <v>0</v>
      </c>
      <c r="AB53" s="2" t="s">
        <v>18</v>
      </c>
      <c r="AC53" s="1">
        <f t="shared" ref="AC53:AC59" si="40">SUM(AD53:AE53)</f>
        <v>0</v>
      </c>
      <c r="AD53" s="1">
        <f t="shared" ref="AD53:AD59" si="41">$A$74*AE53</f>
        <v>0</v>
      </c>
      <c r="AE53" s="13">
        <v>0</v>
      </c>
    </row>
    <row r="54" spans="1:31" x14ac:dyDescent="0.25">
      <c r="A54" s="30" t="s">
        <v>74</v>
      </c>
      <c r="B54" s="74"/>
      <c r="C54" s="74"/>
      <c r="D54" s="75"/>
      <c r="W54" s="11" t="s">
        <v>22</v>
      </c>
      <c r="X54" s="1"/>
      <c r="Y54" s="1">
        <f t="shared" si="39"/>
        <v>0</v>
      </c>
      <c r="Z54" s="1">
        <v>0</v>
      </c>
      <c r="AB54" s="2" t="s">
        <v>22</v>
      </c>
      <c r="AC54" s="1">
        <f t="shared" si="40"/>
        <v>0</v>
      </c>
      <c r="AD54" s="1">
        <f t="shared" si="41"/>
        <v>0</v>
      </c>
      <c r="AE54" s="13">
        <v>0</v>
      </c>
    </row>
    <row r="55" spans="1:31" x14ac:dyDescent="0.25">
      <c r="A55" s="32" t="s">
        <v>75</v>
      </c>
      <c r="B55" s="32"/>
      <c r="C55" s="32"/>
      <c r="D55" s="32"/>
      <c r="W55" s="11" t="s">
        <v>25</v>
      </c>
      <c r="X55" s="1"/>
      <c r="Y55" s="1">
        <f t="shared" si="39"/>
        <v>0</v>
      </c>
      <c r="Z55" s="1">
        <v>0</v>
      </c>
      <c r="AB55" s="2" t="s">
        <v>25</v>
      </c>
      <c r="AC55" s="1">
        <f t="shared" si="40"/>
        <v>0</v>
      </c>
      <c r="AD55" s="1">
        <f t="shared" si="41"/>
        <v>0</v>
      </c>
      <c r="AE55" s="13">
        <v>0</v>
      </c>
    </row>
    <row r="56" spans="1:31" x14ac:dyDescent="0.25">
      <c r="A56" s="30" t="s">
        <v>76</v>
      </c>
      <c r="B56" s="74"/>
      <c r="C56" s="74"/>
      <c r="D56" s="75"/>
      <c r="W56" s="11" t="s">
        <v>27</v>
      </c>
      <c r="X56" s="1">
        <f>Y56</f>
        <v>675.54990579529203</v>
      </c>
      <c r="Y56" s="1">
        <f t="shared" si="39"/>
        <v>675.54990579529203</v>
      </c>
      <c r="Z56" s="1">
        <v>0</v>
      </c>
      <c r="AB56" s="2" t="s">
        <v>27</v>
      </c>
      <c r="AC56" s="1">
        <f t="shared" si="40"/>
        <v>675.54990579529203</v>
      </c>
      <c r="AD56" s="1">
        <f t="shared" si="41"/>
        <v>450.36660386352804</v>
      </c>
      <c r="AE56" s="13">
        <f>B6</f>
        <v>225.18330193176402</v>
      </c>
    </row>
    <row r="57" spans="1:31" x14ac:dyDescent="0.25">
      <c r="A57" s="32" t="s">
        <v>77</v>
      </c>
      <c r="B57" s="32"/>
      <c r="C57" s="32"/>
      <c r="D57" s="32"/>
      <c r="W57" s="11" t="s">
        <v>20</v>
      </c>
      <c r="X57" s="1"/>
      <c r="Y57" s="1">
        <f t="shared" si="39"/>
        <v>5.4479831112523556</v>
      </c>
      <c r="Z57" s="1">
        <f>X57-Y57</f>
        <v>-5.4479831112523556</v>
      </c>
      <c r="AB57" s="2" t="s">
        <v>20</v>
      </c>
      <c r="AC57" s="1">
        <f t="shared" si="40"/>
        <v>5.4479831112523556</v>
      </c>
      <c r="AD57" s="1">
        <f t="shared" si="41"/>
        <v>3.6319887408349039</v>
      </c>
      <c r="AE57" s="13">
        <f>D6</f>
        <v>1.8159943704174519</v>
      </c>
    </row>
    <row r="58" spans="1:31" x14ac:dyDescent="0.25">
      <c r="A58" s="30">
        <v>0.999</v>
      </c>
      <c r="B58" s="74"/>
      <c r="C58" s="74"/>
      <c r="D58" s="75"/>
      <c r="W58" s="11" t="s">
        <v>30</v>
      </c>
      <c r="X58" s="1"/>
      <c r="Y58" s="1">
        <f t="shared" si="39"/>
        <v>0</v>
      </c>
      <c r="Z58" s="1">
        <f>X58</f>
        <v>0</v>
      </c>
      <c r="AB58" s="2" t="s">
        <v>30</v>
      </c>
      <c r="AC58" s="1">
        <f t="shared" si="40"/>
        <v>0</v>
      </c>
      <c r="AD58" s="1">
        <f t="shared" si="41"/>
        <v>0</v>
      </c>
      <c r="AE58" s="13">
        <v>0</v>
      </c>
    </row>
    <row r="59" spans="1:31" x14ac:dyDescent="0.25">
      <c r="A59" s="89" t="s">
        <v>78</v>
      </c>
      <c r="B59" s="89"/>
      <c r="C59" s="89"/>
      <c r="D59" s="89"/>
      <c r="W59" s="11" t="s">
        <v>32</v>
      </c>
      <c r="X59" s="1"/>
      <c r="Y59" s="1">
        <f t="shared" si="39"/>
        <v>0</v>
      </c>
      <c r="Z59" s="1">
        <v>0</v>
      </c>
      <c r="AB59" s="2" t="s">
        <v>32</v>
      </c>
      <c r="AC59" s="1">
        <f t="shared" si="40"/>
        <v>0</v>
      </c>
      <c r="AD59" s="1">
        <f t="shared" si="41"/>
        <v>0</v>
      </c>
      <c r="AE59" s="13">
        <v>0</v>
      </c>
    </row>
    <row r="60" spans="1:31" x14ac:dyDescent="0.25">
      <c r="A60" s="85" t="s">
        <v>79</v>
      </c>
      <c r="B60" s="86"/>
      <c r="C60" s="87" t="s">
        <v>80</v>
      </c>
      <c r="D60" s="88"/>
      <c r="W60" s="11" t="s">
        <v>34</v>
      </c>
      <c r="X60" s="2"/>
      <c r="Y60" s="2">
        <f t="shared" si="39"/>
        <v>680.9978889065444</v>
      </c>
      <c r="Z60" s="2">
        <f>SUM(Z53:Z59)</f>
        <v>-5.4479831112523556</v>
      </c>
      <c r="AB60" s="2" t="s">
        <v>34</v>
      </c>
      <c r="AC60" s="2">
        <f>SUM(AC53:AC59)</f>
        <v>680.9978889065444</v>
      </c>
      <c r="AD60" s="2">
        <f>SUM(AD53:AD59)</f>
        <v>453.99859260436295</v>
      </c>
      <c r="AE60" s="14">
        <f>SUM(AE53:AE59)</f>
        <v>226.99929630218148</v>
      </c>
    </row>
    <row r="61" spans="1:31" x14ac:dyDescent="0.25">
      <c r="A61" s="85" t="s">
        <v>19</v>
      </c>
      <c r="B61" s="86"/>
      <c r="C61" s="87">
        <v>1</v>
      </c>
      <c r="D61" s="88"/>
      <c r="W61" s="72" t="s">
        <v>35</v>
      </c>
      <c r="X61" s="57"/>
      <c r="Y61" s="57"/>
      <c r="Z61" s="58"/>
      <c r="AB61" s="56" t="s">
        <v>35</v>
      </c>
      <c r="AC61" s="57"/>
      <c r="AD61" s="57"/>
      <c r="AE61" s="73"/>
    </row>
    <row r="62" spans="1:31" x14ac:dyDescent="0.25">
      <c r="A62" s="85" t="s">
        <v>73</v>
      </c>
      <c r="B62" s="86"/>
      <c r="C62" s="87" t="s">
        <v>80</v>
      </c>
      <c r="D62" s="88"/>
      <c r="W62" s="11"/>
      <c r="X62" s="24">
        <v>15</v>
      </c>
      <c r="Y62" s="24" t="s">
        <v>50</v>
      </c>
      <c r="Z62" s="24">
        <v>16</v>
      </c>
      <c r="AB62" s="2"/>
      <c r="AC62" s="24">
        <v>15</v>
      </c>
      <c r="AD62" s="24" t="s">
        <v>50</v>
      </c>
      <c r="AE62" s="12" t="s">
        <v>51</v>
      </c>
    </row>
    <row r="63" spans="1:31" x14ac:dyDescent="0.25">
      <c r="A63" s="85" t="s">
        <v>81</v>
      </c>
      <c r="B63" s="86"/>
      <c r="C63" s="87">
        <v>0.999</v>
      </c>
      <c r="D63" s="88"/>
      <c r="W63" s="11" t="s">
        <v>18</v>
      </c>
      <c r="X63" s="1">
        <f t="shared" ref="X63:X70" ca="1" si="42">AC63</f>
        <v>0</v>
      </c>
      <c r="Y63" s="1"/>
      <c r="Z63" s="1"/>
      <c r="AB63" s="2" t="s">
        <v>18</v>
      </c>
      <c r="AC63" s="1">
        <f t="shared" ref="AC63:AE65" ca="1" si="43">AC53/AC$34</f>
        <v>0</v>
      </c>
      <c r="AD63" s="1">
        <f t="shared" ca="1" si="43"/>
        <v>0</v>
      </c>
      <c r="AE63" s="13">
        <f t="shared" ca="1" si="43"/>
        <v>0</v>
      </c>
    </row>
    <row r="64" spans="1:31" x14ac:dyDescent="0.25">
      <c r="A64" s="89" t="s">
        <v>82</v>
      </c>
      <c r="B64" s="89"/>
      <c r="C64" s="89"/>
      <c r="D64" s="89"/>
      <c r="W64" s="11" t="s">
        <v>22</v>
      </c>
      <c r="X64" s="1">
        <f t="shared" ca="1" si="42"/>
        <v>0</v>
      </c>
      <c r="Y64" s="1"/>
      <c r="Z64" s="1"/>
      <c r="AB64" s="2" t="s">
        <v>22</v>
      </c>
      <c r="AC64" s="1">
        <f t="shared" ca="1" si="43"/>
        <v>0</v>
      </c>
      <c r="AD64" s="1">
        <f t="shared" ca="1" si="43"/>
        <v>0</v>
      </c>
      <c r="AE64" s="13">
        <f t="shared" ca="1" si="43"/>
        <v>0</v>
      </c>
    </row>
    <row r="65" spans="1:31" x14ac:dyDescent="0.25">
      <c r="A65" s="87">
        <v>2</v>
      </c>
      <c r="B65" s="90"/>
      <c r="C65" s="90"/>
      <c r="D65" s="88"/>
      <c r="W65" s="11" t="s">
        <v>25</v>
      </c>
      <c r="X65" s="1">
        <f t="shared" ca="1" si="42"/>
        <v>0</v>
      </c>
      <c r="Y65" s="1"/>
      <c r="Z65" s="1"/>
      <c r="AB65" s="2" t="s">
        <v>25</v>
      </c>
      <c r="AC65" s="1">
        <f t="shared" ca="1" si="43"/>
        <v>0</v>
      </c>
      <c r="AD65" s="1">
        <f t="shared" ca="1" si="43"/>
        <v>0</v>
      </c>
      <c r="AE65" s="13">
        <f t="shared" ca="1" si="43"/>
        <v>0</v>
      </c>
    </row>
    <row r="66" spans="1:31" x14ac:dyDescent="0.25">
      <c r="A66" s="91" t="s">
        <v>83</v>
      </c>
      <c r="B66" s="91"/>
      <c r="C66" s="91"/>
      <c r="D66" s="91"/>
      <c r="W66" s="11" t="s">
        <v>27</v>
      </c>
      <c r="X66" s="1">
        <f t="shared" ca="1" si="42"/>
        <v>1.0278464633902897</v>
      </c>
      <c r="Y66" s="1"/>
      <c r="Z66" s="1"/>
      <c r="AB66" s="2" t="s">
        <v>27</v>
      </c>
      <c r="AC66" s="1">
        <f ca="1">AC56/AC$34</f>
        <v>1.0278464633902897</v>
      </c>
      <c r="AD66" s="1">
        <f>AD56/AD$60</f>
        <v>0.99199999999999999</v>
      </c>
      <c r="AE66" s="13">
        <f>AE56/AE$60</f>
        <v>0.99199999999999999</v>
      </c>
    </row>
    <row r="67" spans="1:31" x14ac:dyDescent="0.25">
      <c r="A67" s="41" t="s">
        <v>79</v>
      </c>
      <c r="B67" s="43"/>
      <c r="C67" s="44" t="s">
        <v>80</v>
      </c>
      <c r="D67" s="45"/>
      <c r="W67" s="11" t="s">
        <v>20</v>
      </c>
      <c r="X67" s="1">
        <f t="shared" ca="1" si="42"/>
        <v>8.289084382179757E-3</v>
      </c>
      <c r="Y67" s="1"/>
      <c r="Z67" s="1"/>
      <c r="AB67" s="2" t="s">
        <v>20</v>
      </c>
      <c r="AC67" s="1">
        <f ca="1">AC57/AC$34</f>
        <v>8.289084382179757E-3</v>
      </c>
      <c r="AD67" s="1">
        <f>AD57/AD$60</f>
        <v>8.0000000000000002E-3</v>
      </c>
      <c r="AE67" s="13">
        <f>AE57/AE$60</f>
        <v>8.0000000000000002E-3</v>
      </c>
    </row>
    <row r="68" spans="1:31" x14ac:dyDescent="0.25">
      <c r="A68" s="91" t="s">
        <v>84</v>
      </c>
      <c r="B68" s="91"/>
      <c r="C68" s="92">
        <v>1</v>
      </c>
      <c r="D68" s="45"/>
      <c r="W68" s="11" t="s">
        <v>30</v>
      </c>
      <c r="X68" s="1">
        <f t="shared" ca="1" si="42"/>
        <v>0</v>
      </c>
      <c r="Y68" s="1"/>
      <c r="Z68" s="1"/>
      <c r="AB68" s="2" t="s">
        <v>30</v>
      </c>
      <c r="AC68" s="1">
        <f ca="1">AC58/AC$34</f>
        <v>0</v>
      </c>
      <c r="AD68" s="1">
        <f ca="1">AD58/AD$34</f>
        <v>0</v>
      </c>
      <c r="AE68" s="13">
        <f ca="1">AE58/AE$34</f>
        <v>0</v>
      </c>
    </row>
    <row r="69" spans="1:31" x14ac:dyDescent="0.25">
      <c r="A69" s="41" t="s">
        <v>73</v>
      </c>
      <c r="B69" s="43"/>
      <c r="C69" s="44" t="s">
        <v>80</v>
      </c>
      <c r="D69" s="45"/>
      <c r="W69" s="11" t="s">
        <v>32</v>
      </c>
      <c r="X69" s="1">
        <f t="shared" ca="1" si="42"/>
        <v>0</v>
      </c>
      <c r="Y69" s="1"/>
      <c r="Z69" s="1"/>
      <c r="AB69" s="2" t="s">
        <v>32</v>
      </c>
      <c r="AC69" s="1">
        <f ca="1">AC59/AC$34</f>
        <v>0</v>
      </c>
      <c r="AD69" s="1">
        <f ca="1">AD59/AD$34</f>
        <v>0</v>
      </c>
      <c r="AE69" s="13">
        <f ca="1">AE59/AE$34</f>
        <v>0</v>
      </c>
    </row>
    <row r="70" spans="1:31" ht="15.75" thickBot="1" x14ac:dyDescent="0.3">
      <c r="A70" s="91" t="s">
        <v>19</v>
      </c>
      <c r="B70" s="91"/>
      <c r="C70" s="92">
        <v>1</v>
      </c>
      <c r="D70" s="45"/>
      <c r="W70" s="15" t="s">
        <v>34</v>
      </c>
      <c r="X70" s="16">
        <f t="shared" ca="1" si="42"/>
        <v>1.0361355477724694</v>
      </c>
      <c r="Y70" s="16"/>
      <c r="Z70" s="16"/>
      <c r="AA70" s="17"/>
      <c r="AB70" s="16" t="s">
        <v>34</v>
      </c>
      <c r="AC70" s="16">
        <f ca="1">SUM(AC63:AC69)</f>
        <v>1.0361355477724694</v>
      </c>
      <c r="AD70" s="16">
        <f ca="1">SUM(AD63:AD69)</f>
        <v>1</v>
      </c>
      <c r="AE70" s="18">
        <f ca="1">SUM(AE63:AE69)</f>
        <v>1</v>
      </c>
    </row>
    <row r="71" spans="1:31" x14ac:dyDescent="0.25">
      <c r="A71" s="91" t="s">
        <v>85</v>
      </c>
      <c r="B71" s="91"/>
      <c r="C71" s="91"/>
      <c r="D71" s="91"/>
    </row>
    <row r="72" spans="1:31" x14ac:dyDescent="0.25">
      <c r="A72" s="44">
        <f>C7</f>
        <v>8.0000000000000002E-3</v>
      </c>
      <c r="B72" s="92"/>
      <c r="C72" s="92"/>
      <c r="D72" s="45"/>
    </row>
    <row r="73" spans="1:31" x14ac:dyDescent="0.25">
      <c r="A73" s="91" t="s">
        <v>86</v>
      </c>
      <c r="B73" s="91"/>
      <c r="C73" s="91"/>
      <c r="D73" s="91"/>
    </row>
    <row r="74" spans="1:31" x14ac:dyDescent="0.25">
      <c r="A74" s="44">
        <v>2</v>
      </c>
      <c r="B74" s="92"/>
      <c r="C74" s="92"/>
      <c r="D74" s="45"/>
    </row>
    <row r="75" spans="1:31" x14ac:dyDescent="0.25">
      <c r="A75" s="91" t="s">
        <v>87</v>
      </c>
      <c r="B75" s="91"/>
      <c r="C75" s="91"/>
      <c r="D75" s="91"/>
    </row>
    <row r="76" spans="1:31" x14ac:dyDescent="0.25">
      <c r="A76" s="44">
        <v>1</v>
      </c>
      <c r="B76" s="92"/>
      <c r="C76" s="92"/>
      <c r="D76" s="45"/>
    </row>
  </sheetData>
  <mergeCells count="152">
    <mergeCell ref="A71:D71"/>
    <mergeCell ref="A72:D72"/>
    <mergeCell ref="A73:D73"/>
    <mergeCell ref="A74:D74"/>
    <mergeCell ref="A75:D75"/>
    <mergeCell ref="A76:D76"/>
    <mergeCell ref="A68:B68"/>
    <mergeCell ref="C68:D68"/>
    <mergeCell ref="A69:B69"/>
    <mergeCell ref="C69:D69"/>
    <mergeCell ref="A70:B70"/>
    <mergeCell ref="C70:D70"/>
    <mergeCell ref="A63:B63"/>
    <mergeCell ref="C63:D63"/>
    <mergeCell ref="A64:D64"/>
    <mergeCell ref="A65:D65"/>
    <mergeCell ref="A66:D66"/>
    <mergeCell ref="A67:B67"/>
    <mergeCell ref="C67:D67"/>
    <mergeCell ref="A61:B61"/>
    <mergeCell ref="C61:D61"/>
    <mergeCell ref="W61:Z61"/>
    <mergeCell ref="AB61:AE61"/>
    <mergeCell ref="A62:B62"/>
    <mergeCell ref="C62:D62"/>
    <mergeCell ref="A55:D55"/>
    <mergeCell ref="A56:D56"/>
    <mergeCell ref="A57:D57"/>
    <mergeCell ref="A58:D58"/>
    <mergeCell ref="A59:D59"/>
    <mergeCell ref="A60:B60"/>
    <mergeCell ref="C60:D60"/>
    <mergeCell ref="A51:D51"/>
    <mergeCell ref="W51:Z51"/>
    <mergeCell ref="AB51:AE51"/>
    <mergeCell ref="A52:D52"/>
    <mergeCell ref="A53:D53"/>
    <mergeCell ref="A54:D54"/>
    <mergeCell ref="A46:D46"/>
    <mergeCell ref="A47:D47"/>
    <mergeCell ref="A48:D48"/>
    <mergeCell ref="W48:AE49"/>
    <mergeCell ref="A49:D49"/>
    <mergeCell ref="A50:D50"/>
    <mergeCell ref="W50:Z50"/>
    <mergeCell ref="AB50:AE50"/>
    <mergeCell ref="A40:D40"/>
    <mergeCell ref="A41:D41"/>
    <mergeCell ref="A42:D42"/>
    <mergeCell ref="A43:D43"/>
    <mergeCell ref="A44:D44"/>
    <mergeCell ref="A45:D45"/>
    <mergeCell ref="W35:Z35"/>
    <mergeCell ref="AB35:AE35"/>
    <mergeCell ref="A36:D36"/>
    <mergeCell ref="A37:D37"/>
    <mergeCell ref="A38:D38"/>
    <mergeCell ref="A39:D39"/>
    <mergeCell ref="A32:D32"/>
    <mergeCell ref="A33:D33"/>
    <mergeCell ref="A34:D34"/>
    <mergeCell ref="A35:D35"/>
    <mergeCell ref="I35:L35"/>
    <mergeCell ref="N35:U35"/>
    <mergeCell ref="A29:D29"/>
    <mergeCell ref="E29:F29"/>
    <mergeCell ref="A30:D30"/>
    <mergeCell ref="E30:F30"/>
    <mergeCell ref="A31:D31"/>
    <mergeCell ref="E31:F31"/>
    <mergeCell ref="A26:D26"/>
    <mergeCell ref="E26:F26"/>
    <mergeCell ref="A27:D27"/>
    <mergeCell ref="E27:F27"/>
    <mergeCell ref="A28:D28"/>
    <mergeCell ref="E28:F28"/>
    <mergeCell ref="I24:L24"/>
    <mergeCell ref="N24:U24"/>
    <mergeCell ref="W24:Z24"/>
    <mergeCell ref="AB24:AE24"/>
    <mergeCell ref="A25:D25"/>
    <mergeCell ref="E25:F25"/>
    <mergeCell ref="I25:L25"/>
    <mergeCell ref="N25:U25"/>
    <mergeCell ref="W25:Z25"/>
    <mergeCell ref="AB25:AE25"/>
    <mergeCell ref="A22:B22"/>
    <mergeCell ref="C22:D22"/>
    <mergeCell ref="A23:B23"/>
    <mergeCell ref="C23:D23"/>
    <mergeCell ref="A24:D24"/>
    <mergeCell ref="E24:F24"/>
    <mergeCell ref="A19:B19"/>
    <mergeCell ref="C19:D19"/>
    <mergeCell ref="F19:G19"/>
    <mergeCell ref="A20:D20"/>
    <mergeCell ref="F20:G20"/>
    <mergeCell ref="A21:B21"/>
    <mergeCell ref="C21:D21"/>
    <mergeCell ref="A16:D16"/>
    <mergeCell ref="F16:G16"/>
    <mergeCell ref="A17:D17"/>
    <mergeCell ref="F17:G17"/>
    <mergeCell ref="A18:B18"/>
    <mergeCell ref="C18:D18"/>
    <mergeCell ref="F18:G18"/>
    <mergeCell ref="A14:B14"/>
    <mergeCell ref="C14:D14"/>
    <mergeCell ref="F14:G14"/>
    <mergeCell ref="A15:B15"/>
    <mergeCell ref="C15:D15"/>
    <mergeCell ref="F15:G15"/>
    <mergeCell ref="A13:B13"/>
    <mergeCell ref="C13:D13"/>
    <mergeCell ref="F13:H13"/>
    <mergeCell ref="J13:O13"/>
    <mergeCell ref="Q13:V13"/>
    <mergeCell ref="X13:AC13"/>
    <mergeCell ref="A10:B10"/>
    <mergeCell ref="C10:D10"/>
    <mergeCell ref="F10:G10"/>
    <mergeCell ref="A11:B11"/>
    <mergeCell ref="C11:D11"/>
    <mergeCell ref="A12:B12"/>
    <mergeCell ref="C12:D12"/>
    <mergeCell ref="A7:B7"/>
    <mergeCell ref="C7:D7"/>
    <mergeCell ref="F7:G7"/>
    <mergeCell ref="A8:D8"/>
    <mergeCell ref="F8:G8"/>
    <mergeCell ref="A9:B9"/>
    <mergeCell ref="C9:D9"/>
    <mergeCell ref="F9:G9"/>
    <mergeCell ref="A4:B4"/>
    <mergeCell ref="C4:D4"/>
    <mergeCell ref="F4:G4"/>
    <mergeCell ref="A5:D5"/>
    <mergeCell ref="F5:G5"/>
    <mergeCell ref="F6:G6"/>
    <mergeCell ref="X2:AC2"/>
    <mergeCell ref="A3:B3"/>
    <mergeCell ref="C3:D3"/>
    <mergeCell ref="F3:G3"/>
    <mergeCell ref="J3:O3"/>
    <mergeCell ref="Q3:V3"/>
    <mergeCell ref="X3:AC3"/>
    <mergeCell ref="A1:D1"/>
    <mergeCell ref="F1:H1"/>
    <mergeCell ref="A2:D2"/>
    <mergeCell ref="F2:H2"/>
    <mergeCell ref="J2:O2"/>
    <mergeCell ref="Q2:V2"/>
  </mergeCells>
  <conditionalFormatting sqref="A1:XFD1 A2:E12 J2:XFD12 H3:I4 I9 F10:H10 I11:I12 A13:F13 I13:XFD13 E14:F14 H14:XFD14 A14:D15 E15:XFD15 F16 H16:I16 A16:E20 J16:XFD20 F17:I17 A21:XFD1048576">
    <cfRule type="cellIs" dxfId="12" priority="7" operator="lessThan">
      <formula>0</formula>
    </cfRule>
  </conditionalFormatting>
  <conditionalFormatting sqref="F3:F9 H5:H9">
    <cfRule type="cellIs" dxfId="11" priority="4" operator="lessThan">
      <formula>0</formula>
    </cfRule>
  </conditionalFormatting>
  <conditionalFormatting sqref="F18:F20">
    <cfRule type="cellIs" dxfId="10" priority="1" operator="lessThan">
      <formula>0</formula>
    </cfRule>
  </conditionalFormatting>
  <conditionalFormatting sqref="H18:I20">
    <cfRule type="cellIs" dxfId="9" priority="2" operator="lessThan">
      <formula>0</formula>
    </cfRule>
  </conditionalFormatting>
  <conditionalFormatting sqref="I5:I7">
    <cfRule type="cellIs" dxfId="8" priority="5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217F-8DEB-4AD0-A684-4E96F289C76D}">
  <dimension ref="A1:AE76"/>
  <sheetViews>
    <sheetView topLeftCell="E1" zoomScaleNormal="100" workbookViewId="0">
      <selection activeCell="H10" sqref="H10"/>
    </sheetView>
  </sheetViews>
  <sheetFormatPr defaultRowHeight="15" x14ac:dyDescent="0.25"/>
  <cols>
    <col min="2" max="2" width="10.28515625" bestFit="1" customWidth="1"/>
    <col min="4" max="4" width="10.28515625" bestFit="1" customWidth="1"/>
    <col min="8" max="8" width="12.5703125" bestFit="1" customWidth="1"/>
    <col min="11" max="11" width="14.28515625" customWidth="1"/>
    <col min="13" max="13" width="13.28515625" bestFit="1" customWidth="1"/>
    <col min="14" max="14" width="12.42578125" bestFit="1" customWidth="1"/>
    <col min="18" max="18" width="14.5703125" customWidth="1"/>
    <col min="19" max="19" width="9.5703125" customWidth="1"/>
    <col min="20" max="20" width="10.140625" customWidth="1"/>
    <col min="21" max="21" width="10.85546875" customWidth="1"/>
    <col min="26" max="26" width="9.5703125" customWidth="1"/>
  </cols>
  <sheetData>
    <row r="1" spans="1:29" x14ac:dyDescent="0.25">
      <c r="A1" s="32" t="s">
        <v>0</v>
      </c>
      <c r="B1" s="32"/>
      <c r="C1" s="32"/>
      <c r="D1" s="32"/>
      <c r="F1" s="26" t="s">
        <v>1</v>
      </c>
      <c r="G1" s="27"/>
      <c r="H1" s="27"/>
    </row>
    <row r="2" spans="1:29" x14ac:dyDescent="0.25">
      <c r="A2" s="32" t="s">
        <v>2</v>
      </c>
      <c r="B2" s="32"/>
      <c r="C2" s="32"/>
      <c r="D2" s="33"/>
      <c r="F2" s="34" t="s">
        <v>88</v>
      </c>
      <c r="G2" s="34"/>
      <c r="H2" s="35"/>
      <c r="J2" s="36" t="s">
        <v>3</v>
      </c>
      <c r="K2" s="36"/>
      <c r="L2" s="36"/>
      <c r="M2" s="36"/>
      <c r="N2" s="36"/>
      <c r="O2" s="36"/>
      <c r="Q2" s="26" t="s">
        <v>4</v>
      </c>
      <c r="R2" s="27"/>
      <c r="S2" s="27"/>
      <c r="T2" s="27"/>
      <c r="U2" s="27"/>
      <c r="V2" s="28"/>
      <c r="X2" s="26" t="s">
        <v>5</v>
      </c>
      <c r="Y2" s="27"/>
      <c r="Z2" s="27"/>
      <c r="AA2" s="27"/>
      <c r="AB2" s="27"/>
      <c r="AC2" s="28"/>
    </row>
    <row r="3" spans="1:29" x14ac:dyDescent="0.25">
      <c r="A3" s="29" t="s">
        <v>6</v>
      </c>
      <c r="B3" s="29"/>
      <c r="C3" s="29">
        <v>10000</v>
      </c>
      <c r="D3" s="30"/>
      <c r="F3" s="26" t="s">
        <v>8</v>
      </c>
      <c r="G3" s="28"/>
      <c r="H3" s="1">
        <v>8049.1311042537209</v>
      </c>
      <c r="J3" s="31" t="s">
        <v>7</v>
      </c>
      <c r="K3" s="31"/>
      <c r="L3" s="31"/>
      <c r="M3" s="31"/>
      <c r="N3" s="31"/>
      <c r="O3" s="31"/>
      <c r="Q3" s="31" t="s">
        <v>7</v>
      </c>
      <c r="R3" s="31"/>
      <c r="S3" s="31"/>
      <c r="T3" s="31"/>
      <c r="U3" s="31"/>
      <c r="V3" s="31"/>
      <c r="X3" s="31" t="s">
        <v>7</v>
      </c>
      <c r="Y3" s="31"/>
      <c r="Z3" s="31"/>
      <c r="AA3" s="31"/>
      <c r="AB3" s="31"/>
      <c r="AC3" s="31"/>
    </row>
    <row r="4" spans="1:29" x14ac:dyDescent="0.25">
      <c r="A4" s="29" t="s">
        <v>7</v>
      </c>
      <c r="B4" s="29"/>
      <c r="C4" s="29">
        <f>C3/C12</f>
        <v>226.99929630218148</v>
      </c>
      <c r="D4" s="29"/>
      <c r="F4" s="26" t="s">
        <v>17</v>
      </c>
      <c r="G4" s="28"/>
      <c r="H4" s="1">
        <v>75177.561772378715</v>
      </c>
      <c r="J4" s="2"/>
      <c r="K4" s="24">
        <v>1</v>
      </c>
      <c r="L4" s="24">
        <v>2</v>
      </c>
      <c r="M4" s="24" t="s">
        <v>9</v>
      </c>
      <c r="N4" s="24">
        <v>5</v>
      </c>
      <c r="O4" s="24" t="s">
        <v>10</v>
      </c>
      <c r="Q4" s="2"/>
      <c r="R4" s="24">
        <v>5</v>
      </c>
      <c r="S4" s="24">
        <v>6</v>
      </c>
      <c r="T4" s="24" t="s">
        <v>11</v>
      </c>
      <c r="U4" s="24" t="s">
        <v>12</v>
      </c>
      <c r="V4" s="24" t="s">
        <v>13</v>
      </c>
      <c r="X4" s="2"/>
      <c r="Y4" s="24">
        <v>6</v>
      </c>
      <c r="Z4" s="24" t="s">
        <v>14</v>
      </c>
      <c r="AA4" s="24" t="s">
        <v>15</v>
      </c>
      <c r="AB4" s="24">
        <v>10</v>
      </c>
      <c r="AC4" s="24">
        <v>8</v>
      </c>
    </row>
    <row r="5" spans="1:29" x14ac:dyDescent="0.25">
      <c r="A5" s="37" t="s">
        <v>16</v>
      </c>
      <c r="B5" s="46"/>
      <c r="C5" s="46"/>
      <c r="D5" s="38"/>
      <c r="F5" s="26" t="s">
        <v>24</v>
      </c>
      <c r="G5" s="28"/>
      <c r="H5" s="1">
        <v>1E-4</v>
      </c>
      <c r="I5" s="1">
        <v>8.0000000000000002E-3</v>
      </c>
      <c r="J5" s="2" t="s">
        <v>18</v>
      </c>
      <c r="K5" s="1">
        <f>K15*K$12</f>
        <v>0</v>
      </c>
      <c r="L5" s="1">
        <f>L12*L15</f>
        <v>59390.273800179188</v>
      </c>
      <c r="M5" s="1">
        <f ca="1">K5+L5+O5</f>
        <v>59836.085988273291</v>
      </c>
      <c r="N5" s="1">
        <f ca="1">M5</f>
        <v>59836.085988273291</v>
      </c>
      <c r="O5" s="1">
        <f ca="1">T5-U5</f>
        <v>445.81218809410348</v>
      </c>
      <c r="Q5" s="2" t="s">
        <v>18</v>
      </c>
      <c r="R5" s="1">
        <f ca="1">N5</f>
        <v>59836.085988273291</v>
      </c>
      <c r="S5" s="1">
        <f ca="1">R5*A36</f>
        <v>598.36085988273294</v>
      </c>
      <c r="T5" s="1">
        <f ca="1">R5-S5</f>
        <v>59237.725128390557</v>
      </c>
      <c r="U5" s="1">
        <f t="shared" ref="U5:U11" ca="1" si="0">T5*$H$6</f>
        <v>58791.912940296454</v>
      </c>
      <c r="V5" s="1">
        <v>0</v>
      </c>
      <c r="X5" s="2" t="s">
        <v>18</v>
      </c>
      <c r="Y5" s="1">
        <f t="shared" ref="Y5:Y11" ca="1" si="1">S5</f>
        <v>598.36085988273294</v>
      </c>
      <c r="Z5" s="1">
        <f ca="1">T27-U27</f>
        <v>0.59895981970243539</v>
      </c>
      <c r="AA5" s="1">
        <f ca="1">Z5+Y5</f>
        <v>598.95981970243542</v>
      </c>
      <c r="AB5" s="1">
        <f ca="1">AA5</f>
        <v>598.95981970243542</v>
      </c>
      <c r="AC5" s="1">
        <f>0</f>
        <v>0</v>
      </c>
    </row>
    <row r="6" spans="1:29" ht="15.75" customHeight="1" x14ac:dyDescent="0.25">
      <c r="A6" s="25" t="s">
        <v>19</v>
      </c>
      <c r="B6" s="25">
        <f>C4-D6</f>
        <v>226.97659637255126</v>
      </c>
      <c r="C6" s="25" t="s">
        <v>20</v>
      </c>
      <c r="D6" s="25">
        <f>C7*C4</f>
        <v>2.2699929630218149E-2</v>
      </c>
      <c r="F6" s="26" t="s">
        <v>29</v>
      </c>
      <c r="G6" s="28"/>
      <c r="H6" s="1">
        <v>0.99247418453143055</v>
      </c>
      <c r="J6" s="2" t="s">
        <v>22</v>
      </c>
      <c r="K6" s="1">
        <f t="shared" ref="K6:L11" si="2">K16*K$12</f>
        <v>0</v>
      </c>
      <c r="L6" s="1">
        <f>L12*L16</f>
        <v>15787.287972199529</v>
      </c>
      <c r="M6" s="1">
        <f t="shared" ref="M6:M11" ca="1" si="3">K6+L6+O6</f>
        <v>15787.287972205491</v>
      </c>
      <c r="N6" s="1">
        <f ca="1">M6-((M7-((E29)/2))+(M7-((E31)/2)))</f>
        <v>8.0857171269599348E-7</v>
      </c>
      <c r="O6" s="1">
        <f ca="1">T6-U6</f>
        <v>5.96345827279811E-9</v>
      </c>
      <c r="Q6" s="2" t="s">
        <v>22</v>
      </c>
      <c r="R6" s="1">
        <f ca="1">N6</f>
        <v>8.0857171269599348E-7</v>
      </c>
      <c r="S6" s="1">
        <f ca="1">R6*A40</f>
        <v>1.617143425391987E-8</v>
      </c>
      <c r="T6" s="1">
        <f ca="1">R6-S6</f>
        <v>7.9240027844207357E-7</v>
      </c>
      <c r="U6" s="1">
        <f t="shared" ca="1" si="0"/>
        <v>7.8643682016927546E-7</v>
      </c>
      <c r="V6" s="1">
        <v>0</v>
      </c>
      <c r="X6" s="2" t="s">
        <v>22</v>
      </c>
      <c r="Y6" s="1">
        <f t="shared" ca="1" si="1"/>
        <v>1.617143425391987E-8</v>
      </c>
      <c r="Z6" s="1">
        <f t="shared" ref="Z6:Z11" ca="1" si="4">T28-U28</f>
        <v>1.6187621875795666E-11</v>
      </c>
      <c r="AA6" s="1">
        <f t="shared" ref="AA6:AA11" ca="1" si="5">Z6+Y6</f>
        <v>1.6187621875795666E-8</v>
      </c>
      <c r="AB6" s="1">
        <f ca="1">AA6</f>
        <v>1.6187621875795666E-8</v>
      </c>
      <c r="AC6" s="1">
        <v>0</v>
      </c>
    </row>
    <row r="7" spans="1:29" ht="15.75" customHeight="1" x14ac:dyDescent="0.25">
      <c r="A7" s="37" t="s">
        <v>23</v>
      </c>
      <c r="B7" s="38"/>
      <c r="C7" s="39">
        <f>H5</f>
        <v>1E-4</v>
      </c>
      <c r="D7" s="40"/>
      <c r="F7" s="26" t="s">
        <v>31</v>
      </c>
      <c r="G7" s="28"/>
      <c r="H7" s="1">
        <v>0</v>
      </c>
      <c r="J7" s="2" t="s">
        <v>25</v>
      </c>
      <c r="K7" s="1">
        <f>K17*K$12</f>
        <v>8049.1311042537209</v>
      </c>
      <c r="L7" s="1">
        <f t="shared" si="2"/>
        <v>0</v>
      </c>
      <c r="M7" s="1">
        <f t="shared" ca="1" si="3"/>
        <v>8103.5252907283229</v>
      </c>
      <c r="N7" s="1">
        <f ca="1">(1-A25)*M7</f>
        <v>7264.0000706088686</v>
      </c>
      <c r="O7" s="1">
        <f ca="1">T7-U7</f>
        <v>54.394186474602066</v>
      </c>
      <c r="Q7" s="2" t="s">
        <v>25</v>
      </c>
      <c r="R7" s="1">
        <f t="shared" ref="R7:R11" ca="1" si="6">N7</f>
        <v>7264.0000706088686</v>
      </c>
      <c r="S7" s="1">
        <f ca="1">R7*A46</f>
        <v>36.320000353044342</v>
      </c>
      <c r="T7" s="1">
        <f ca="1">R7-S7</f>
        <v>7227.6800702558239</v>
      </c>
      <c r="U7" s="1">
        <f t="shared" ca="1" si="0"/>
        <v>7173.2858837812219</v>
      </c>
      <c r="V7" s="1">
        <v>0</v>
      </c>
      <c r="X7" s="2" t="s">
        <v>25</v>
      </c>
      <c r="Y7" s="1">
        <f t="shared" ca="1" si="1"/>
        <v>36.320000353044342</v>
      </c>
      <c r="Z7" s="1">
        <f t="shared" si="4"/>
        <v>0</v>
      </c>
      <c r="AA7" s="1">
        <f t="shared" ca="1" si="5"/>
        <v>36.320000353044342</v>
      </c>
      <c r="AB7" s="1">
        <f ca="1">AA7</f>
        <v>36.320000353044342</v>
      </c>
      <c r="AC7" s="1">
        <v>0</v>
      </c>
    </row>
    <row r="8" spans="1:29" x14ac:dyDescent="0.25">
      <c r="A8" s="41" t="s">
        <v>26</v>
      </c>
      <c r="B8" s="42"/>
      <c r="C8" s="42"/>
      <c r="D8" s="43"/>
      <c r="F8" s="26" t="s">
        <v>94</v>
      </c>
      <c r="G8" s="28"/>
      <c r="H8" s="1">
        <v>14</v>
      </c>
      <c r="J8" s="2" t="s">
        <v>27</v>
      </c>
      <c r="K8" s="1">
        <f t="shared" si="2"/>
        <v>0</v>
      </c>
      <c r="L8" s="1">
        <f t="shared" si="2"/>
        <v>0</v>
      </c>
      <c r="M8" s="1">
        <f t="shared" si="3"/>
        <v>0</v>
      </c>
      <c r="N8" s="1">
        <f ca="1">E27-N9</f>
        <v>655.26622480763649</v>
      </c>
      <c r="O8" s="1">
        <f t="shared" ref="O8:O10" si="7">T8-U8</f>
        <v>0</v>
      </c>
      <c r="Q8" s="2" t="s">
        <v>27</v>
      </c>
      <c r="R8" s="1">
        <f t="shared" ca="1" si="6"/>
        <v>655.26622480763649</v>
      </c>
      <c r="S8" s="1">
        <f ca="1">R8*A38</f>
        <v>651.98989368359832</v>
      </c>
      <c r="T8" s="1">
        <v>0</v>
      </c>
      <c r="U8" s="1">
        <f t="shared" si="0"/>
        <v>0</v>
      </c>
      <c r="V8" s="1">
        <v>0</v>
      </c>
      <c r="X8" s="2" t="s">
        <v>27</v>
      </c>
      <c r="Y8" s="1">
        <f t="shared" ca="1" si="1"/>
        <v>651.98989368359832</v>
      </c>
      <c r="Z8" s="1">
        <f t="shared" ca="1" si="4"/>
        <v>0.65264253621981871</v>
      </c>
      <c r="AA8" s="1">
        <f t="shared" ca="1" si="5"/>
        <v>652.64253621981811</v>
      </c>
      <c r="AB8" s="1">
        <f ca="1">AA8</f>
        <v>652.64253621981811</v>
      </c>
      <c r="AC8" s="1">
        <v>0</v>
      </c>
    </row>
    <row r="9" spans="1:29" x14ac:dyDescent="0.25">
      <c r="A9" s="44" t="s">
        <v>18</v>
      </c>
      <c r="B9" s="45"/>
      <c r="C9" s="44">
        <f>28.01348</f>
        <v>28.013480000000001</v>
      </c>
      <c r="D9" s="45"/>
      <c r="F9" s="26" t="s">
        <v>37</v>
      </c>
      <c r="G9" s="28"/>
      <c r="H9" s="1">
        <f>K12+L12</f>
        <v>83226.692876632442</v>
      </c>
      <c r="J9" s="2" t="s">
        <v>20</v>
      </c>
      <c r="K9" s="1">
        <f>K19*K$12</f>
        <v>0</v>
      </c>
      <c r="L9" s="1">
        <f t="shared" si="2"/>
        <v>0</v>
      </c>
      <c r="M9" s="1">
        <f t="shared" si="3"/>
        <v>0</v>
      </c>
      <c r="N9" s="1">
        <f ca="1">A27*E27</f>
        <v>7.9586990867324268</v>
      </c>
      <c r="O9" s="1">
        <f t="shared" si="7"/>
        <v>0</v>
      </c>
      <c r="Q9" s="2" t="s">
        <v>20</v>
      </c>
      <c r="R9" s="1">
        <f ca="1">N9</f>
        <v>7.9586990867324268</v>
      </c>
      <c r="S9" s="1">
        <f ca="1">R9*A34</f>
        <v>7.9586990867324268</v>
      </c>
      <c r="T9" s="1">
        <v>0</v>
      </c>
      <c r="U9" s="1">
        <f t="shared" si="0"/>
        <v>0</v>
      </c>
      <c r="V9" s="1">
        <v>0</v>
      </c>
      <c r="X9" s="2" t="s">
        <v>20</v>
      </c>
      <c r="Y9" s="1">
        <f t="shared" ca="1" si="1"/>
        <v>7.9586990867324268</v>
      </c>
      <c r="Z9" s="1">
        <f t="shared" si="4"/>
        <v>0</v>
      </c>
      <c r="AA9" s="1">
        <f t="shared" ca="1" si="5"/>
        <v>7.9586990867324268</v>
      </c>
      <c r="AB9" s="1">
        <f ca="1">AA9</f>
        <v>7.9586990867324268</v>
      </c>
      <c r="AC9" s="1">
        <v>0</v>
      </c>
    </row>
    <row r="10" spans="1:29" x14ac:dyDescent="0.25">
      <c r="A10" s="44" t="s">
        <v>22</v>
      </c>
      <c r="B10" s="45"/>
      <c r="C10" s="44">
        <f>31.9988</f>
        <v>31.998799999999999</v>
      </c>
      <c r="D10" s="45"/>
      <c r="F10" s="26" t="s">
        <v>33</v>
      </c>
      <c r="G10" s="27"/>
      <c r="H10" s="1">
        <f>1-H6</f>
        <v>7.5258154685694523E-3</v>
      </c>
      <c r="J10" s="2" t="s">
        <v>30</v>
      </c>
      <c r="K10" s="1">
        <f t="shared" si="2"/>
        <v>0</v>
      </c>
      <c r="L10" s="1">
        <f t="shared" si="2"/>
        <v>0</v>
      </c>
      <c r="M10" s="1">
        <f t="shared" ca="1" si="3"/>
        <v>0.75514405970665166</v>
      </c>
      <c r="N10" s="1">
        <f ca="1">E25*2</f>
        <v>352.60059245017101</v>
      </c>
      <c r="O10" s="1">
        <f t="shared" ca="1" si="7"/>
        <v>0.75514405970665166</v>
      </c>
      <c r="Q10" s="2" t="s">
        <v>30</v>
      </c>
      <c r="R10" s="1">
        <f ca="1">N10</f>
        <v>352.60059245017101</v>
      </c>
      <c r="S10" s="1">
        <f ca="1">R10+V10-T10+P32</f>
        <v>28090.107170358187</v>
      </c>
      <c r="T10" s="1">
        <f ca="1">T12*T20</f>
        <v>100.34049637018144</v>
      </c>
      <c r="U10" s="1">
        <f t="shared" ca="1" si="0"/>
        <v>99.585352310474789</v>
      </c>
      <c r="V10" s="1">
        <f ca="1">(A48*R8)-R10</f>
        <v>27823.847074278201</v>
      </c>
      <c r="X10" s="2" t="s">
        <v>30</v>
      </c>
      <c r="Y10" s="1">
        <f t="shared" ca="1" si="1"/>
        <v>28090.107170358187</v>
      </c>
      <c r="Z10" s="1">
        <f t="shared" si="4"/>
        <v>0</v>
      </c>
      <c r="AA10" s="1">
        <f t="shared" ca="1" si="5"/>
        <v>28090.107170358187</v>
      </c>
      <c r="AB10" s="1">
        <f ca="1">AB12*AB20</f>
        <v>264.11756071958985</v>
      </c>
      <c r="AC10" s="1">
        <f ca="1">AA10-AB10</f>
        <v>27825.989609638596</v>
      </c>
    </row>
    <row r="11" spans="1:29" x14ac:dyDescent="0.25">
      <c r="A11" s="44" t="s">
        <v>25</v>
      </c>
      <c r="B11" s="45"/>
      <c r="C11" s="44">
        <f>28.054</f>
        <v>28.053999999999998</v>
      </c>
      <c r="D11" s="45"/>
      <c r="J11" s="2" t="s">
        <v>32</v>
      </c>
      <c r="K11" s="1">
        <f t="shared" si="2"/>
        <v>0</v>
      </c>
      <c r="L11" s="1">
        <f t="shared" si="2"/>
        <v>0</v>
      </c>
      <c r="M11" s="1">
        <f t="shared" ca="1" si="3"/>
        <v>2.4678545033860928</v>
      </c>
      <c r="N11" s="1">
        <f ca="1">E25*2</f>
        <v>352.60059245017101</v>
      </c>
      <c r="O11" s="1">
        <f ca="1">T11-U11</f>
        <v>2.4678545033860928</v>
      </c>
      <c r="Q11" s="2" t="s">
        <v>32</v>
      </c>
      <c r="R11" s="6">
        <f t="shared" ca="1" si="6"/>
        <v>352.60059245017101</v>
      </c>
      <c r="S11" s="6">
        <f ca="1">R11*A42</f>
        <v>24.682041471511972</v>
      </c>
      <c r="T11" s="6">
        <f ca="1">R11-S11</f>
        <v>327.91855097865903</v>
      </c>
      <c r="U11" s="1">
        <f t="shared" ca="1" si="0"/>
        <v>325.45069647527293</v>
      </c>
      <c r="V11" s="1">
        <v>0</v>
      </c>
      <c r="X11" s="2" t="s">
        <v>32</v>
      </c>
      <c r="Y11" s="1">
        <f t="shared" ca="1" si="1"/>
        <v>24.682041471511972</v>
      </c>
      <c r="Z11" s="1">
        <f t="shared" ca="1" si="4"/>
        <v>2.4706748219731706E-2</v>
      </c>
      <c r="AA11" s="1">
        <f t="shared" ca="1" si="5"/>
        <v>24.706748219731704</v>
      </c>
      <c r="AB11" s="1">
        <f ca="1">AA11</f>
        <v>24.706748219731704</v>
      </c>
      <c r="AC11" s="1">
        <v>0</v>
      </c>
    </row>
    <row r="12" spans="1:29" x14ac:dyDescent="0.25">
      <c r="A12" s="44" t="s">
        <v>27</v>
      </c>
      <c r="B12" s="45"/>
      <c r="C12" s="44">
        <f>44.053</f>
        <v>44.052999999999997</v>
      </c>
      <c r="D12" s="45"/>
      <c r="J12" s="2" t="s">
        <v>34</v>
      </c>
      <c r="K12" s="2">
        <f>H3</f>
        <v>8049.1311042537209</v>
      </c>
      <c r="L12" s="2">
        <f>H4</f>
        <v>75177.561772378715</v>
      </c>
      <c r="M12" s="21">
        <f ca="1">SUM(M5:M11)</f>
        <v>83730.122249770197</v>
      </c>
      <c r="N12" s="2">
        <f ca="1">SUM(N5:N11)</f>
        <v>68468.512168485438</v>
      </c>
      <c r="O12" s="2">
        <f ca="1">SUM(O5:O11)</f>
        <v>503.42937313776173</v>
      </c>
      <c r="Q12" s="2" t="s">
        <v>34</v>
      </c>
      <c r="R12" s="2">
        <f ca="1">N12</f>
        <v>68468.512168485438</v>
      </c>
      <c r="S12" s="2">
        <f ca="1">SUM(S5:S11)</f>
        <v>29409.418664851979</v>
      </c>
      <c r="T12" s="2">
        <f ca="1">SUM(T5:T11)</f>
        <v>66893.664246787623</v>
      </c>
      <c r="U12" s="2">
        <f ca="1">SUM(U5:U11)</f>
        <v>66390.234873649868</v>
      </c>
      <c r="V12" s="2">
        <f ca="1">SUM(V5:V11)</f>
        <v>27823.847074278201</v>
      </c>
      <c r="X12" s="2" t="s">
        <v>34</v>
      </c>
      <c r="Y12" s="2">
        <f ca="1">SUM(Y5:Y11)</f>
        <v>29409.418664851979</v>
      </c>
      <c r="Z12" s="2">
        <f ca="1">T34-U34</f>
        <v>1.2763091041581733</v>
      </c>
      <c r="AA12" s="2">
        <f ca="1">Z12+Y12</f>
        <v>29410.694973956139</v>
      </c>
      <c r="AB12" s="2">
        <f ca="1">(SUM(AB5:AB9) + AB11) /  (1 - AB20)</f>
        <v>1584.7053643175393</v>
      </c>
      <c r="AC12" s="2">
        <f ca="1">SUM(AC5:AC11)</f>
        <v>27825.989609638596</v>
      </c>
    </row>
    <row r="13" spans="1:29" ht="15.75" thickBot="1" x14ac:dyDescent="0.3">
      <c r="A13" s="48" t="s">
        <v>20</v>
      </c>
      <c r="B13" s="48"/>
      <c r="C13" s="48">
        <f>44.053</f>
        <v>44.052999999999997</v>
      </c>
      <c r="D13" s="48"/>
      <c r="F13" s="49" t="s">
        <v>90</v>
      </c>
      <c r="G13" s="49"/>
      <c r="H13" s="49"/>
      <c r="J13" s="31" t="s">
        <v>35</v>
      </c>
      <c r="K13" s="31"/>
      <c r="L13" s="31"/>
      <c r="M13" s="31"/>
      <c r="N13" s="31"/>
      <c r="O13" s="31"/>
      <c r="Q13" s="31" t="s">
        <v>35</v>
      </c>
      <c r="R13" s="31"/>
      <c r="S13" s="31"/>
      <c r="T13" s="31"/>
      <c r="U13" s="31"/>
      <c r="V13" s="31"/>
      <c r="X13" s="31" t="s">
        <v>35</v>
      </c>
      <c r="Y13" s="31"/>
      <c r="Z13" s="31"/>
      <c r="AA13" s="31"/>
      <c r="AB13" s="31"/>
      <c r="AC13" s="31"/>
    </row>
    <row r="14" spans="1:29" ht="15.75" thickBot="1" x14ac:dyDescent="0.3">
      <c r="A14" s="44" t="s">
        <v>32</v>
      </c>
      <c r="B14" s="45"/>
      <c r="C14" s="44">
        <v>44.009</v>
      </c>
      <c r="D14" s="45"/>
      <c r="F14" s="26" t="s">
        <v>21</v>
      </c>
      <c r="G14" s="47"/>
      <c r="H14" s="4">
        <f ca="1">(N10+V10)/(N8+V8)</f>
        <v>43</v>
      </c>
      <c r="I14" s="23">
        <f>A48</f>
        <v>43</v>
      </c>
      <c r="J14" s="2"/>
      <c r="K14" s="24">
        <v>1</v>
      </c>
      <c r="L14" s="24">
        <v>2</v>
      </c>
      <c r="M14" s="24" t="s">
        <v>9</v>
      </c>
      <c r="N14" s="24">
        <v>5</v>
      </c>
      <c r="O14" s="24" t="s">
        <v>10</v>
      </c>
      <c r="Q14" s="2"/>
      <c r="R14" s="24">
        <v>5</v>
      </c>
      <c r="S14" s="24">
        <v>6</v>
      </c>
      <c r="T14" s="24" t="s">
        <v>11</v>
      </c>
      <c r="U14" s="24" t="s">
        <v>12</v>
      </c>
      <c r="V14" s="24" t="s">
        <v>13</v>
      </c>
      <c r="X14" s="2"/>
      <c r="Y14" s="24">
        <v>6</v>
      </c>
      <c r="Z14" s="24" t="s">
        <v>14</v>
      </c>
      <c r="AA14" s="24" t="s">
        <v>15</v>
      </c>
      <c r="AB14" s="24">
        <v>10</v>
      </c>
      <c r="AC14" s="24">
        <v>8</v>
      </c>
    </row>
    <row r="15" spans="1:29" ht="15.75" thickBot="1" x14ac:dyDescent="0.3">
      <c r="A15" s="48" t="s">
        <v>30</v>
      </c>
      <c r="B15" s="48"/>
      <c r="C15" s="48">
        <v>18.015000000000001</v>
      </c>
      <c r="D15" s="48"/>
      <c r="F15" s="26" t="s">
        <v>28</v>
      </c>
      <c r="G15" s="47"/>
      <c r="H15" s="4">
        <f ca="1">M7/2</f>
        <v>4051.7626453641615</v>
      </c>
      <c r="I15" s="5">
        <f ca="1">M6</f>
        <v>15787.287972205491</v>
      </c>
      <c r="J15" s="2" t="s">
        <v>18</v>
      </c>
      <c r="K15" s="1">
        <v>0</v>
      </c>
      <c r="L15" s="1">
        <f>C18</f>
        <v>0.79</v>
      </c>
      <c r="M15" s="1">
        <f ca="1">M5/M$12</f>
        <v>0.71463034306554496</v>
      </c>
      <c r="N15" s="1">
        <f ca="1">N5/N$12</f>
        <v>0.87392122441671127</v>
      </c>
      <c r="O15" s="1">
        <f ca="1">O5/O$12</f>
        <v>0.88555060924525852</v>
      </c>
      <c r="Q15" s="2" t="s">
        <v>18</v>
      </c>
      <c r="R15" s="1">
        <f ca="1">R5/R$12</f>
        <v>0.87392122441671127</v>
      </c>
      <c r="S15" s="1">
        <f ca="1">S5/$S$12</f>
        <v>2.0345892134136293E-2</v>
      </c>
      <c r="T15" s="1">
        <f ca="1">T5/$T$12</f>
        <v>0.88555060924525864</v>
      </c>
      <c r="U15" s="1">
        <f ca="1">U5/$U$12</f>
        <v>0.88555060924525864</v>
      </c>
      <c r="V15" s="1">
        <f ca="1">V5/$V$12</f>
        <v>0</v>
      </c>
      <c r="X15" s="2" t="s">
        <v>18</v>
      </c>
      <c r="Y15" s="1">
        <f t="shared" ref="Y15:AC21" ca="1" si="8">Y5/Y$12</f>
        <v>2.0345892134136293E-2</v>
      </c>
      <c r="Z15" s="1">
        <f t="shared" ca="1" si="8"/>
        <v>0.46929056429280641</v>
      </c>
      <c r="AA15" s="1">
        <f ca="1">AA5/AA$12</f>
        <v>2.0365374576589518E-2</v>
      </c>
      <c r="AB15" s="1">
        <f t="shared" ca="1" si="8"/>
        <v>0.37796289025649904</v>
      </c>
      <c r="AC15" s="1">
        <f t="shared" ca="1" si="8"/>
        <v>0</v>
      </c>
    </row>
    <row r="16" spans="1:29" ht="15.75" thickBot="1" x14ac:dyDescent="0.3">
      <c r="A16" s="51" t="s">
        <v>3</v>
      </c>
      <c r="B16" s="51"/>
      <c r="C16" s="51"/>
      <c r="D16" s="51"/>
      <c r="F16" s="26" t="s">
        <v>89</v>
      </c>
      <c r="G16" s="47"/>
      <c r="H16" s="4">
        <f>L5</f>
        <v>59390.273800179188</v>
      </c>
      <c r="I16" s="23">
        <f ca="1">S27+U5</f>
        <v>59390.273800179188</v>
      </c>
      <c r="J16" s="2" t="s">
        <v>22</v>
      </c>
      <c r="K16" s="1">
        <v>0</v>
      </c>
      <c r="L16" s="1">
        <f>C19</f>
        <v>0.21</v>
      </c>
      <c r="M16" s="1">
        <f t="shared" ref="M16:O21" ca="1" si="9">M6/M$12</f>
        <v>0.18854968257554194</v>
      </c>
      <c r="N16" s="1">
        <f t="shared" ca="1" si="9"/>
        <v>1.1809395108605286E-11</v>
      </c>
      <c r="O16" s="1">
        <f t="shared" ca="1" si="9"/>
        <v>1.1845670099917332E-11</v>
      </c>
      <c r="Q16" s="2" t="s">
        <v>22</v>
      </c>
      <c r="R16" s="1">
        <f t="shared" ref="R16:R21" ca="1" si="10">R6/R$12</f>
        <v>1.1809395108605286E-11</v>
      </c>
      <c r="S16" s="1">
        <f t="shared" ref="S16:S21" ca="1" si="11">S6/$S$12</f>
        <v>5.4987262544046152E-13</v>
      </c>
      <c r="T16" s="1">
        <f t="shared" ref="T16:T19" ca="1" si="12">T6/$T$12</f>
        <v>1.1845670099917219E-11</v>
      </c>
      <c r="U16" s="1">
        <f t="shared" ref="U16:U21" ca="1" si="13">U6/$U$12</f>
        <v>1.1845670099917215E-11</v>
      </c>
      <c r="V16" s="1">
        <f t="shared" ref="V16:V21" ca="1" si="14">V6/$V$12</f>
        <v>0</v>
      </c>
      <c r="X16" s="2" t="s">
        <v>22</v>
      </c>
      <c r="Y16" s="1">
        <f t="shared" ca="1" si="8"/>
        <v>5.4987262544046152E-13</v>
      </c>
      <c r="Z16" s="1">
        <f t="shared" ca="1" si="8"/>
        <v>1.2683151615119663E-11</v>
      </c>
      <c r="AA16" s="1">
        <f t="shared" ca="1" si="8"/>
        <v>5.5039916228195852E-13</v>
      </c>
      <c r="AB16" s="1">
        <f t="shared" ca="1" si="8"/>
        <v>1.0214909496925279E-11</v>
      </c>
      <c r="AC16" s="1">
        <f t="shared" ca="1" si="8"/>
        <v>0</v>
      </c>
    </row>
    <row r="17" spans="1:31" ht="15.75" thickBot="1" x14ac:dyDescent="0.3">
      <c r="A17" s="51" t="s">
        <v>36</v>
      </c>
      <c r="B17" s="51"/>
      <c r="C17" s="51"/>
      <c r="D17" s="51"/>
      <c r="F17" s="26" t="s">
        <v>91</v>
      </c>
      <c r="G17" s="47"/>
      <c r="H17" s="4">
        <f ca="1">N6</f>
        <v>8.0857171269599348E-7</v>
      </c>
      <c r="I17" s="5" t="s">
        <v>92</v>
      </c>
      <c r="J17" s="2" t="s">
        <v>25</v>
      </c>
      <c r="K17" s="1">
        <v>1</v>
      </c>
      <c r="L17" s="1">
        <v>0</v>
      </c>
      <c r="M17" s="1">
        <f t="shared" ca="1" si="9"/>
        <v>9.6781481657881654E-2</v>
      </c>
      <c r="N17" s="1">
        <f t="shared" ca="1" si="9"/>
        <v>0.10609256489660264</v>
      </c>
      <c r="O17" s="1">
        <f t="shared" ca="1" si="9"/>
        <v>0.10804730390595879</v>
      </c>
      <c r="Q17" s="2" t="s">
        <v>25</v>
      </c>
      <c r="R17" s="1">
        <f t="shared" ca="1" si="10"/>
        <v>0.10609256489660264</v>
      </c>
      <c r="S17" s="1">
        <f t="shared" ca="1" si="11"/>
        <v>1.2349785205530565E-3</v>
      </c>
      <c r="T17" s="1">
        <f t="shared" ca="1" si="12"/>
        <v>0.10804730390595867</v>
      </c>
      <c r="U17" s="1">
        <f t="shared" ca="1" si="13"/>
        <v>0.10804730390595865</v>
      </c>
      <c r="V17" s="1">
        <f t="shared" ca="1" si="14"/>
        <v>0</v>
      </c>
      <c r="X17" s="2" t="s">
        <v>25</v>
      </c>
      <c r="Y17" s="1">
        <f t="shared" ca="1" si="8"/>
        <v>1.2349785205530565E-3</v>
      </c>
      <c r="Z17" s="1">
        <f t="shared" ca="1" si="8"/>
        <v>0</v>
      </c>
      <c r="AA17" s="1">
        <f t="shared" ca="1" si="8"/>
        <v>1.2349249273166294E-3</v>
      </c>
      <c r="AB17" s="1">
        <f t="shared" ca="1" si="8"/>
        <v>2.2919087150743457E-2</v>
      </c>
      <c r="AC17" s="1">
        <f t="shared" ca="1" si="8"/>
        <v>0</v>
      </c>
    </row>
    <row r="18" spans="1:31" ht="15.75" thickBot="1" x14ac:dyDescent="0.3">
      <c r="A18" s="50" t="s">
        <v>18</v>
      </c>
      <c r="B18" s="50"/>
      <c r="C18" s="50">
        <v>0.79</v>
      </c>
      <c r="D18" s="50"/>
      <c r="F18" s="26" t="s">
        <v>93</v>
      </c>
      <c r="G18" s="47"/>
      <c r="H18" s="4">
        <f ca="1">AE34</f>
        <v>217.35169973117254</v>
      </c>
      <c r="I18" s="23">
        <f>C4</f>
        <v>226.99929630218148</v>
      </c>
      <c r="J18" s="2" t="s">
        <v>27</v>
      </c>
      <c r="K18" s="1">
        <v>0</v>
      </c>
      <c r="L18" s="1">
        <v>0</v>
      </c>
      <c r="M18" s="1">
        <f t="shared" ca="1" si="9"/>
        <v>0</v>
      </c>
      <c r="N18" s="1">
        <f ca="1">N8/N$12</f>
        <v>9.5703295435305407E-3</v>
      </c>
      <c r="O18" s="1">
        <f t="shared" ca="1" si="9"/>
        <v>0</v>
      </c>
      <c r="Q18" s="2" t="s">
        <v>27</v>
      </c>
      <c r="R18" s="1">
        <f t="shared" ca="1" si="10"/>
        <v>9.5703295435305407E-3</v>
      </c>
      <c r="S18" s="1">
        <f t="shared" ca="1" si="11"/>
        <v>2.2169424738164231E-2</v>
      </c>
      <c r="T18" s="1">
        <f t="shared" ca="1" si="12"/>
        <v>0</v>
      </c>
      <c r="U18" s="1">
        <f t="shared" ca="1" si="13"/>
        <v>0</v>
      </c>
      <c r="V18" s="1">
        <f t="shared" ca="1" si="14"/>
        <v>0</v>
      </c>
      <c r="X18" s="2" t="s">
        <v>27</v>
      </c>
      <c r="Y18" s="1">
        <f t="shared" ca="1" si="8"/>
        <v>2.2169424738164231E-2</v>
      </c>
      <c r="Z18" s="1">
        <f t="shared" ca="1" si="8"/>
        <v>0.51135146971335599</v>
      </c>
      <c r="AA18" s="1">
        <f t="shared" ca="1" si="8"/>
        <v>2.2190653325184884E-2</v>
      </c>
      <c r="AB18" s="1">
        <f t="shared" ca="1" si="8"/>
        <v>0.41183840915492936</v>
      </c>
      <c r="AC18" s="1">
        <f t="shared" ca="1" si="8"/>
        <v>0</v>
      </c>
    </row>
    <row r="19" spans="1:31" ht="15.75" thickBot="1" x14ac:dyDescent="0.3">
      <c r="A19" s="50" t="s">
        <v>22</v>
      </c>
      <c r="B19" s="50"/>
      <c r="C19" s="50">
        <v>0.21</v>
      </c>
      <c r="D19" s="50"/>
      <c r="F19" s="26" t="s">
        <v>95</v>
      </c>
      <c r="G19" s="47"/>
      <c r="H19" s="4">
        <f ca="1">O34</f>
        <v>2.1425353603954136</v>
      </c>
      <c r="I19" s="23" t="s">
        <v>92</v>
      </c>
      <c r="J19" s="2" t="s">
        <v>20</v>
      </c>
      <c r="K19" s="1">
        <v>0</v>
      </c>
      <c r="L19" s="1">
        <v>0</v>
      </c>
      <c r="M19" s="1">
        <f t="shared" ca="1" si="9"/>
        <v>0</v>
      </c>
      <c r="N19" s="1">
        <f t="shared" ca="1" si="9"/>
        <v>1.1623882036676769E-4</v>
      </c>
      <c r="O19" s="1">
        <f t="shared" ca="1" si="9"/>
        <v>0</v>
      </c>
      <c r="Q19" s="2" t="s">
        <v>20</v>
      </c>
      <c r="R19" s="1">
        <f t="shared" ca="1" si="10"/>
        <v>1.1623882036676769E-4</v>
      </c>
      <c r="S19" s="1">
        <f t="shared" ca="1" si="11"/>
        <v>2.7061735484911473E-4</v>
      </c>
      <c r="T19" s="1">
        <f t="shared" ca="1" si="12"/>
        <v>0</v>
      </c>
      <c r="U19" s="1">
        <f t="shared" ca="1" si="13"/>
        <v>0</v>
      </c>
      <c r="V19" s="1">
        <f t="shared" ca="1" si="14"/>
        <v>0</v>
      </c>
      <c r="X19" s="2" t="s">
        <v>20</v>
      </c>
      <c r="Y19" s="1">
        <f t="shared" ca="1" si="8"/>
        <v>2.7061735484911473E-4</v>
      </c>
      <c r="Z19" s="1">
        <f t="shared" ca="1" si="8"/>
        <v>0</v>
      </c>
      <c r="AA19" s="1">
        <f t="shared" ca="1" si="8"/>
        <v>2.7060561111459766E-4</v>
      </c>
      <c r="AB19" s="1">
        <f t="shared" ca="1" si="8"/>
        <v>5.0221948293586284E-3</v>
      </c>
      <c r="AC19" s="1">
        <f t="shared" ca="1" si="8"/>
        <v>0</v>
      </c>
    </row>
    <row r="20" spans="1:31" ht="15.75" thickBot="1" x14ac:dyDescent="0.3">
      <c r="A20" s="51" t="s">
        <v>37</v>
      </c>
      <c r="B20" s="51"/>
      <c r="C20" s="51"/>
      <c r="D20" s="51"/>
      <c r="F20" s="26"/>
      <c r="G20" s="47"/>
      <c r="H20" s="4"/>
      <c r="I20" s="23"/>
      <c r="J20" s="2" t="s">
        <v>30</v>
      </c>
      <c r="K20" s="1">
        <v>0</v>
      </c>
      <c r="L20" s="1">
        <v>0</v>
      </c>
      <c r="M20" s="1">
        <f t="shared" ca="1" si="9"/>
        <v>9.0187860642795643E-6</v>
      </c>
      <c r="N20" s="1">
        <f t="shared" ca="1" si="9"/>
        <v>5.1498211554897111E-3</v>
      </c>
      <c r="O20" s="1">
        <f t="shared" ca="1" si="9"/>
        <v>1.500000000000018E-3</v>
      </c>
      <c r="Q20" s="2" t="s">
        <v>30</v>
      </c>
      <c r="R20" s="1">
        <f t="shared" ca="1" si="10"/>
        <v>5.1498211554897111E-3</v>
      </c>
      <c r="S20" s="1">
        <f t="shared" ca="1" si="11"/>
        <v>0.95513983089810139</v>
      </c>
      <c r="T20" s="1">
        <v>1.5E-3</v>
      </c>
      <c r="U20" s="1">
        <f t="shared" ca="1" si="13"/>
        <v>1.4999999999999998E-3</v>
      </c>
      <c r="V20" s="1">
        <f t="shared" ca="1" si="14"/>
        <v>1</v>
      </c>
      <c r="X20" s="2" t="s">
        <v>30</v>
      </c>
      <c r="Y20" s="1">
        <f t="shared" ca="1" si="8"/>
        <v>0.95513983089810139</v>
      </c>
      <c r="Z20" s="1">
        <f t="shared" ca="1" si="8"/>
        <v>0</v>
      </c>
      <c r="AA20" s="1">
        <f t="shared" ca="1" si="8"/>
        <v>0.95509838156604721</v>
      </c>
      <c r="AB20" s="1">
        <f>A76/6</f>
        <v>0.16666666666666666</v>
      </c>
      <c r="AC20" s="1">
        <f ca="1">AC10/AC$12</f>
        <v>1</v>
      </c>
    </row>
    <row r="21" spans="1:31" x14ac:dyDescent="0.25">
      <c r="A21" s="50" t="s">
        <v>18</v>
      </c>
      <c r="B21" s="50"/>
      <c r="C21" s="50">
        <f>L5</f>
        <v>59390.273800179188</v>
      </c>
      <c r="D21" s="50"/>
      <c r="J21" s="2" t="s">
        <v>32</v>
      </c>
      <c r="K21" s="1">
        <v>0</v>
      </c>
      <c r="L21" s="1">
        <v>0</v>
      </c>
      <c r="M21" s="1">
        <f t="shared" ca="1" si="9"/>
        <v>2.9473914967237088E-5</v>
      </c>
      <c r="N21" s="1">
        <f t="shared" ca="1" si="9"/>
        <v>5.1498211554897111E-3</v>
      </c>
      <c r="O21" s="1">
        <f t="shared" ca="1" si="9"/>
        <v>4.9020868369370509E-3</v>
      </c>
      <c r="Q21" s="2" t="s">
        <v>32</v>
      </c>
      <c r="R21" s="1">
        <f t="shared" ca="1" si="10"/>
        <v>5.1498211554897111E-3</v>
      </c>
      <c r="S21" s="1">
        <f t="shared" ca="1" si="11"/>
        <v>8.3925635364598937E-4</v>
      </c>
      <c r="T21" s="1">
        <f ca="1">T11/T12</f>
        <v>4.9020868369369728E-3</v>
      </c>
      <c r="U21" s="1">
        <f t="shared" ca="1" si="13"/>
        <v>4.9020868369369719E-3</v>
      </c>
      <c r="V21" s="1">
        <f t="shared" ca="1" si="14"/>
        <v>0</v>
      </c>
      <c r="X21" s="2" t="s">
        <v>32</v>
      </c>
      <c r="Y21" s="1">
        <f t="shared" ca="1" si="8"/>
        <v>8.3925635364598937E-4</v>
      </c>
      <c r="Z21" s="1">
        <f t="shared" ca="1" si="8"/>
        <v>1.935796598115451E-2</v>
      </c>
      <c r="AA21" s="1">
        <f t="shared" ca="1" si="8"/>
        <v>8.4005999319669632E-4</v>
      </c>
      <c r="AB21" s="1">
        <f ca="1">AB11/AB$12</f>
        <v>1.5590751931588103E-2</v>
      </c>
      <c r="AC21" s="1">
        <f ca="1">AC11/AC$12</f>
        <v>0</v>
      </c>
    </row>
    <row r="22" spans="1:31" x14ac:dyDescent="0.25">
      <c r="A22" s="50" t="s">
        <v>22</v>
      </c>
      <c r="B22" s="50"/>
      <c r="C22" s="50">
        <f>L6</f>
        <v>15787.287972199529</v>
      </c>
      <c r="D22" s="50"/>
      <c r="J22" s="2" t="s">
        <v>34</v>
      </c>
      <c r="K22" s="2">
        <f>SUM(K15:K21)</f>
        <v>1</v>
      </c>
      <c r="L22" s="2">
        <f>SUM(L15:L21)</f>
        <v>1</v>
      </c>
      <c r="M22" s="2">
        <f ca="1">SUM(M15:M21)</f>
        <v>1.0000000000000002</v>
      </c>
      <c r="N22" s="2">
        <f ca="1">SUM(N15:N21)</f>
        <v>1.0000000000000002</v>
      </c>
      <c r="O22" s="2">
        <f ca="1">SUM(O15:O21)</f>
        <v>1.0000000000000002</v>
      </c>
      <c r="Q22" s="2" t="s">
        <v>34</v>
      </c>
      <c r="R22" s="2">
        <f ca="1">SUM(R15:R21)</f>
        <v>1.0000000000000002</v>
      </c>
      <c r="S22" s="2">
        <f ca="1">SUM(S15:S21)</f>
        <v>1</v>
      </c>
      <c r="T22" s="2">
        <f ca="1">SUM(T15:T21)</f>
        <v>0.99999999999999978</v>
      </c>
      <c r="U22" s="2">
        <v>1</v>
      </c>
      <c r="V22" s="2">
        <f ca="1">SUM(V15:V21)</f>
        <v>1</v>
      </c>
      <c r="X22" s="2" t="s">
        <v>34</v>
      </c>
      <c r="Y22" s="2">
        <f ca="1">SUM(Y15:Y21)</f>
        <v>1</v>
      </c>
      <c r="Z22" s="2">
        <f ca="1">SUM(Z15:Z21)</f>
        <v>1</v>
      </c>
      <c r="AA22" s="2">
        <f ca="1">SUM(AA15:AA21)</f>
        <v>0.99999999999999989</v>
      </c>
      <c r="AB22" s="2">
        <f ca="1">SUM(AB15:AB21)</f>
        <v>1.0000000000000002</v>
      </c>
      <c r="AC22" s="2">
        <f ca="1">SUM(AC15:AC21)</f>
        <v>1</v>
      </c>
    </row>
    <row r="23" spans="1:31" x14ac:dyDescent="0.25">
      <c r="A23" s="50" t="s">
        <v>25</v>
      </c>
      <c r="B23" s="50"/>
      <c r="C23" s="50">
        <f>K7</f>
        <v>8049.1311042537209</v>
      </c>
      <c r="D23" s="50"/>
    </row>
    <row r="24" spans="1:31" x14ac:dyDescent="0.25">
      <c r="A24" s="51" t="s">
        <v>38</v>
      </c>
      <c r="B24" s="51"/>
      <c r="C24" s="51"/>
      <c r="D24" s="51"/>
      <c r="E24" s="55" t="s">
        <v>39</v>
      </c>
      <c r="F24" s="55"/>
      <c r="I24" s="26" t="s">
        <v>40</v>
      </c>
      <c r="J24" s="27"/>
      <c r="K24" s="27"/>
      <c r="L24" s="28"/>
      <c r="N24" s="62" t="s">
        <v>41</v>
      </c>
      <c r="O24" s="63"/>
      <c r="P24" s="63"/>
      <c r="Q24" s="63"/>
      <c r="R24" s="63"/>
      <c r="S24" s="63"/>
      <c r="T24" s="63"/>
      <c r="U24" s="63"/>
      <c r="W24" s="26" t="s">
        <v>42</v>
      </c>
      <c r="X24" s="27"/>
      <c r="Y24" s="27"/>
      <c r="Z24" s="28"/>
      <c r="AB24" s="26" t="s">
        <v>43</v>
      </c>
      <c r="AC24" s="27"/>
      <c r="AD24" s="27"/>
      <c r="AE24" s="28"/>
    </row>
    <row r="25" spans="1:31" x14ac:dyDescent="0.25">
      <c r="A25" s="52">
        <f>(10+3*0.12)%</f>
        <v>0.1036</v>
      </c>
      <c r="B25" s="53"/>
      <c r="C25" s="53"/>
      <c r="D25" s="54"/>
      <c r="E25" s="55">
        <f ca="1">(M7-N7)-E27</f>
        <v>176.3002962250855</v>
      </c>
      <c r="F25" s="55"/>
      <c r="I25" s="56" t="s">
        <v>7</v>
      </c>
      <c r="J25" s="57"/>
      <c r="K25" s="57"/>
      <c r="L25" s="58"/>
      <c r="N25" s="59" t="s">
        <v>7</v>
      </c>
      <c r="O25" s="60"/>
      <c r="P25" s="60"/>
      <c r="Q25" s="60"/>
      <c r="R25" s="60"/>
      <c r="S25" s="60"/>
      <c r="T25" s="60"/>
      <c r="U25" s="60"/>
      <c r="W25" s="56" t="s">
        <v>7</v>
      </c>
      <c r="X25" s="57"/>
      <c r="Y25" s="57"/>
      <c r="Z25" s="58"/>
      <c r="AB25" s="56" t="s">
        <v>7</v>
      </c>
      <c r="AC25" s="57"/>
      <c r="AD25" s="57"/>
      <c r="AE25" s="58"/>
    </row>
    <row r="26" spans="1:31" x14ac:dyDescent="0.25">
      <c r="A26" s="51" t="s">
        <v>44</v>
      </c>
      <c r="B26" s="51"/>
      <c r="C26" s="51"/>
      <c r="D26" s="51"/>
      <c r="E26" s="55" t="s">
        <v>45</v>
      </c>
      <c r="F26" s="55"/>
      <c r="I26" s="2"/>
      <c r="J26" s="24">
        <v>10</v>
      </c>
      <c r="K26" s="24">
        <v>11</v>
      </c>
      <c r="L26" s="24">
        <v>12</v>
      </c>
      <c r="N26" s="2"/>
      <c r="O26" s="20" t="s">
        <v>46</v>
      </c>
      <c r="P26" s="20" t="s">
        <v>47</v>
      </c>
      <c r="Q26" s="20" t="s">
        <v>48</v>
      </c>
      <c r="R26" s="24">
        <v>11</v>
      </c>
      <c r="S26" s="24">
        <v>13</v>
      </c>
      <c r="T26" s="24">
        <v>14</v>
      </c>
      <c r="U26" s="24" t="s">
        <v>49</v>
      </c>
      <c r="W26" s="2"/>
      <c r="X26" s="24">
        <v>12</v>
      </c>
      <c r="Y26" s="24">
        <v>15</v>
      </c>
      <c r="Z26" s="24">
        <v>16</v>
      </c>
      <c r="AB26" s="2"/>
      <c r="AC26" s="24">
        <v>15</v>
      </c>
      <c r="AD26" s="24" t="s">
        <v>50</v>
      </c>
      <c r="AE26" s="24" t="s">
        <v>51</v>
      </c>
    </row>
    <row r="27" spans="1:31" x14ac:dyDescent="0.25">
      <c r="A27" s="50">
        <f>(1.2)/100</f>
        <v>1.2E-2</v>
      </c>
      <c r="B27" s="50"/>
      <c r="C27" s="50"/>
      <c r="D27" s="50"/>
      <c r="E27" s="61">
        <f ca="1">M18+E29</f>
        <v>663.22492389436889</v>
      </c>
      <c r="F27" s="55"/>
      <c r="I27" s="2" t="s">
        <v>18</v>
      </c>
      <c r="J27" s="1">
        <f t="shared" ref="J27:J34" ca="1" si="15">AB5</f>
        <v>598.95981970243542</v>
      </c>
      <c r="K27" s="9">
        <f t="shared" ref="K27:K33" ca="1" si="16">J46*J27</f>
        <v>598.95981970243542</v>
      </c>
      <c r="L27" s="1">
        <f t="shared" ref="L27:L33" ca="1" si="17">K46*J27</f>
        <v>0</v>
      </c>
      <c r="N27" s="2" t="s">
        <v>18</v>
      </c>
      <c r="O27" s="21">
        <f>AC5-V5</f>
        <v>0</v>
      </c>
      <c r="P27" s="21">
        <v>0</v>
      </c>
      <c r="Q27" s="21">
        <f>O27+P27</f>
        <v>0</v>
      </c>
      <c r="R27" s="9">
        <f ca="1">K27</f>
        <v>598.95981970243542</v>
      </c>
      <c r="S27" s="1">
        <f ca="1">0.999*R27</f>
        <v>598.36085988273294</v>
      </c>
      <c r="T27" s="1">
        <f ca="1">0.001*R27</f>
        <v>0.59895981970243539</v>
      </c>
      <c r="U27" s="1">
        <f t="shared" ref="U27:U33" ca="1" si="18">T27*$H$7</f>
        <v>0</v>
      </c>
      <c r="W27" s="2" t="s">
        <v>18</v>
      </c>
      <c r="X27" s="1">
        <f t="shared" ref="X27:X34" ca="1" si="19">L27</f>
        <v>0</v>
      </c>
      <c r="Y27" s="1">
        <f ca="1">AC27</f>
        <v>0</v>
      </c>
      <c r="Z27" s="1">
        <v>0</v>
      </c>
      <c r="AB27" s="2" t="s">
        <v>18</v>
      </c>
      <c r="AC27" s="1">
        <f t="shared" ref="AC27:AC34" ca="1" si="20">Y27</f>
        <v>0</v>
      </c>
      <c r="AD27" s="1">
        <f>$A$74*AE27</f>
        <v>0</v>
      </c>
      <c r="AE27" s="1">
        <v>0</v>
      </c>
    </row>
    <row r="28" spans="1:31" x14ac:dyDescent="0.25">
      <c r="A28" s="51" t="s">
        <v>52</v>
      </c>
      <c r="B28" s="51"/>
      <c r="C28" s="51"/>
      <c r="D28" s="51"/>
      <c r="E28" s="55" t="s">
        <v>53</v>
      </c>
      <c r="F28" s="55"/>
      <c r="I28" s="2" t="s">
        <v>22</v>
      </c>
      <c r="J28" s="1">
        <f t="shared" ca="1" si="15"/>
        <v>1.6187621875795666E-8</v>
      </c>
      <c r="K28" s="9">
        <f t="shared" ca="1" si="16"/>
        <v>1.6187621875795666E-8</v>
      </c>
      <c r="L28" s="1">
        <f t="shared" ca="1" si="17"/>
        <v>0</v>
      </c>
      <c r="N28" s="2" t="s">
        <v>22</v>
      </c>
      <c r="O28" s="21">
        <f t="shared" ref="O28:O33" si="21">AC6-V6</f>
        <v>0</v>
      </c>
      <c r="P28" s="21">
        <v>0</v>
      </c>
      <c r="Q28" s="21">
        <f t="shared" ref="Q28:Q33" si="22">O28+P28</f>
        <v>0</v>
      </c>
      <c r="R28" s="9">
        <f t="shared" ref="R28:R34" ca="1" si="23">K28</f>
        <v>1.6187621875795666E-8</v>
      </c>
      <c r="S28" s="1">
        <f ca="1">0.999*R28</f>
        <v>1.617143425391987E-8</v>
      </c>
      <c r="T28" s="1">
        <f ca="1">0.001*R28</f>
        <v>1.6187621875795666E-11</v>
      </c>
      <c r="U28" s="1">
        <f t="shared" ca="1" si="18"/>
        <v>0</v>
      </c>
      <c r="W28" s="2" t="s">
        <v>22</v>
      </c>
      <c r="X28" s="1">
        <f t="shared" ca="1" si="19"/>
        <v>0</v>
      </c>
      <c r="Y28" s="1">
        <f t="shared" ref="Y28:Y33" ca="1" si="24">AC28</f>
        <v>0</v>
      </c>
      <c r="Z28" s="1">
        <v>0</v>
      </c>
      <c r="AB28" s="2" t="s">
        <v>22</v>
      </c>
      <c r="AC28" s="1">
        <f t="shared" ca="1" si="20"/>
        <v>0</v>
      </c>
      <c r="AD28" s="1">
        <f t="shared" ref="AD28:AD33" si="25">$A$74*AE28</f>
        <v>0</v>
      </c>
      <c r="AE28" s="1">
        <v>0</v>
      </c>
    </row>
    <row r="29" spans="1:31" x14ac:dyDescent="0.25">
      <c r="A29" s="50">
        <f>(79)/100</f>
        <v>0.79</v>
      </c>
      <c r="B29" s="50"/>
      <c r="C29" s="50"/>
      <c r="D29" s="50"/>
      <c r="E29" s="55">
        <f ca="1">A29*A25*M7</f>
        <v>663.22492389436889</v>
      </c>
      <c r="F29" s="55"/>
      <c r="I29" s="2" t="s">
        <v>25</v>
      </c>
      <c r="J29" s="1">
        <f t="shared" ca="1" si="15"/>
        <v>36.320000353044342</v>
      </c>
      <c r="K29" s="9">
        <f t="shared" ca="1" si="16"/>
        <v>36.320000353044342</v>
      </c>
      <c r="L29" s="1">
        <f t="shared" ca="1" si="17"/>
        <v>0</v>
      </c>
      <c r="N29" s="2" t="s">
        <v>25</v>
      </c>
      <c r="O29" s="21">
        <f t="shared" si="21"/>
        <v>0</v>
      </c>
      <c r="P29" s="21">
        <v>0</v>
      </c>
      <c r="Q29" s="21">
        <f t="shared" si="22"/>
        <v>0</v>
      </c>
      <c r="R29" s="9">
        <f t="shared" ca="1" si="23"/>
        <v>36.320000353044342</v>
      </c>
      <c r="S29" s="1"/>
      <c r="T29" s="1"/>
      <c r="U29" s="1">
        <f t="shared" si="18"/>
        <v>0</v>
      </c>
      <c r="W29" s="2" t="s">
        <v>25</v>
      </c>
      <c r="X29" s="1">
        <f t="shared" ca="1" si="19"/>
        <v>0</v>
      </c>
      <c r="Y29" s="1">
        <f t="shared" ca="1" si="24"/>
        <v>0</v>
      </c>
      <c r="Z29" s="1">
        <v>0</v>
      </c>
      <c r="AB29" s="2" t="s">
        <v>25</v>
      </c>
      <c r="AC29" s="1">
        <f t="shared" ca="1" si="20"/>
        <v>0</v>
      </c>
      <c r="AD29" s="1">
        <f t="shared" si="25"/>
        <v>0</v>
      </c>
      <c r="AE29" s="1">
        <v>0</v>
      </c>
    </row>
    <row r="30" spans="1:31" x14ac:dyDescent="0.25">
      <c r="A30" s="67" t="s">
        <v>54</v>
      </c>
      <c r="B30" s="67"/>
      <c r="C30" s="67"/>
      <c r="D30" s="67"/>
      <c r="E30" s="55" t="s">
        <v>55</v>
      </c>
      <c r="F30" s="55"/>
      <c r="I30" s="2" t="s">
        <v>27</v>
      </c>
      <c r="J30" s="1">
        <f t="shared" ca="1" si="15"/>
        <v>652.64253621981811</v>
      </c>
      <c r="K30" s="9">
        <f t="shared" ca="1" si="16"/>
        <v>0.65264253621981871</v>
      </c>
      <c r="L30" s="1">
        <f t="shared" ca="1" si="17"/>
        <v>651.98989368359832</v>
      </c>
      <c r="N30" s="2" t="s">
        <v>27</v>
      </c>
      <c r="O30" s="21">
        <f t="shared" si="21"/>
        <v>0</v>
      </c>
      <c r="P30" s="21">
        <v>0</v>
      </c>
      <c r="Q30" s="21">
        <f t="shared" si="22"/>
        <v>0</v>
      </c>
      <c r="R30" s="9">
        <f t="shared" ca="1" si="23"/>
        <v>0.65264253621981871</v>
      </c>
      <c r="S30" s="1">
        <v>0</v>
      </c>
      <c r="T30" s="9">
        <f ca="1">R30</f>
        <v>0.65264253621981871</v>
      </c>
      <c r="U30" s="1">
        <f t="shared" ca="1" si="18"/>
        <v>0</v>
      </c>
      <c r="W30" s="2" t="s">
        <v>27</v>
      </c>
      <c r="X30" s="1">
        <f t="shared" ca="1" si="19"/>
        <v>651.98989368359832</v>
      </c>
      <c r="Y30" s="1">
        <f ca="1">X30</f>
        <v>651.98989368359832</v>
      </c>
      <c r="Z30" s="1">
        <v>0</v>
      </c>
      <c r="AB30" s="2" t="s">
        <v>27</v>
      </c>
      <c r="AC30" s="1">
        <f t="shared" ca="1" si="20"/>
        <v>651.98989368359832</v>
      </c>
      <c r="AD30" s="1">
        <f ca="1">($A$74/3)*AC30</f>
        <v>434.65992912239886</v>
      </c>
      <c r="AE30" s="1">
        <f ca="1">1/3*AC30</f>
        <v>217.32996456119943</v>
      </c>
    </row>
    <row r="31" spans="1:31" x14ac:dyDescent="0.25">
      <c r="A31" s="67" t="s">
        <v>56</v>
      </c>
      <c r="B31" s="67"/>
      <c r="C31" s="67"/>
      <c r="D31" s="67"/>
      <c r="E31" s="55">
        <f ca="1">(1-A29)*A25*M7</f>
        <v>176.30029622508533</v>
      </c>
      <c r="F31" s="55"/>
      <c r="I31" s="2" t="s">
        <v>20</v>
      </c>
      <c r="J31" s="1">
        <f t="shared" ca="1" si="15"/>
        <v>7.9586990867324268</v>
      </c>
      <c r="K31" s="22">
        <f t="shared" ca="1" si="16"/>
        <v>0</v>
      </c>
      <c r="L31" s="1">
        <f t="shared" ca="1" si="17"/>
        <v>7.9586990867324268</v>
      </c>
      <c r="N31" s="2" t="s">
        <v>20</v>
      </c>
      <c r="O31" s="21">
        <f t="shared" si="21"/>
        <v>0</v>
      </c>
      <c r="P31" s="21">
        <v>0</v>
      </c>
      <c r="Q31" s="21">
        <f t="shared" si="22"/>
        <v>0</v>
      </c>
      <c r="R31" s="9">
        <f t="shared" ca="1" si="23"/>
        <v>0</v>
      </c>
      <c r="S31" s="1"/>
      <c r="T31" s="1"/>
      <c r="U31" s="1">
        <f t="shared" si="18"/>
        <v>0</v>
      </c>
      <c r="W31" s="2" t="s">
        <v>20</v>
      </c>
      <c r="X31" s="1">
        <f t="shared" ca="1" si="19"/>
        <v>7.9586990867324268</v>
      </c>
      <c r="Y31" s="1">
        <f ca="1">Y41*Y34</f>
        <v>6.520550991935177E-2</v>
      </c>
      <c r="Z31" s="1">
        <f ca="1">X31-Y31</f>
        <v>7.893493576813075</v>
      </c>
      <c r="AB31" s="2" t="s">
        <v>20</v>
      </c>
      <c r="AC31" s="1">
        <f t="shared" ca="1" si="20"/>
        <v>6.520550991935177E-2</v>
      </c>
      <c r="AD31" s="1">
        <f ca="1">($A$74/3)*AC31</f>
        <v>4.3470339946234511E-2</v>
      </c>
      <c r="AE31" s="1">
        <f ca="1">1/3*AC31</f>
        <v>2.1735169973117256E-2</v>
      </c>
    </row>
    <row r="32" spans="1:31" x14ac:dyDescent="0.25">
      <c r="A32" s="64" t="s">
        <v>30</v>
      </c>
      <c r="B32" s="65"/>
      <c r="C32" s="65"/>
      <c r="D32" s="66"/>
      <c r="I32" s="2" t="s">
        <v>30</v>
      </c>
      <c r="J32" s="1">
        <f t="shared" ca="1" si="15"/>
        <v>264.11756071958985</v>
      </c>
      <c r="K32" s="22">
        <f t="shared" ca="1" si="16"/>
        <v>0</v>
      </c>
      <c r="L32" s="1">
        <f t="shared" ca="1" si="17"/>
        <v>264.11756071958985</v>
      </c>
      <c r="N32" s="2" t="s">
        <v>30</v>
      </c>
      <c r="O32" s="21">
        <f ca="1">AC10-V10</f>
        <v>2.1425353603954136</v>
      </c>
      <c r="P32" s="21">
        <f>P34</f>
        <v>14</v>
      </c>
      <c r="Q32" s="21">
        <f ca="1">O32+P32</f>
        <v>16.142535360395414</v>
      </c>
      <c r="R32" s="9">
        <f t="shared" ca="1" si="23"/>
        <v>0</v>
      </c>
      <c r="S32" s="1"/>
      <c r="T32" s="1"/>
      <c r="U32" s="1">
        <f t="shared" si="18"/>
        <v>0</v>
      </c>
      <c r="W32" s="2" t="s">
        <v>30</v>
      </c>
      <c r="X32" s="1">
        <f t="shared" ca="1" si="19"/>
        <v>264.11756071958985</v>
      </c>
      <c r="Y32" s="1">
        <f t="shared" ca="1" si="24"/>
        <v>0</v>
      </c>
      <c r="Z32" s="1">
        <f ca="1">X32</f>
        <v>264.11756071958985</v>
      </c>
      <c r="AB32" s="2" t="s">
        <v>30</v>
      </c>
      <c r="AC32" s="1">
        <f t="shared" ca="1" si="20"/>
        <v>0</v>
      </c>
      <c r="AD32" s="1">
        <f t="shared" si="25"/>
        <v>0</v>
      </c>
      <c r="AE32" s="1">
        <v>0</v>
      </c>
    </row>
    <row r="33" spans="1:31" x14ac:dyDescent="0.25">
      <c r="A33" s="67" t="s">
        <v>57</v>
      </c>
      <c r="B33" s="67"/>
      <c r="C33" s="67"/>
      <c r="D33" s="67"/>
      <c r="I33" s="2" t="s">
        <v>32</v>
      </c>
      <c r="J33" s="1">
        <f t="shared" ca="1" si="15"/>
        <v>24.706748219731704</v>
      </c>
      <c r="K33" s="9">
        <f t="shared" ca="1" si="16"/>
        <v>24.706748219731704</v>
      </c>
      <c r="L33" s="1">
        <f t="shared" ca="1" si="17"/>
        <v>0</v>
      </c>
      <c r="N33" s="2" t="s">
        <v>32</v>
      </c>
      <c r="O33" s="21">
        <f t="shared" si="21"/>
        <v>0</v>
      </c>
      <c r="P33" s="21">
        <v>0</v>
      </c>
      <c r="Q33" s="21">
        <f t="shared" si="22"/>
        <v>0</v>
      </c>
      <c r="R33" s="9">
        <f t="shared" ca="1" si="23"/>
        <v>24.706748219731704</v>
      </c>
      <c r="S33" s="1">
        <f ca="1">0.999*R33</f>
        <v>24.682041471511972</v>
      </c>
      <c r="T33" s="1">
        <f ca="1">0.001*R33</f>
        <v>2.4706748219731706E-2</v>
      </c>
      <c r="U33" s="1">
        <f t="shared" ca="1" si="18"/>
        <v>0</v>
      </c>
      <c r="W33" s="2" t="s">
        <v>32</v>
      </c>
      <c r="X33" s="1">
        <f t="shared" ca="1" si="19"/>
        <v>0</v>
      </c>
      <c r="Y33" s="1">
        <f t="shared" ca="1" si="24"/>
        <v>0</v>
      </c>
      <c r="Z33" s="1">
        <v>0</v>
      </c>
      <c r="AB33" s="2" t="s">
        <v>32</v>
      </c>
      <c r="AC33" s="1">
        <f t="shared" ca="1" si="20"/>
        <v>0</v>
      </c>
      <c r="AD33" s="1">
        <f t="shared" si="25"/>
        <v>0</v>
      </c>
      <c r="AE33" s="1">
        <v>0</v>
      </c>
    </row>
    <row r="34" spans="1:31" x14ac:dyDescent="0.25">
      <c r="A34" s="64">
        <v>1</v>
      </c>
      <c r="B34" s="65"/>
      <c r="C34" s="65"/>
      <c r="D34" s="66"/>
      <c r="I34" s="2" t="s">
        <v>34</v>
      </c>
      <c r="J34" s="2">
        <f t="shared" ca="1" si="15"/>
        <v>1584.7053643175393</v>
      </c>
      <c r="K34" s="10">
        <f ca="1">SUM(K27:K33)</f>
        <v>660.63921082761885</v>
      </c>
      <c r="L34" s="2">
        <f ca="1">SUM(L27:L33)</f>
        <v>924.06615348992057</v>
      </c>
      <c r="M34" s="8"/>
      <c r="N34" s="2" t="s">
        <v>34</v>
      </c>
      <c r="O34" s="21">
        <f ca="1">SUM(O27:O33)</f>
        <v>2.1425353603954136</v>
      </c>
      <c r="P34" s="21">
        <f>H8</f>
        <v>14</v>
      </c>
      <c r="Q34" s="21">
        <f ca="1">SUM(Q27:Q33)</f>
        <v>16.142535360395414</v>
      </c>
      <c r="R34" s="2">
        <f t="shared" ca="1" si="23"/>
        <v>660.63921082761885</v>
      </c>
      <c r="S34" s="2">
        <f ca="1">SUM(S27:S33)</f>
        <v>623.0429013704163</v>
      </c>
      <c r="T34" s="2">
        <f ca="1">SUM(T27:T33)</f>
        <v>1.2763091041581733</v>
      </c>
      <c r="U34" s="2">
        <f ca="1">SUM(U27:U33)</f>
        <v>0</v>
      </c>
      <c r="W34" s="2" t="s">
        <v>34</v>
      </c>
      <c r="X34" s="2">
        <f t="shared" ca="1" si="19"/>
        <v>924.06615348992057</v>
      </c>
      <c r="Y34" s="2">
        <f ca="1">Y30/Y40</f>
        <v>652.05509919351766</v>
      </c>
      <c r="Z34" s="2">
        <f ca="1">SUM(Z27:Z33)</f>
        <v>272.0110542964029</v>
      </c>
      <c r="AB34" s="2" t="s">
        <v>34</v>
      </c>
      <c r="AC34" s="2">
        <f t="shared" ca="1" si="20"/>
        <v>652.05509919351766</v>
      </c>
      <c r="AD34" s="2">
        <f ca="1">2/3*AC34</f>
        <v>434.70339946234509</v>
      </c>
      <c r="AE34" s="19">
        <f ca="1">1/3*AC34</f>
        <v>217.35169973117254</v>
      </c>
    </row>
    <row r="35" spans="1:31" x14ac:dyDescent="0.25">
      <c r="A35" s="67" t="s">
        <v>58</v>
      </c>
      <c r="B35" s="67"/>
      <c r="C35" s="67"/>
      <c r="D35" s="67"/>
      <c r="I35" s="56" t="s">
        <v>35</v>
      </c>
      <c r="J35" s="57"/>
      <c r="K35" s="57"/>
      <c r="L35" s="58"/>
      <c r="N35" s="56" t="s">
        <v>35</v>
      </c>
      <c r="O35" s="57"/>
      <c r="P35" s="57"/>
      <c r="Q35" s="57"/>
      <c r="R35" s="57"/>
      <c r="S35" s="57"/>
      <c r="T35" s="57"/>
      <c r="U35" s="58"/>
      <c r="W35" s="56" t="s">
        <v>35</v>
      </c>
      <c r="X35" s="57"/>
      <c r="Y35" s="57"/>
      <c r="Z35" s="58"/>
      <c r="AB35" s="56" t="s">
        <v>35</v>
      </c>
      <c r="AC35" s="57"/>
      <c r="AD35" s="57"/>
      <c r="AE35" s="68"/>
    </row>
    <row r="36" spans="1:31" x14ac:dyDescent="0.25">
      <c r="A36" s="64">
        <f>1/100</f>
        <v>0.01</v>
      </c>
      <c r="B36" s="65"/>
      <c r="C36" s="65"/>
      <c r="D36" s="66"/>
      <c r="I36" s="2"/>
      <c r="J36" s="24">
        <v>10</v>
      </c>
      <c r="K36" s="24">
        <v>11</v>
      </c>
      <c r="L36" s="24">
        <v>12</v>
      </c>
      <c r="N36" s="2"/>
      <c r="O36" s="20" t="s">
        <v>46</v>
      </c>
      <c r="P36" s="20">
        <v>9</v>
      </c>
      <c r="Q36" s="20" t="s">
        <v>48</v>
      </c>
      <c r="R36" s="24">
        <v>11</v>
      </c>
      <c r="S36" s="24">
        <v>13</v>
      </c>
      <c r="T36" s="24">
        <v>14</v>
      </c>
      <c r="U36" s="24" t="s">
        <v>59</v>
      </c>
      <c r="W36" s="2"/>
      <c r="X36" s="24">
        <v>15</v>
      </c>
      <c r="Y36" s="24" t="s">
        <v>50</v>
      </c>
      <c r="Z36" s="24">
        <v>16</v>
      </c>
      <c r="AB36" s="2"/>
      <c r="AC36" s="24">
        <v>15</v>
      </c>
      <c r="AD36" s="24" t="s">
        <v>50</v>
      </c>
      <c r="AE36" s="24" t="s">
        <v>51</v>
      </c>
    </row>
    <row r="37" spans="1:31" x14ac:dyDescent="0.25">
      <c r="A37" s="67" t="s">
        <v>60</v>
      </c>
      <c r="B37" s="67"/>
      <c r="C37" s="67"/>
      <c r="D37" s="67"/>
      <c r="H37" s="7"/>
      <c r="I37" s="2" t="s">
        <v>18</v>
      </c>
      <c r="J37" s="1">
        <f t="shared" ref="J37:J43" ca="1" si="26">J27/$J$34</f>
        <v>0.37796289025649904</v>
      </c>
      <c r="K37" s="1">
        <f t="shared" ref="K37:K43" ca="1" si="27">K27/$K$34</f>
        <v>0.90663679945985298</v>
      </c>
      <c r="L37" s="1">
        <f t="shared" ref="L37:L43" ca="1" si="28">L27/$L$34</f>
        <v>0</v>
      </c>
      <c r="N37" s="2" t="s">
        <v>18</v>
      </c>
      <c r="O37" s="21">
        <v>0</v>
      </c>
      <c r="P37" s="21">
        <v>0</v>
      </c>
      <c r="Q37" s="21">
        <f ca="1">Q27/Q$34</f>
        <v>0</v>
      </c>
      <c r="R37" s="1">
        <f ca="1">K37</f>
        <v>0.90663679945985298</v>
      </c>
      <c r="S37" s="1">
        <f ca="1">S27/$S$34</f>
        <v>0.96038468389031661</v>
      </c>
      <c r="T37" s="1">
        <f ca="1">T27/$T$34</f>
        <v>0.46929056429280641</v>
      </c>
      <c r="U37" s="1" t="e">
        <f ca="1">U27/$U$34</f>
        <v>#DIV/0!</v>
      </c>
      <c r="W37" s="2" t="s">
        <v>18</v>
      </c>
      <c r="X37" s="1">
        <f t="shared" ref="X37:X44" ca="1" si="29">L37</f>
        <v>0</v>
      </c>
      <c r="Y37" s="1">
        <v>0</v>
      </c>
      <c r="Z37" s="1">
        <v>0</v>
      </c>
      <c r="AB37" s="2" t="s">
        <v>18</v>
      </c>
      <c r="AC37" s="1">
        <f ca="1">AC27/AC$34</f>
        <v>0</v>
      </c>
      <c r="AD37" s="1">
        <f ca="1">AD27/AD$34</f>
        <v>0</v>
      </c>
      <c r="AE37" s="1">
        <f ca="1">AE27/AE$34</f>
        <v>0</v>
      </c>
    </row>
    <row r="38" spans="1:31" x14ac:dyDescent="0.25">
      <c r="A38" s="64">
        <v>0.995</v>
      </c>
      <c r="B38" s="65"/>
      <c r="C38" s="65"/>
      <c r="D38" s="66"/>
      <c r="H38" s="7"/>
      <c r="I38" s="2" t="s">
        <v>22</v>
      </c>
      <c r="J38" s="1">
        <f t="shared" ca="1" si="26"/>
        <v>1.0214909496925279E-11</v>
      </c>
      <c r="K38" s="1">
        <f t="shared" ca="1" si="27"/>
        <v>2.4502968655942397E-11</v>
      </c>
      <c r="L38" s="1">
        <f t="shared" ca="1" si="28"/>
        <v>0</v>
      </c>
      <c r="N38" s="2" t="s">
        <v>22</v>
      </c>
      <c r="O38" s="21">
        <v>0</v>
      </c>
      <c r="P38" s="21">
        <v>0</v>
      </c>
      <c r="Q38" s="21">
        <f t="shared" ref="Q38:Q43" ca="1" si="30">Q28/Q$34</f>
        <v>0</v>
      </c>
      <c r="R38" s="1">
        <f t="shared" ref="R38:R44" ca="1" si="31">K38</f>
        <v>2.4502968655942397E-11</v>
      </c>
      <c r="S38" s="1">
        <f t="shared" ref="S38:S43" ca="1" si="32">S28/$S$34</f>
        <v>2.5955570986122998E-11</v>
      </c>
      <c r="T38" s="1">
        <f t="shared" ref="T38:T43" ca="1" si="33">T28/$T$34</f>
        <v>1.2683151615119663E-11</v>
      </c>
      <c r="U38" s="1" t="e">
        <f t="shared" ref="U38:U43" ca="1" si="34">U28/$U$34</f>
        <v>#DIV/0!</v>
      </c>
      <c r="W38" s="2" t="s">
        <v>22</v>
      </c>
      <c r="X38" s="1">
        <f t="shared" ca="1" si="29"/>
        <v>0</v>
      </c>
      <c r="Y38" s="1">
        <v>0</v>
      </c>
      <c r="Z38" s="1">
        <v>0</v>
      </c>
      <c r="AB38" s="2" t="s">
        <v>22</v>
      </c>
      <c r="AC38" s="1">
        <f t="shared" ref="AC38:AE43" ca="1" si="35">AC28/AC$34</f>
        <v>0</v>
      </c>
      <c r="AD38" s="1">
        <f t="shared" ca="1" si="35"/>
        <v>0</v>
      </c>
      <c r="AE38" s="1">
        <f t="shared" ca="1" si="35"/>
        <v>0</v>
      </c>
    </row>
    <row r="39" spans="1:31" x14ac:dyDescent="0.25">
      <c r="A39" s="67" t="s">
        <v>61</v>
      </c>
      <c r="B39" s="67"/>
      <c r="C39" s="67"/>
      <c r="D39" s="67"/>
      <c r="H39" s="7"/>
      <c r="I39" s="2" t="s">
        <v>25</v>
      </c>
      <c r="J39" s="1">
        <f t="shared" ca="1" si="26"/>
        <v>2.2919087150743457E-2</v>
      </c>
      <c r="K39" s="1">
        <f t="shared" ca="1" si="27"/>
        <v>5.4977058215397619E-2</v>
      </c>
      <c r="L39" s="1">
        <f t="shared" ca="1" si="28"/>
        <v>0</v>
      </c>
      <c r="N39" s="2" t="s">
        <v>25</v>
      </c>
      <c r="O39" s="21">
        <v>0</v>
      </c>
      <c r="P39" s="21">
        <v>0</v>
      </c>
      <c r="Q39" s="21">
        <f t="shared" ca="1" si="30"/>
        <v>0</v>
      </c>
      <c r="R39" s="1">
        <f t="shared" ca="1" si="31"/>
        <v>5.4977058215397619E-2</v>
      </c>
      <c r="S39" s="1">
        <f t="shared" ca="1" si="32"/>
        <v>0</v>
      </c>
      <c r="T39" s="1">
        <f t="shared" ca="1" si="33"/>
        <v>0</v>
      </c>
      <c r="U39" s="1" t="e">
        <f t="shared" ca="1" si="34"/>
        <v>#DIV/0!</v>
      </c>
      <c r="W39" s="2" t="s">
        <v>25</v>
      </c>
      <c r="X39" s="1">
        <f t="shared" ca="1" si="29"/>
        <v>0</v>
      </c>
      <c r="Y39" s="1">
        <v>0</v>
      </c>
      <c r="Z39" s="1">
        <v>0</v>
      </c>
      <c r="AB39" s="2" t="s">
        <v>25</v>
      </c>
      <c r="AC39" s="1">
        <f t="shared" ca="1" si="35"/>
        <v>0</v>
      </c>
      <c r="AD39" s="1">
        <f t="shared" ca="1" si="35"/>
        <v>0</v>
      </c>
      <c r="AE39" s="1">
        <f t="shared" ca="1" si="35"/>
        <v>0</v>
      </c>
    </row>
    <row r="40" spans="1:31" x14ac:dyDescent="0.25">
      <c r="A40" s="64">
        <f>2/100</f>
        <v>0.02</v>
      </c>
      <c r="B40" s="65"/>
      <c r="C40" s="65"/>
      <c r="D40" s="66"/>
      <c r="H40" s="7"/>
      <c r="I40" s="2" t="s">
        <v>27</v>
      </c>
      <c r="J40" s="1">
        <f t="shared" ca="1" si="26"/>
        <v>0.41183840915492936</v>
      </c>
      <c r="K40" s="1">
        <f t="shared" ca="1" si="27"/>
        <v>9.8789554952727929E-4</v>
      </c>
      <c r="L40" s="1">
        <f t="shared" ca="1" si="28"/>
        <v>0.70556625326144473</v>
      </c>
      <c r="N40" s="2" t="s">
        <v>27</v>
      </c>
      <c r="O40" s="21">
        <v>0</v>
      </c>
      <c r="P40" s="21">
        <v>0</v>
      </c>
      <c r="Q40" s="21">
        <f t="shared" ca="1" si="30"/>
        <v>0</v>
      </c>
      <c r="R40" s="1">
        <f t="shared" ca="1" si="31"/>
        <v>9.8789554952727929E-4</v>
      </c>
      <c r="S40" s="1">
        <f t="shared" ca="1" si="32"/>
        <v>0</v>
      </c>
      <c r="T40" s="1">
        <f t="shared" ca="1" si="33"/>
        <v>0.51135146971335599</v>
      </c>
      <c r="U40" s="1" t="e">
        <f t="shared" ca="1" si="34"/>
        <v>#DIV/0!</v>
      </c>
      <c r="W40" s="2" t="s">
        <v>27</v>
      </c>
      <c r="X40" s="1">
        <f t="shared" ca="1" si="29"/>
        <v>0.70556625326144473</v>
      </c>
      <c r="Y40" s="1">
        <f>1-Y41</f>
        <v>0.99990000000000001</v>
      </c>
      <c r="Z40" s="1">
        <v>0</v>
      </c>
      <c r="AB40" s="2" t="s">
        <v>27</v>
      </c>
      <c r="AC40" s="1">
        <f t="shared" ref="AC40:AD40" si="36">1-AC$41</f>
        <v>0.99990000000000001</v>
      </c>
      <c r="AD40" s="1">
        <f t="shared" si="36"/>
        <v>0.99990000000000001</v>
      </c>
      <c r="AE40" s="1">
        <f>1-AE$41</f>
        <v>0.99990000000000001</v>
      </c>
    </row>
    <row r="41" spans="1:31" x14ac:dyDescent="0.25">
      <c r="A41" s="67" t="s">
        <v>62</v>
      </c>
      <c r="B41" s="67"/>
      <c r="C41" s="67"/>
      <c r="D41" s="67"/>
      <c r="H41" s="7"/>
      <c r="I41" s="2" t="s">
        <v>20</v>
      </c>
      <c r="J41" s="1">
        <f t="shared" ca="1" si="26"/>
        <v>5.0221948293586284E-3</v>
      </c>
      <c r="K41" s="1">
        <f t="shared" ca="1" si="27"/>
        <v>0</v>
      </c>
      <c r="L41" s="1">
        <f t="shared" ca="1" si="28"/>
        <v>8.6126940767982992E-3</v>
      </c>
      <c r="N41" s="2" t="s">
        <v>20</v>
      </c>
      <c r="O41" s="21">
        <v>0</v>
      </c>
      <c r="P41" s="21">
        <v>0</v>
      </c>
      <c r="Q41" s="21">
        <f t="shared" ca="1" si="30"/>
        <v>0</v>
      </c>
      <c r="R41" s="1">
        <f t="shared" ca="1" si="31"/>
        <v>0</v>
      </c>
      <c r="S41" s="1">
        <f t="shared" ca="1" si="32"/>
        <v>0</v>
      </c>
      <c r="T41" s="1">
        <f t="shared" ca="1" si="33"/>
        <v>0</v>
      </c>
      <c r="U41" s="1" t="e">
        <f t="shared" ca="1" si="34"/>
        <v>#DIV/0!</v>
      </c>
      <c r="W41" s="2" t="s">
        <v>20</v>
      </c>
      <c r="X41" s="1">
        <f t="shared" ca="1" si="29"/>
        <v>8.6126940767982992E-3</v>
      </c>
      <c r="Y41" s="1">
        <f>H5</f>
        <v>1E-4</v>
      </c>
      <c r="Z41" s="1">
        <f ca="1">Z31/Z34</f>
        <v>2.9019017617614003E-2</v>
      </c>
      <c r="AB41" s="2" t="s">
        <v>20</v>
      </c>
      <c r="AC41" s="1">
        <f>H5</f>
        <v>1E-4</v>
      </c>
      <c r="AD41" s="1">
        <f>H5</f>
        <v>1E-4</v>
      </c>
      <c r="AE41" s="1">
        <f>H5</f>
        <v>1E-4</v>
      </c>
    </row>
    <row r="42" spans="1:31" x14ac:dyDescent="0.25">
      <c r="A42" s="64">
        <f>7/100</f>
        <v>7.0000000000000007E-2</v>
      </c>
      <c r="B42" s="65"/>
      <c r="C42" s="65"/>
      <c r="D42" s="66"/>
      <c r="H42" s="7"/>
      <c r="I42" s="2" t="s">
        <v>30</v>
      </c>
      <c r="J42" s="1">
        <f t="shared" ca="1" si="26"/>
        <v>0.16666666666666663</v>
      </c>
      <c r="K42" s="1">
        <f t="shared" ca="1" si="27"/>
        <v>0</v>
      </c>
      <c r="L42" s="1">
        <f t="shared" ca="1" si="28"/>
        <v>0.28582105266175706</v>
      </c>
      <c r="N42" s="2" t="s">
        <v>30</v>
      </c>
      <c r="O42" s="21">
        <v>1</v>
      </c>
      <c r="P42" s="21">
        <v>1</v>
      </c>
      <c r="Q42" s="21">
        <f t="shared" ca="1" si="30"/>
        <v>1</v>
      </c>
      <c r="R42" s="1">
        <f t="shared" ca="1" si="31"/>
        <v>0</v>
      </c>
      <c r="S42" s="1">
        <f t="shared" ca="1" si="32"/>
        <v>0</v>
      </c>
      <c r="T42" s="1">
        <f t="shared" ca="1" si="33"/>
        <v>0</v>
      </c>
      <c r="U42" s="1" t="e">
        <f t="shared" ca="1" si="34"/>
        <v>#DIV/0!</v>
      </c>
      <c r="W42" s="2" t="s">
        <v>30</v>
      </c>
      <c r="X42" s="1">
        <f t="shared" ca="1" si="29"/>
        <v>0.28582105266175706</v>
      </c>
      <c r="Y42" s="1">
        <v>0</v>
      </c>
      <c r="Z42" s="1">
        <f ca="1">Z32/Z34</f>
        <v>0.97098098238238606</v>
      </c>
      <c r="AB42" s="2" t="s">
        <v>30</v>
      </c>
      <c r="AC42" s="1">
        <f t="shared" ca="1" si="35"/>
        <v>0</v>
      </c>
      <c r="AD42" s="1">
        <f t="shared" ca="1" si="35"/>
        <v>0</v>
      </c>
      <c r="AE42" s="1">
        <f t="shared" ca="1" si="35"/>
        <v>0</v>
      </c>
    </row>
    <row r="43" spans="1:31" x14ac:dyDescent="0.25">
      <c r="A43" s="67" t="s">
        <v>63</v>
      </c>
      <c r="B43" s="67"/>
      <c r="C43" s="67"/>
      <c r="D43" s="67"/>
      <c r="H43" s="7"/>
      <c r="I43" s="2" t="s">
        <v>32</v>
      </c>
      <c r="J43" s="1">
        <f t="shared" ca="1" si="26"/>
        <v>1.5590751931588103E-2</v>
      </c>
      <c r="K43" s="1">
        <f t="shared" ca="1" si="27"/>
        <v>3.7398246750719219E-2</v>
      </c>
      <c r="L43" s="1">
        <f t="shared" ca="1" si="28"/>
        <v>0</v>
      </c>
      <c r="N43" s="2" t="s">
        <v>32</v>
      </c>
      <c r="O43" s="21">
        <v>0</v>
      </c>
      <c r="P43" s="21">
        <v>0</v>
      </c>
      <c r="Q43" s="21">
        <f t="shared" ca="1" si="30"/>
        <v>0</v>
      </c>
      <c r="R43" s="1">
        <f t="shared" ca="1" si="31"/>
        <v>3.7398246750719219E-2</v>
      </c>
      <c r="S43" s="1">
        <f t="shared" ca="1" si="32"/>
        <v>3.9615316083727939E-2</v>
      </c>
      <c r="T43" s="1">
        <f t="shared" ca="1" si="33"/>
        <v>1.935796598115451E-2</v>
      </c>
      <c r="U43" s="1" t="e">
        <f t="shared" ca="1" si="34"/>
        <v>#DIV/0!</v>
      </c>
      <c r="W43" s="2" t="s">
        <v>32</v>
      </c>
      <c r="X43" s="1">
        <f t="shared" ca="1" si="29"/>
        <v>0</v>
      </c>
      <c r="Y43" s="1">
        <v>0</v>
      </c>
      <c r="Z43" s="1">
        <v>0</v>
      </c>
      <c r="AB43" s="2" t="s">
        <v>32</v>
      </c>
      <c r="AC43" s="1">
        <f t="shared" ca="1" si="35"/>
        <v>0</v>
      </c>
      <c r="AD43" s="1">
        <f t="shared" ca="1" si="35"/>
        <v>0</v>
      </c>
      <c r="AE43" s="1">
        <f t="shared" ca="1" si="35"/>
        <v>0</v>
      </c>
    </row>
    <row r="44" spans="1:31" x14ac:dyDescent="0.25">
      <c r="A44" s="64">
        <v>1.5E-3</v>
      </c>
      <c r="B44" s="65"/>
      <c r="C44" s="65"/>
      <c r="D44" s="66"/>
      <c r="I44" s="2" t="s">
        <v>34</v>
      </c>
      <c r="J44" s="2">
        <f ca="1">SUM(J37:J43)</f>
        <v>1.0000000000000002</v>
      </c>
      <c r="K44" s="2">
        <f ca="1">SUM(K37:K43)</f>
        <v>1</v>
      </c>
      <c r="L44" s="2">
        <f ca="1">SUM(L37:L43)</f>
        <v>1</v>
      </c>
      <c r="N44" s="2" t="s">
        <v>34</v>
      </c>
      <c r="O44" s="21">
        <f>SUM(O37:O43)</f>
        <v>1</v>
      </c>
      <c r="P44" s="21">
        <f>SUM(P37:P43)</f>
        <v>1</v>
      </c>
      <c r="Q44" s="21">
        <f ca="1">SUM(Q37:Q43)</f>
        <v>1</v>
      </c>
      <c r="R44" s="2">
        <f t="shared" ca="1" si="31"/>
        <v>1</v>
      </c>
      <c r="S44" s="2">
        <f ca="1">SUM(S37:S43)</f>
        <v>1.0000000000000002</v>
      </c>
      <c r="T44" s="2">
        <f ca="1">SUM(T37:T43)</f>
        <v>1</v>
      </c>
      <c r="U44" s="2" t="e">
        <f ca="1">SUM(U37:U43)</f>
        <v>#DIV/0!</v>
      </c>
      <c r="W44" s="2" t="s">
        <v>34</v>
      </c>
      <c r="X44" s="2">
        <f t="shared" ca="1" si="29"/>
        <v>1</v>
      </c>
      <c r="Y44" s="2">
        <f>SUM(Y37:Y43)</f>
        <v>1</v>
      </c>
      <c r="Z44" s="2">
        <f ca="1">SUM(Z37:Z43)</f>
        <v>1</v>
      </c>
      <c r="AB44" s="2" t="s">
        <v>34</v>
      </c>
      <c r="AC44" s="2">
        <f ca="1">SUM(AC37:AC43)</f>
        <v>1</v>
      </c>
      <c r="AD44" s="2">
        <f ca="1">SUM(AD37:AD43)</f>
        <v>1</v>
      </c>
      <c r="AE44" s="2">
        <f ca="1">SUM(AE37:AE43)</f>
        <v>1</v>
      </c>
    </row>
    <row r="45" spans="1:31" x14ac:dyDescent="0.25">
      <c r="A45" s="67" t="s">
        <v>64</v>
      </c>
      <c r="B45" s="67"/>
      <c r="C45" s="67"/>
      <c r="D45" s="67"/>
      <c r="J45" t="s">
        <v>65</v>
      </c>
      <c r="K45" t="s">
        <v>66</v>
      </c>
    </row>
    <row r="46" spans="1:31" x14ac:dyDescent="0.25">
      <c r="A46" s="64">
        <f>0.5/100</f>
        <v>5.0000000000000001E-3</v>
      </c>
      <c r="B46" s="65"/>
      <c r="C46" s="65"/>
      <c r="D46" s="66"/>
      <c r="I46" t="str">
        <f t="shared" ref="I46:I52" si="37">I37</f>
        <v>N2</v>
      </c>
      <c r="J46">
        <f t="shared" ref="J46:J52" si="38">1-K46</f>
        <v>1</v>
      </c>
      <c r="K46">
        <v>0</v>
      </c>
    </row>
    <row r="47" spans="1:31" ht="15.75" thickBot="1" x14ac:dyDescent="0.3">
      <c r="A47" s="67" t="s">
        <v>67</v>
      </c>
      <c r="B47" s="67"/>
      <c r="C47" s="67"/>
      <c r="D47" s="67"/>
      <c r="I47" t="str">
        <f t="shared" si="37"/>
        <v>O2</v>
      </c>
      <c r="J47">
        <f t="shared" si="38"/>
        <v>1</v>
      </c>
      <c r="K47">
        <v>0</v>
      </c>
    </row>
    <row r="48" spans="1:31" x14ac:dyDescent="0.25">
      <c r="A48" s="64">
        <v>43</v>
      </c>
      <c r="B48" s="65"/>
      <c r="C48" s="65"/>
      <c r="D48" s="66"/>
      <c r="I48" t="str">
        <f t="shared" si="37"/>
        <v>C2H4</v>
      </c>
      <c r="J48">
        <f t="shared" si="38"/>
        <v>1</v>
      </c>
      <c r="K48">
        <v>0</v>
      </c>
      <c r="W48" s="76" t="s">
        <v>68</v>
      </c>
      <c r="X48" s="77"/>
      <c r="Y48" s="77"/>
      <c r="Z48" s="77"/>
      <c r="AA48" s="77"/>
      <c r="AB48" s="77"/>
      <c r="AC48" s="77"/>
      <c r="AD48" s="77"/>
      <c r="AE48" s="78"/>
    </row>
    <row r="49" spans="1:31" x14ac:dyDescent="0.25">
      <c r="A49" s="82" t="s">
        <v>69</v>
      </c>
      <c r="B49" s="82"/>
      <c r="C49" s="82"/>
      <c r="D49" s="82"/>
      <c r="I49" t="str">
        <f t="shared" si="37"/>
        <v>C2H4O</v>
      </c>
      <c r="J49">
        <f t="shared" si="38"/>
        <v>1.0000000000000009E-3</v>
      </c>
      <c r="K49">
        <v>0.999</v>
      </c>
      <c r="W49" s="79"/>
      <c r="X49" s="80"/>
      <c r="Y49" s="80"/>
      <c r="Z49" s="80"/>
      <c r="AA49" s="80"/>
      <c r="AB49" s="80"/>
      <c r="AC49" s="80"/>
      <c r="AD49" s="80"/>
      <c r="AE49" s="81"/>
    </row>
    <row r="50" spans="1:31" x14ac:dyDescent="0.25">
      <c r="A50" s="82" t="s">
        <v>70</v>
      </c>
      <c r="B50" s="82"/>
      <c r="C50" s="82"/>
      <c r="D50" s="82"/>
      <c r="I50" t="str">
        <f t="shared" si="37"/>
        <v>CH3CHO</v>
      </c>
      <c r="J50">
        <f t="shared" si="38"/>
        <v>0</v>
      </c>
      <c r="K50">
        <v>1</v>
      </c>
      <c r="W50" s="83" t="s">
        <v>42</v>
      </c>
      <c r="X50" s="27"/>
      <c r="Y50" s="27"/>
      <c r="Z50" s="28"/>
      <c r="AB50" s="26" t="s">
        <v>43</v>
      </c>
      <c r="AC50" s="27"/>
      <c r="AD50" s="27"/>
      <c r="AE50" s="84"/>
    </row>
    <row r="51" spans="1:31" x14ac:dyDescent="0.25">
      <c r="A51" s="69" t="s">
        <v>71</v>
      </c>
      <c r="B51" s="70"/>
      <c r="C51" s="70"/>
      <c r="D51" s="71"/>
      <c r="I51" t="str">
        <f t="shared" si="37"/>
        <v>H2O</v>
      </c>
      <c r="J51">
        <f t="shared" si="38"/>
        <v>0</v>
      </c>
      <c r="K51">
        <v>1</v>
      </c>
      <c r="W51" s="72" t="s">
        <v>7</v>
      </c>
      <c r="X51" s="57"/>
      <c r="Y51" s="57"/>
      <c r="Z51" s="58"/>
      <c r="AB51" s="56" t="s">
        <v>7</v>
      </c>
      <c r="AC51" s="57"/>
      <c r="AD51" s="57"/>
      <c r="AE51" s="73"/>
    </row>
    <row r="52" spans="1:31" x14ac:dyDescent="0.25">
      <c r="A52" s="32" t="s">
        <v>72</v>
      </c>
      <c r="B52" s="32"/>
      <c r="C52" s="32"/>
      <c r="D52" s="32"/>
      <c r="I52" t="str">
        <f t="shared" si="37"/>
        <v>CO2</v>
      </c>
      <c r="J52">
        <f t="shared" si="38"/>
        <v>1</v>
      </c>
      <c r="K52">
        <v>0</v>
      </c>
      <c r="W52" s="11"/>
      <c r="X52" s="24">
        <v>12</v>
      </c>
      <c r="Y52" s="24">
        <v>15</v>
      </c>
      <c r="Z52" s="24">
        <v>16</v>
      </c>
      <c r="AB52" s="2"/>
      <c r="AC52" s="24">
        <v>15</v>
      </c>
      <c r="AD52" s="24" t="s">
        <v>50</v>
      </c>
      <c r="AE52" s="12" t="s">
        <v>51</v>
      </c>
    </row>
    <row r="53" spans="1:31" x14ac:dyDescent="0.25">
      <c r="A53" s="32" t="s">
        <v>73</v>
      </c>
      <c r="B53" s="32"/>
      <c r="C53" s="32"/>
      <c r="D53" s="32"/>
      <c r="W53" s="11" t="s">
        <v>18</v>
      </c>
      <c r="X53" s="1"/>
      <c r="Y53" s="1">
        <f t="shared" ref="Y53:Y60" si="39">AC53</f>
        <v>0</v>
      </c>
      <c r="Z53" s="1">
        <v>0</v>
      </c>
      <c r="AB53" s="2" t="s">
        <v>18</v>
      </c>
      <c r="AC53" s="1">
        <f t="shared" ref="AC53:AC59" si="40">SUM(AD53:AE53)</f>
        <v>0</v>
      </c>
      <c r="AD53" s="1">
        <f t="shared" ref="AD53:AD59" si="41">$A$74*AE53</f>
        <v>0</v>
      </c>
      <c r="AE53" s="13">
        <v>0</v>
      </c>
    </row>
    <row r="54" spans="1:31" x14ac:dyDescent="0.25">
      <c r="A54" s="30" t="s">
        <v>74</v>
      </c>
      <c r="B54" s="74"/>
      <c r="C54" s="74"/>
      <c r="D54" s="75"/>
      <c r="W54" s="11" t="s">
        <v>22</v>
      </c>
      <c r="X54" s="1"/>
      <c r="Y54" s="1">
        <f t="shared" si="39"/>
        <v>0</v>
      </c>
      <c r="Z54" s="1">
        <v>0</v>
      </c>
      <c r="AB54" s="2" t="s">
        <v>22</v>
      </c>
      <c r="AC54" s="1">
        <f t="shared" si="40"/>
        <v>0</v>
      </c>
      <c r="AD54" s="1">
        <f t="shared" si="41"/>
        <v>0</v>
      </c>
      <c r="AE54" s="13">
        <v>0</v>
      </c>
    </row>
    <row r="55" spans="1:31" x14ac:dyDescent="0.25">
      <c r="A55" s="32" t="s">
        <v>75</v>
      </c>
      <c r="B55" s="32"/>
      <c r="C55" s="32"/>
      <c r="D55" s="32"/>
      <c r="W55" s="11" t="s">
        <v>25</v>
      </c>
      <c r="X55" s="1"/>
      <c r="Y55" s="1">
        <f t="shared" si="39"/>
        <v>0</v>
      </c>
      <c r="Z55" s="1">
        <v>0</v>
      </c>
      <c r="AB55" s="2" t="s">
        <v>25</v>
      </c>
      <c r="AC55" s="1">
        <f t="shared" si="40"/>
        <v>0</v>
      </c>
      <c r="AD55" s="1">
        <f t="shared" si="41"/>
        <v>0</v>
      </c>
      <c r="AE55" s="13">
        <v>0</v>
      </c>
    </row>
    <row r="56" spans="1:31" x14ac:dyDescent="0.25">
      <c r="A56" s="30" t="s">
        <v>76</v>
      </c>
      <c r="B56" s="74"/>
      <c r="C56" s="74"/>
      <c r="D56" s="75"/>
      <c r="W56" s="11" t="s">
        <v>27</v>
      </c>
      <c r="X56" s="1">
        <f>Y56</f>
        <v>680.92978911765374</v>
      </c>
      <c r="Y56" s="1">
        <f t="shared" si="39"/>
        <v>680.92978911765374</v>
      </c>
      <c r="Z56" s="1">
        <v>0</v>
      </c>
      <c r="AB56" s="2" t="s">
        <v>27</v>
      </c>
      <c r="AC56" s="1">
        <f t="shared" si="40"/>
        <v>680.92978911765374</v>
      </c>
      <c r="AD56" s="1">
        <f t="shared" si="41"/>
        <v>453.95319274510251</v>
      </c>
      <c r="AE56" s="13">
        <f>B6</f>
        <v>226.97659637255126</v>
      </c>
    </row>
    <row r="57" spans="1:31" x14ac:dyDescent="0.25">
      <c r="A57" s="32" t="s">
        <v>77</v>
      </c>
      <c r="B57" s="32"/>
      <c r="C57" s="32"/>
      <c r="D57" s="32"/>
      <c r="W57" s="11" t="s">
        <v>20</v>
      </c>
      <c r="X57" s="1"/>
      <c r="Y57" s="1">
        <f t="shared" si="39"/>
        <v>6.8099788890654447E-2</v>
      </c>
      <c r="Z57" s="1">
        <f>X57-Y57</f>
        <v>-6.8099788890654447E-2</v>
      </c>
      <c r="AB57" s="2" t="s">
        <v>20</v>
      </c>
      <c r="AC57" s="1">
        <f t="shared" si="40"/>
        <v>6.8099788890654447E-2</v>
      </c>
      <c r="AD57" s="1">
        <f t="shared" si="41"/>
        <v>4.5399859260436298E-2</v>
      </c>
      <c r="AE57" s="13">
        <f>D6</f>
        <v>2.2699929630218149E-2</v>
      </c>
    </row>
    <row r="58" spans="1:31" x14ac:dyDescent="0.25">
      <c r="A58" s="30">
        <v>0.999</v>
      </c>
      <c r="B58" s="74"/>
      <c r="C58" s="74"/>
      <c r="D58" s="75"/>
      <c r="W58" s="11" t="s">
        <v>30</v>
      </c>
      <c r="X58" s="1"/>
      <c r="Y58" s="1">
        <f t="shared" si="39"/>
        <v>0</v>
      </c>
      <c r="Z58" s="1">
        <f>X58</f>
        <v>0</v>
      </c>
      <c r="AB58" s="2" t="s">
        <v>30</v>
      </c>
      <c r="AC58" s="1">
        <f t="shared" si="40"/>
        <v>0</v>
      </c>
      <c r="AD58" s="1">
        <f t="shared" si="41"/>
        <v>0</v>
      </c>
      <c r="AE58" s="13">
        <v>0</v>
      </c>
    </row>
    <row r="59" spans="1:31" x14ac:dyDescent="0.25">
      <c r="A59" s="89" t="s">
        <v>78</v>
      </c>
      <c r="B59" s="89"/>
      <c r="C59" s="89"/>
      <c r="D59" s="89"/>
      <c r="W59" s="11" t="s">
        <v>32</v>
      </c>
      <c r="X59" s="1"/>
      <c r="Y59" s="1">
        <f t="shared" si="39"/>
        <v>0</v>
      </c>
      <c r="Z59" s="1">
        <v>0</v>
      </c>
      <c r="AB59" s="2" t="s">
        <v>32</v>
      </c>
      <c r="AC59" s="1">
        <f t="shared" si="40"/>
        <v>0</v>
      </c>
      <c r="AD59" s="1">
        <f t="shared" si="41"/>
        <v>0</v>
      </c>
      <c r="AE59" s="13">
        <v>0</v>
      </c>
    </row>
    <row r="60" spans="1:31" x14ac:dyDescent="0.25">
      <c r="A60" s="85" t="s">
        <v>79</v>
      </c>
      <c r="B60" s="86"/>
      <c r="C60" s="87" t="s">
        <v>80</v>
      </c>
      <c r="D60" s="88"/>
      <c r="W60" s="11" t="s">
        <v>34</v>
      </c>
      <c r="X60" s="2"/>
      <c r="Y60" s="2">
        <f t="shared" si="39"/>
        <v>680.9978889065444</v>
      </c>
      <c r="Z60" s="2">
        <f>SUM(Z53:Z59)</f>
        <v>-6.8099788890654447E-2</v>
      </c>
      <c r="AB60" s="2" t="s">
        <v>34</v>
      </c>
      <c r="AC60" s="2">
        <f>SUM(AC53:AC59)</f>
        <v>680.9978889065444</v>
      </c>
      <c r="AD60" s="2">
        <f>SUM(AD53:AD59)</f>
        <v>453.99859260436295</v>
      </c>
      <c r="AE60" s="14">
        <f>SUM(AE53:AE59)</f>
        <v>226.99929630218148</v>
      </c>
    </row>
    <row r="61" spans="1:31" x14ac:dyDescent="0.25">
      <c r="A61" s="85" t="s">
        <v>19</v>
      </c>
      <c r="B61" s="86"/>
      <c r="C61" s="87">
        <v>1</v>
      </c>
      <c r="D61" s="88"/>
      <c r="W61" s="72" t="s">
        <v>35</v>
      </c>
      <c r="X61" s="57"/>
      <c r="Y61" s="57"/>
      <c r="Z61" s="58"/>
      <c r="AB61" s="56" t="s">
        <v>35</v>
      </c>
      <c r="AC61" s="57"/>
      <c r="AD61" s="57"/>
      <c r="AE61" s="73"/>
    </row>
    <row r="62" spans="1:31" x14ac:dyDescent="0.25">
      <c r="A62" s="85" t="s">
        <v>73</v>
      </c>
      <c r="B62" s="86"/>
      <c r="C62" s="87" t="s">
        <v>80</v>
      </c>
      <c r="D62" s="88"/>
      <c r="W62" s="11"/>
      <c r="X62" s="24">
        <v>15</v>
      </c>
      <c r="Y62" s="24" t="s">
        <v>50</v>
      </c>
      <c r="Z62" s="24">
        <v>16</v>
      </c>
      <c r="AB62" s="2"/>
      <c r="AC62" s="24">
        <v>15</v>
      </c>
      <c r="AD62" s="24" t="s">
        <v>50</v>
      </c>
      <c r="AE62" s="12" t="s">
        <v>51</v>
      </c>
    </row>
    <row r="63" spans="1:31" x14ac:dyDescent="0.25">
      <c r="A63" s="85" t="s">
        <v>81</v>
      </c>
      <c r="B63" s="86"/>
      <c r="C63" s="87">
        <v>0.999</v>
      </c>
      <c r="D63" s="88"/>
      <c r="W63" s="11" t="s">
        <v>18</v>
      </c>
      <c r="X63" s="1">
        <f t="shared" ref="X63:X70" ca="1" si="42">AC63</f>
        <v>0</v>
      </c>
      <c r="Y63" s="1"/>
      <c r="Z63" s="1"/>
      <c r="AB63" s="2" t="s">
        <v>18</v>
      </c>
      <c r="AC63" s="1">
        <f t="shared" ref="AC63:AE65" ca="1" si="43">AC53/AC$34</f>
        <v>0</v>
      </c>
      <c r="AD63" s="1">
        <f t="shared" ca="1" si="43"/>
        <v>0</v>
      </c>
      <c r="AE63" s="13">
        <f t="shared" ca="1" si="43"/>
        <v>0</v>
      </c>
    </row>
    <row r="64" spans="1:31" x14ac:dyDescent="0.25">
      <c r="A64" s="89" t="s">
        <v>82</v>
      </c>
      <c r="B64" s="89"/>
      <c r="C64" s="89"/>
      <c r="D64" s="89"/>
      <c r="W64" s="11" t="s">
        <v>22</v>
      </c>
      <c r="X64" s="1">
        <f t="shared" ca="1" si="42"/>
        <v>0</v>
      </c>
      <c r="Y64" s="1"/>
      <c r="Z64" s="1"/>
      <c r="AB64" s="2" t="s">
        <v>22</v>
      </c>
      <c r="AC64" s="1">
        <f t="shared" ca="1" si="43"/>
        <v>0</v>
      </c>
      <c r="AD64" s="1">
        <f t="shared" ca="1" si="43"/>
        <v>0</v>
      </c>
      <c r="AE64" s="13">
        <f t="shared" ca="1" si="43"/>
        <v>0</v>
      </c>
    </row>
    <row r="65" spans="1:31" x14ac:dyDescent="0.25">
      <c r="A65" s="87">
        <v>2</v>
      </c>
      <c r="B65" s="90"/>
      <c r="C65" s="90"/>
      <c r="D65" s="88"/>
      <c r="W65" s="11" t="s">
        <v>25</v>
      </c>
      <c r="X65" s="1">
        <f t="shared" ca="1" si="42"/>
        <v>0</v>
      </c>
      <c r="Y65" s="1"/>
      <c r="Z65" s="1"/>
      <c r="AB65" s="2" t="s">
        <v>25</v>
      </c>
      <c r="AC65" s="1">
        <f t="shared" ca="1" si="43"/>
        <v>0</v>
      </c>
      <c r="AD65" s="1">
        <f t="shared" ca="1" si="43"/>
        <v>0</v>
      </c>
      <c r="AE65" s="13">
        <f t="shared" ca="1" si="43"/>
        <v>0</v>
      </c>
    </row>
    <row r="66" spans="1:31" x14ac:dyDescent="0.25">
      <c r="A66" s="91" t="s">
        <v>83</v>
      </c>
      <c r="B66" s="91"/>
      <c r="C66" s="91"/>
      <c r="D66" s="91"/>
      <c r="W66" s="11" t="s">
        <v>27</v>
      </c>
      <c r="X66" s="1">
        <f t="shared" ca="1" si="42"/>
        <v>1.0442825920077141</v>
      </c>
      <c r="Y66" s="1"/>
      <c r="Z66" s="1"/>
      <c r="AB66" s="2" t="s">
        <v>27</v>
      </c>
      <c r="AC66" s="1">
        <f ca="1">AC56/AC$34</f>
        <v>1.0442825920077141</v>
      </c>
      <c r="AD66" s="1">
        <f>AD56/AD$60</f>
        <v>0.99990000000000001</v>
      </c>
      <c r="AE66" s="13">
        <f>AE56/AE$60</f>
        <v>0.99990000000000001</v>
      </c>
    </row>
    <row r="67" spans="1:31" x14ac:dyDescent="0.25">
      <c r="A67" s="41" t="s">
        <v>79</v>
      </c>
      <c r="B67" s="43"/>
      <c r="C67" s="44" t="s">
        <v>80</v>
      </c>
      <c r="D67" s="45"/>
      <c r="W67" s="11" t="s">
        <v>20</v>
      </c>
      <c r="X67" s="1">
        <f t="shared" ca="1" si="42"/>
        <v>1.0443870307107853E-4</v>
      </c>
      <c r="Y67" s="1"/>
      <c r="Z67" s="1"/>
      <c r="AB67" s="2" t="s">
        <v>20</v>
      </c>
      <c r="AC67" s="1">
        <f ca="1">AC57/AC$34</f>
        <v>1.0443870307107853E-4</v>
      </c>
      <c r="AD67" s="1">
        <f>AD57/AD$60</f>
        <v>1E-4</v>
      </c>
      <c r="AE67" s="13">
        <f>AE57/AE$60</f>
        <v>1E-4</v>
      </c>
    </row>
    <row r="68" spans="1:31" x14ac:dyDescent="0.25">
      <c r="A68" s="91" t="s">
        <v>84</v>
      </c>
      <c r="B68" s="91"/>
      <c r="C68" s="92">
        <v>1</v>
      </c>
      <c r="D68" s="45"/>
      <c r="W68" s="11" t="s">
        <v>30</v>
      </c>
      <c r="X68" s="1">
        <f t="shared" ca="1" si="42"/>
        <v>0</v>
      </c>
      <c r="Y68" s="1"/>
      <c r="Z68" s="1"/>
      <c r="AB68" s="2" t="s">
        <v>30</v>
      </c>
      <c r="AC68" s="1">
        <f ca="1">AC58/AC$34</f>
        <v>0</v>
      </c>
      <c r="AD68" s="1">
        <f ca="1">AD58/AD$34</f>
        <v>0</v>
      </c>
      <c r="AE68" s="13">
        <f ca="1">AE58/AE$34</f>
        <v>0</v>
      </c>
    </row>
    <row r="69" spans="1:31" x14ac:dyDescent="0.25">
      <c r="A69" s="41" t="s">
        <v>73</v>
      </c>
      <c r="B69" s="43"/>
      <c r="C69" s="44" t="s">
        <v>80</v>
      </c>
      <c r="D69" s="45"/>
      <c r="W69" s="11" t="s">
        <v>32</v>
      </c>
      <c r="X69" s="1">
        <f t="shared" ca="1" si="42"/>
        <v>0</v>
      </c>
      <c r="Y69" s="1"/>
      <c r="Z69" s="1"/>
      <c r="AB69" s="2" t="s">
        <v>32</v>
      </c>
      <c r="AC69" s="1">
        <f ca="1">AC59/AC$34</f>
        <v>0</v>
      </c>
      <c r="AD69" s="1">
        <f ca="1">AD59/AD$34</f>
        <v>0</v>
      </c>
      <c r="AE69" s="13">
        <f ca="1">AE59/AE$34</f>
        <v>0</v>
      </c>
    </row>
    <row r="70" spans="1:31" ht="15.75" thickBot="1" x14ac:dyDescent="0.3">
      <c r="A70" s="91" t="s">
        <v>19</v>
      </c>
      <c r="B70" s="91"/>
      <c r="C70" s="92">
        <v>1</v>
      </c>
      <c r="D70" s="45"/>
      <c r="W70" s="15" t="s">
        <v>34</v>
      </c>
      <c r="X70" s="16">
        <f t="shared" ca="1" si="42"/>
        <v>1.0443870307107852</v>
      </c>
      <c r="Y70" s="16"/>
      <c r="Z70" s="16"/>
      <c r="AA70" s="17"/>
      <c r="AB70" s="16" t="s">
        <v>34</v>
      </c>
      <c r="AC70" s="16">
        <f ca="1">SUM(AC63:AC69)</f>
        <v>1.0443870307107852</v>
      </c>
      <c r="AD70" s="16">
        <f ca="1">SUM(AD63:AD69)</f>
        <v>1</v>
      </c>
      <c r="AE70" s="18">
        <f ca="1">SUM(AE63:AE69)</f>
        <v>1</v>
      </c>
    </row>
    <row r="71" spans="1:31" x14ac:dyDescent="0.25">
      <c r="A71" s="91" t="s">
        <v>85</v>
      </c>
      <c r="B71" s="91"/>
      <c r="C71" s="91"/>
      <c r="D71" s="91"/>
    </row>
    <row r="72" spans="1:31" x14ac:dyDescent="0.25">
      <c r="A72" s="44">
        <f>C7</f>
        <v>1E-4</v>
      </c>
      <c r="B72" s="92"/>
      <c r="C72" s="92"/>
      <c r="D72" s="45"/>
    </row>
    <row r="73" spans="1:31" x14ac:dyDescent="0.25">
      <c r="A73" s="91" t="s">
        <v>86</v>
      </c>
      <c r="B73" s="91"/>
      <c r="C73" s="91"/>
      <c r="D73" s="91"/>
    </row>
    <row r="74" spans="1:31" x14ac:dyDescent="0.25">
      <c r="A74" s="44">
        <v>2</v>
      </c>
      <c r="B74" s="92"/>
      <c r="C74" s="92"/>
      <c r="D74" s="45"/>
    </row>
    <row r="75" spans="1:31" x14ac:dyDescent="0.25">
      <c r="A75" s="91" t="s">
        <v>87</v>
      </c>
      <c r="B75" s="91"/>
      <c r="C75" s="91"/>
      <c r="D75" s="91"/>
    </row>
    <row r="76" spans="1:31" x14ac:dyDescent="0.25">
      <c r="A76" s="44">
        <v>1</v>
      </c>
      <c r="B76" s="92"/>
      <c r="C76" s="92"/>
      <c r="D76" s="45"/>
    </row>
  </sheetData>
  <mergeCells count="152">
    <mergeCell ref="A63:B63"/>
    <mergeCell ref="C63:D63"/>
    <mergeCell ref="A64:D64"/>
    <mergeCell ref="A65:D65"/>
    <mergeCell ref="A66:D66"/>
    <mergeCell ref="A67:B67"/>
    <mergeCell ref="C67:D67"/>
    <mergeCell ref="A61:B61"/>
    <mergeCell ref="C61:D61"/>
    <mergeCell ref="A71:D71"/>
    <mergeCell ref="A72:D72"/>
    <mergeCell ref="A73:D73"/>
    <mergeCell ref="A74:D74"/>
    <mergeCell ref="A75:D75"/>
    <mergeCell ref="A76:D76"/>
    <mergeCell ref="A68:B68"/>
    <mergeCell ref="C68:D68"/>
    <mergeCell ref="A69:B69"/>
    <mergeCell ref="C69:D69"/>
    <mergeCell ref="A70:B70"/>
    <mergeCell ref="C70:D70"/>
    <mergeCell ref="W61:Z61"/>
    <mergeCell ref="AB61:AE61"/>
    <mergeCell ref="A62:B62"/>
    <mergeCell ref="C62:D62"/>
    <mergeCell ref="A55:D55"/>
    <mergeCell ref="A56:D56"/>
    <mergeCell ref="A57:D57"/>
    <mergeCell ref="A58:D58"/>
    <mergeCell ref="A59:D59"/>
    <mergeCell ref="A60:B60"/>
    <mergeCell ref="C60:D60"/>
    <mergeCell ref="W51:Z51"/>
    <mergeCell ref="AB51:AE51"/>
    <mergeCell ref="A52:D52"/>
    <mergeCell ref="A53:D53"/>
    <mergeCell ref="A54:D54"/>
    <mergeCell ref="A46:D46"/>
    <mergeCell ref="A47:D47"/>
    <mergeCell ref="A48:D48"/>
    <mergeCell ref="W48:AE49"/>
    <mergeCell ref="A49:D49"/>
    <mergeCell ref="A50:D50"/>
    <mergeCell ref="W50:Z50"/>
    <mergeCell ref="AB50:AE50"/>
    <mergeCell ref="A51:D51"/>
    <mergeCell ref="A40:D40"/>
    <mergeCell ref="A41:D41"/>
    <mergeCell ref="A42:D42"/>
    <mergeCell ref="A43:D43"/>
    <mergeCell ref="A44:D44"/>
    <mergeCell ref="A45:D45"/>
    <mergeCell ref="W35:Z35"/>
    <mergeCell ref="AB35:AE35"/>
    <mergeCell ref="A36:D36"/>
    <mergeCell ref="A37:D37"/>
    <mergeCell ref="A38:D38"/>
    <mergeCell ref="A39:D39"/>
    <mergeCell ref="A32:D32"/>
    <mergeCell ref="A33:D33"/>
    <mergeCell ref="A34:D34"/>
    <mergeCell ref="A35:D35"/>
    <mergeCell ref="I35:L35"/>
    <mergeCell ref="N35:U35"/>
    <mergeCell ref="A29:D29"/>
    <mergeCell ref="E29:F29"/>
    <mergeCell ref="A30:D30"/>
    <mergeCell ref="E30:F30"/>
    <mergeCell ref="A31:D31"/>
    <mergeCell ref="E31:F31"/>
    <mergeCell ref="A26:D26"/>
    <mergeCell ref="E26:F26"/>
    <mergeCell ref="A27:D27"/>
    <mergeCell ref="E27:F27"/>
    <mergeCell ref="A28:D28"/>
    <mergeCell ref="E28:F28"/>
    <mergeCell ref="I24:L24"/>
    <mergeCell ref="N24:U24"/>
    <mergeCell ref="W24:Z24"/>
    <mergeCell ref="AB24:AE24"/>
    <mergeCell ref="A25:D25"/>
    <mergeCell ref="E25:F25"/>
    <mergeCell ref="I25:L25"/>
    <mergeCell ref="N25:U25"/>
    <mergeCell ref="W25:Z25"/>
    <mergeCell ref="AB25:AE25"/>
    <mergeCell ref="A22:B22"/>
    <mergeCell ref="C22:D22"/>
    <mergeCell ref="A23:B23"/>
    <mergeCell ref="C23:D23"/>
    <mergeCell ref="A24:D24"/>
    <mergeCell ref="E24:F24"/>
    <mergeCell ref="A19:B19"/>
    <mergeCell ref="C19:D19"/>
    <mergeCell ref="F19:G19"/>
    <mergeCell ref="A20:D20"/>
    <mergeCell ref="A21:B21"/>
    <mergeCell ref="C21:D21"/>
    <mergeCell ref="A16:D16"/>
    <mergeCell ref="F16:G16"/>
    <mergeCell ref="A17:D17"/>
    <mergeCell ref="F17:G17"/>
    <mergeCell ref="A18:B18"/>
    <mergeCell ref="C18:D18"/>
    <mergeCell ref="F18:G18"/>
    <mergeCell ref="F20:G20"/>
    <mergeCell ref="A14:B14"/>
    <mergeCell ref="C14:D14"/>
    <mergeCell ref="F14:G14"/>
    <mergeCell ref="A15:B15"/>
    <mergeCell ref="C15:D15"/>
    <mergeCell ref="F15:G15"/>
    <mergeCell ref="A13:B13"/>
    <mergeCell ref="C13:D13"/>
    <mergeCell ref="F13:H13"/>
    <mergeCell ref="J13:O13"/>
    <mergeCell ref="Q13:V13"/>
    <mergeCell ref="X13:AC13"/>
    <mergeCell ref="A10:B10"/>
    <mergeCell ref="C10:D10"/>
    <mergeCell ref="A11:B11"/>
    <mergeCell ref="C11:D11"/>
    <mergeCell ref="A12:B12"/>
    <mergeCell ref="C12:D12"/>
    <mergeCell ref="F10:G10"/>
    <mergeCell ref="J3:O3"/>
    <mergeCell ref="Q3:V3"/>
    <mergeCell ref="X3:AC3"/>
    <mergeCell ref="F3:G3"/>
    <mergeCell ref="F4:G4"/>
    <mergeCell ref="F5:G5"/>
    <mergeCell ref="A7:B7"/>
    <mergeCell ref="C7:D7"/>
    <mergeCell ref="F7:G7"/>
    <mergeCell ref="A8:D8"/>
    <mergeCell ref="F8:G8"/>
    <mergeCell ref="A9:B9"/>
    <mergeCell ref="C9:D9"/>
    <mergeCell ref="F9:G9"/>
    <mergeCell ref="A4:B4"/>
    <mergeCell ref="C4:D4"/>
    <mergeCell ref="A5:D5"/>
    <mergeCell ref="F6:G6"/>
    <mergeCell ref="A1:D1"/>
    <mergeCell ref="F1:H1"/>
    <mergeCell ref="A2:D2"/>
    <mergeCell ref="F2:H2"/>
    <mergeCell ref="J2:O2"/>
    <mergeCell ref="Q2:V2"/>
    <mergeCell ref="X2:AC2"/>
    <mergeCell ref="A3:B3"/>
    <mergeCell ref="C3:D3"/>
  </mergeCells>
  <conditionalFormatting sqref="A1:XFD1 A2:E12 J2:XFD12 H3:I4 I9 F10:H10 I11:I12 A13:F13 I13:XFD13 E14:F14 H14:XFD14 A14:D15 E15:XFD15 F16 H16:I16 A16:E20 J16:XFD20 F17:I17 A21:XFD1048576">
    <cfRule type="cellIs" dxfId="7" priority="6" operator="lessThan">
      <formula>0</formula>
    </cfRule>
  </conditionalFormatting>
  <conditionalFormatting sqref="F3:F9 H5:H9">
    <cfRule type="cellIs" dxfId="6" priority="3" operator="lessThan">
      <formula>0</formula>
    </cfRule>
  </conditionalFormatting>
  <conditionalFormatting sqref="F18:F20 H18:I20">
    <cfRule type="cellIs" dxfId="5" priority="1" operator="lessThan">
      <formula>0</formula>
    </cfRule>
  </conditionalFormatting>
  <conditionalFormatting sqref="I5:I7">
    <cfRule type="cellIs" dxfId="4" priority="4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BD9D-9071-460B-915F-4445FC53AFB0}">
  <dimension ref="A1:AE76"/>
  <sheetViews>
    <sheetView zoomScaleNormal="100" workbookViewId="0">
      <selection activeCell="H12" sqref="H12"/>
    </sheetView>
  </sheetViews>
  <sheetFormatPr defaultRowHeight="15" x14ac:dyDescent="0.25"/>
  <cols>
    <col min="2" max="2" width="10.28515625" bestFit="1" customWidth="1"/>
    <col min="4" max="4" width="10.28515625" bestFit="1" customWidth="1"/>
    <col min="8" max="8" width="12.5703125" bestFit="1" customWidth="1"/>
    <col min="11" max="11" width="14.28515625" customWidth="1"/>
    <col min="13" max="13" width="13.28515625" bestFit="1" customWidth="1"/>
    <col min="14" max="14" width="12.42578125" bestFit="1" customWidth="1"/>
    <col min="18" max="18" width="14.5703125" customWidth="1"/>
    <col min="19" max="19" width="9.5703125" customWidth="1"/>
    <col min="20" max="20" width="10.140625" customWidth="1"/>
    <col min="21" max="21" width="10.85546875" customWidth="1"/>
    <col min="26" max="26" width="9.5703125" customWidth="1"/>
  </cols>
  <sheetData>
    <row r="1" spans="1:29" x14ac:dyDescent="0.25">
      <c r="A1" s="95" t="s">
        <v>0</v>
      </c>
      <c r="B1" s="95"/>
      <c r="C1" s="95"/>
      <c r="D1" s="95"/>
      <c r="F1" s="26" t="s">
        <v>1</v>
      </c>
      <c r="G1" s="27"/>
      <c r="H1" s="27"/>
    </row>
    <row r="2" spans="1:29" x14ac:dyDescent="0.25">
      <c r="A2" s="95" t="s">
        <v>2</v>
      </c>
      <c r="B2" s="95"/>
      <c r="C2" s="95"/>
      <c r="D2" s="96"/>
      <c r="F2" s="34" t="s">
        <v>88</v>
      </c>
      <c r="G2" s="34"/>
      <c r="H2" s="35"/>
      <c r="J2" s="36" t="s">
        <v>3</v>
      </c>
      <c r="K2" s="36"/>
      <c r="L2" s="36"/>
      <c r="M2" s="36"/>
      <c r="N2" s="36"/>
      <c r="O2" s="36"/>
      <c r="Q2" s="26" t="s">
        <v>4</v>
      </c>
      <c r="R2" s="27"/>
      <c r="S2" s="27"/>
      <c r="T2" s="27"/>
      <c r="U2" s="27"/>
      <c r="V2" s="28"/>
      <c r="X2" s="26" t="s">
        <v>5</v>
      </c>
      <c r="Y2" s="27"/>
      <c r="Z2" s="27"/>
      <c r="AA2" s="27"/>
      <c r="AB2" s="27"/>
      <c r="AC2" s="28"/>
    </row>
    <row r="3" spans="1:29" x14ac:dyDescent="0.25">
      <c r="A3" s="93" t="s">
        <v>6</v>
      </c>
      <c r="B3" s="93"/>
      <c r="C3" s="93">
        <v>10000</v>
      </c>
      <c r="D3" s="94"/>
      <c r="F3" s="26" t="s">
        <v>8</v>
      </c>
      <c r="G3" s="28"/>
      <c r="H3" s="1">
        <v>8049.1311042537209</v>
      </c>
      <c r="J3" s="31" t="s">
        <v>7</v>
      </c>
      <c r="K3" s="31"/>
      <c r="L3" s="31"/>
      <c r="M3" s="31"/>
      <c r="N3" s="31"/>
      <c r="O3" s="31"/>
      <c r="Q3" s="31" t="s">
        <v>7</v>
      </c>
      <c r="R3" s="31"/>
      <c r="S3" s="31"/>
      <c r="T3" s="31"/>
      <c r="U3" s="31"/>
      <c r="V3" s="31"/>
      <c r="X3" s="31" t="s">
        <v>7</v>
      </c>
      <c r="Y3" s="31"/>
      <c r="Z3" s="31"/>
      <c r="AA3" s="31"/>
      <c r="AB3" s="31"/>
      <c r="AC3" s="31"/>
    </row>
    <row r="4" spans="1:29" x14ac:dyDescent="0.25">
      <c r="A4" s="93" t="s">
        <v>7</v>
      </c>
      <c r="B4" s="93"/>
      <c r="C4" s="93">
        <f>C3/C12</f>
        <v>226.99929630218148</v>
      </c>
      <c r="D4" s="93"/>
      <c r="F4" s="26" t="s">
        <v>17</v>
      </c>
      <c r="G4" s="28"/>
      <c r="H4" s="1">
        <v>75177.561772378715</v>
      </c>
      <c r="J4" s="2"/>
      <c r="K4" s="24">
        <v>1</v>
      </c>
      <c r="L4" s="24">
        <v>2</v>
      </c>
      <c r="M4" s="24" t="s">
        <v>9</v>
      </c>
      <c r="N4" s="24">
        <v>5</v>
      </c>
      <c r="O4" s="24" t="s">
        <v>10</v>
      </c>
      <c r="Q4" s="2"/>
      <c r="R4" s="24">
        <v>5</v>
      </c>
      <c r="S4" s="24">
        <v>6</v>
      </c>
      <c r="T4" s="24" t="s">
        <v>11</v>
      </c>
      <c r="U4" s="24" t="s">
        <v>12</v>
      </c>
      <c r="V4" s="24" t="s">
        <v>13</v>
      </c>
      <c r="X4" s="2"/>
      <c r="Y4" s="24">
        <v>6</v>
      </c>
      <c r="Z4" s="24" t="s">
        <v>14</v>
      </c>
      <c r="AA4" s="24" t="s">
        <v>15</v>
      </c>
      <c r="AB4" s="24">
        <v>10</v>
      </c>
      <c r="AC4" s="24">
        <v>8</v>
      </c>
    </row>
    <row r="5" spans="1:29" x14ac:dyDescent="0.25">
      <c r="A5" s="97" t="s">
        <v>16</v>
      </c>
      <c r="B5" s="103"/>
      <c r="C5" s="103"/>
      <c r="D5" s="61"/>
      <c r="F5" s="26" t="s">
        <v>24</v>
      </c>
      <c r="G5" s="28"/>
      <c r="H5" s="1">
        <v>7.999999999047467E-3</v>
      </c>
      <c r="I5" s="1">
        <v>8.0000000000000002E-3</v>
      </c>
      <c r="J5" s="2" t="s">
        <v>18</v>
      </c>
      <c r="K5" s="1">
        <f>K15*K$12</f>
        <v>0</v>
      </c>
      <c r="L5" s="1">
        <f>L12*L15</f>
        <v>59390.273800179188</v>
      </c>
      <c r="M5" s="1">
        <f ca="1">K5+L5+O5</f>
        <v>59836.085988273291</v>
      </c>
      <c r="N5" s="1">
        <f ca="1">M5</f>
        <v>59836.085988273291</v>
      </c>
      <c r="O5" s="1">
        <f ca="1">T5-U5</f>
        <v>445.81218809410348</v>
      </c>
      <c r="Q5" s="2" t="s">
        <v>18</v>
      </c>
      <c r="R5" s="1">
        <f ca="1">N5</f>
        <v>59836.085988273291</v>
      </c>
      <c r="S5" s="1">
        <f ca="1">R5*A36</f>
        <v>598.36085988273294</v>
      </c>
      <c r="T5" s="1">
        <f ca="1">R5-S5</f>
        <v>59237.725128390557</v>
      </c>
      <c r="U5" s="1">
        <f t="shared" ref="U5:U11" ca="1" si="0">T5*$H$6</f>
        <v>58791.912940296454</v>
      </c>
      <c r="V5" s="1">
        <v>0</v>
      </c>
      <c r="X5" s="2" t="s">
        <v>18</v>
      </c>
      <c r="Y5" s="1">
        <f t="shared" ref="Y5:Y11" ca="1" si="1">S5</f>
        <v>598.36085988273294</v>
      </c>
      <c r="Z5" s="1">
        <f ca="1">T27-U27</f>
        <v>0.59895981970243539</v>
      </c>
      <c r="AA5" s="1">
        <f ca="1">Z5+Y5</f>
        <v>598.95981970243542</v>
      </c>
      <c r="AB5" s="1">
        <f ca="1">AA5</f>
        <v>598.95981970243542</v>
      </c>
      <c r="AC5" s="1">
        <f>0</f>
        <v>0</v>
      </c>
    </row>
    <row r="6" spans="1:29" ht="15.75" customHeight="1" x14ac:dyDescent="0.25">
      <c r="A6" s="3" t="s">
        <v>19</v>
      </c>
      <c r="B6" s="3">
        <f>C4-D6</f>
        <v>225.18330193198025</v>
      </c>
      <c r="C6" s="3" t="s">
        <v>20</v>
      </c>
      <c r="D6" s="3">
        <f>C7*C4</f>
        <v>1.8159943702012276</v>
      </c>
      <c r="F6" s="26" t="s">
        <v>29</v>
      </c>
      <c r="G6" s="28"/>
      <c r="H6" s="1">
        <v>0.99247418453143055</v>
      </c>
      <c r="J6" s="2" t="s">
        <v>22</v>
      </c>
      <c r="K6" s="1">
        <f t="shared" ref="K6:L11" si="2">K16*K$12</f>
        <v>0</v>
      </c>
      <c r="L6" s="1">
        <f>L12*L16</f>
        <v>15787.287972199529</v>
      </c>
      <c r="M6" s="1">
        <f t="shared" ref="M6:M11" ca="1" si="3">K6+L6+O6</f>
        <v>15787.287972205491</v>
      </c>
      <c r="N6" s="1">
        <f ca="1">M6-((M7-((E29)/2))+(M7-((E31)/2)))</f>
        <v>8.0857171269599348E-7</v>
      </c>
      <c r="O6" s="1">
        <f ca="1">T6-U6</f>
        <v>5.96345827279811E-9</v>
      </c>
      <c r="Q6" s="2" t="s">
        <v>22</v>
      </c>
      <c r="R6" s="1">
        <f ca="1">N6</f>
        <v>8.0857171269599348E-7</v>
      </c>
      <c r="S6" s="1">
        <f ca="1">R6*A40</f>
        <v>1.617143425391987E-8</v>
      </c>
      <c r="T6" s="1">
        <f ca="1">R6-S6</f>
        <v>7.9240027844207357E-7</v>
      </c>
      <c r="U6" s="1">
        <f t="shared" ca="1" si="0"/>
        <v>7.8643682016927546E-7</v>
      </c>
      <c r="V6" s="1">
        <v>0</v>
      </c>
      <c r="X6" s="2" t="s">
        <v>22</v>
      </c>
      <c r="Y6" s="1">
        <f t="shared" ca="1" si="1"/>
        <v>1.617143425391987E-8</v>
      </c>
      <c r="Z6" s="1">
        <f t="shared" ref="Z6:Z11" ca="1" si="4">T28-U28</f>
        <v>1.6187621875795666E-11</v>
      </c>
      <c r="AA6" s="1">
        <f t="shared" ref="AA6:AA11" ca="1" si="5">Z6+Y6</f>
        <v>1.6187621875795666E-8</v>
      </c>
      <c r="AB6" s="1">
        <f ca="1">AA6</f>
        <v>1.6187621875795666E-8</v>
      </c>
      <c r="AC6" s="1">
        <v>0</v>
      </c>
    </row>
    <row r="7" spans="1:29" ht="15.75" customHeight="1" x14ac:dyDescent="0.25">
      <c r="A7" s="97" t="s">
        <v>23</v>
      </c>
      <c r="B7" s="61"/>
      <c r="C7" s="98">
        <f>H5</f>
        <v>7.999999999047467E-3</v>
      </c>
      <c r="D7" s="99"/>
      <c r="F7" s="26" t="s">
        <v>31</v>
      </c>
      <c r="G7" s="28"/>
      <c r="H7" s="1">
        <v>0</v>
      </c>
      <c r="J7" s="2" t="s">
        <v>25</v>
      </c>
      <c r="K7" s="1">
        <f>K17*K$12</f>
        <v>8049.1311042537209</v>
      </c>
      <c r="L7" s="1">
        <f t="shared" si="2"/>
        <v>0</v>
      </c>
      <c r="M7" s="1">
        <f t="shared" ca="1" si="3"/>
        <v>8103.5252907283229</v>
      </c>
      <c r="N7" s="1">
        <f ca="1">(1-A25)*M7</f>
        <v>7264.0000706088686</v>
      </c>
      <c r="O7" s="1">
        <f ca="1">T7-U7</f>
        <v>54.394186474602066</v>
      </c>
      <c r="Q7" s="2" t="s">
        <v>25</v>
      </c>
      <c r="R7" s="1">
        <f t="shared" ref="R7:R11" ca="1" si="6">N7</f>
        <v>7264.0000706088686</v>
      </c>
      <c r="S7" s="1">
        <f ca="1">R7*A46</f>
        <v>36.320000353044342</v>
      </c>
      <c r="T7" s="1">
        <f ca="1">R7-S7</f>
        <v>7227.6800702558239</v>
      </c>
      <c r="U7" s="1">
        <f t="shared" ca="1" si="0"/>
        <v>7173.2858837812219</v>
      </c>
      <c r="V7" s="1">
        <v>0</v>
      </c>
      <c r="X7" s="2" t="s">
        <v>25</v>
      </c>
      <c r="Y7" s="1">
        <f t="shared" ca="1" si="1"/>
        <v>36.320000353044342</v>
      </c>
      <c r="Z7" s="1">
        <f t="shared" si="4"/>
        <v>0</v>
      </c>
      <c r="AA7" s="1">
        <f t="shared" ca="1" si="5"/>
        <v>36.320000353044342</v>
      </c>
      <c r="AB7" s="1">
        <f ca="1">AA7</f>
        <v>36.320000353044342</v>
      </c>
      <c r="AC7" s="1">
        <v>0</v>
      </c>
    </row>
    <row r="8" spans="1:29" x14ac:dyDescent="0.25">
      <c r="A8" s="96" t="s">
        <v>26</v>
      </c>
      <c r="B8" s="100"/>
      <c r="C8" s="100"/>
      <c r="D8" s="101"/>
      <c r="F8" s="26" t="s">
        <v>94</v>
      </c>
      <c r="G8" s="28"/>
      <c r="H8" s="1">
        <v>99999.5656788942</v>
      </c>
      <c r="J8" s="2" t="s">
        <v>27</v>
      </c>
      <c r="K8" s="1">
        <f t="shared" si="2"/>
        <v>0</v>
      </c>
      <c r="L8" s="1">
        <f t="shared" si="2"/>
        <v>0</v>
      </c>
      <c r="M8" s="1">
        <f t="shared" si="3"/>
        <v>0</v>
      </c>
      <c r="N8" s="1">
        <f ca="1">E27-N9</f>
        <v>655.26622480763649</v>
      </c>
      <c r="O8" s="1">
        <f t="shared" ref="O8:O10" si="7">T8-U8</f>
        <v>0</v>
      </c>
      <c r="Q8" s="2" t="s">
        <v>27</v>
      </c>
      <c r="R8" s="1">
        <f t="shared" ca="1" si="6"/>
        <v>655.26622480763649</v>
      </c>
      <c r="S8" s="1">
        <f ca="1">R8*A38</f>
        <v>651.98989368359832</v>
      </c>
      <c r="T8" s="1">
        <v>0</v>
      </c>
      <c r="U8" s="1">
        <f t="shared" si="0"/>
        <v>0</v>
      </c>
      <c r="V8" s="1">
        <v>0</v>
      </c>
      <c r="X8" s="2" t="s">
        <v>27</v>
      </c>
      <c r="Y8" s="1">
        <f t="shared" ca="1" si="1"/>
        <v>651.98989368359832</v>
      </c>
      <c r="Z8" s="1">
        <f t="shared" ca="1" si="4"/>
        <v>0.65264253621981871</v>
      </c>
      <c r="AA8" s="1">
        <f t="shared" ca="1" si="5"/>
        <v>652.64253621981811</v>
      </c>
      <c r="AB8" s="1">
        <f ca="1">AA8</f>
        <v>652.64253621981811</v>
      </c>
      <c r="AC8" s="1">
        <v>0</v>
      </c>
    </row>
    <row r="9" spans="1:29" x14ac:dyDescent="0.25">
      <c r="A9" s="94" t="s">
        <v>18</v>
      </c>
      <c r="B9" s="102"/>
      <c r="C9" s="94">
        <f>28.01348</f>
        <v>28.013480000000001</v>
      </c>
      <c r="D9" s="102"/>
      <c r="F9" s="26" t="s">
        <v>37</v>
      </c>
      <c r="G9" s="28"/>
      <c r="H9" s="1">
        <f>K12+L12</f>
        <v>83226.692876632442</v>
      </c>
      <c r="J9" s="2" t="s">
        <v>20</v>
      </c>
      <c r="K9" s="1">
        <f>K19*K$12</f>
        <v>0</v>
      </c>
      <c r="L9" s="1">
        <f t="shared" si="2"/>
        <v>0</v>
      </c>
      <c r="M9" s="1">
        <f t="shared" si="3"/>
        <v>0</v>
      </c>
      <c r="N9" s="1">
        <f ca="1">A27*E27</f>
        <v>7.9586990867324268</v>
      </c>
      <c r="O9" s="1">
        <f t="shared" si="7"/>
        <v>0</v>
      </c>
      <c r="Q9" s="2" t="s">
        <v>20</v>
      </c>
      <c r="R9" s="1">
        <f ca="1">N9</f>
        <v>7.9586990867324268</v>
      </c>
      <c r="S9" s="1">
        <f ca="1">R9*A34</f>
        <v>7.9586990867324268</v>
      </c>
      <c r="T9" s="1">
        <v>0</v>
      </c>
      <c r="U9" s="1">
        <f t="shared" si="0"/>
        <v>0</v>
      </c>
      <c r="V9" s="1">
        <v>0</v>
      </c>
      <c r="X9" s="2" t="s">
        <v>20</v>
      </c>
      <c r="Y9" s="1">
        <f t="shared" ca="1" si="1"/>
        <v>7.9586990867324268</v>
      </c>
      <c r="Z9" s="1">
        <f t="shared" si="4"/>
        <v>0</v>
      </c>
      <c r="AA9" s="1">
        <f t="shared" ca="1" si="5"/>
        <v>7.9586990867324268</v>
      </c>
      <c r="AB9" s="1">
        <f ca="1">AA9</f>
        <v>7.9586990867324268</v>
      </c>
      <c r="AC9" s="1">
        <v>0</v>
      </c>
    </row>
    <row r="10" spans="1:29" x14ac:dyDescent="0.25">
      <c r="A10" s="94" t="s">
        <v>22</v>
      </c>
      <c r="B10" s="102"/>
      <c r="C10" s="94">
        <f>31.9988</f>
        <v>31.998799999999999</v>
      </c>
      <c r="D10" s="102"/>
      <c r="F10" s="26" t="s">
        <v>33</v>
      </c>
      <c r="G10" s="27"/>
      <c r="H10" s="1">
        <f>1-H6</f>
        <v>7.5258154685694523E-3</v>
      </c>
      <c r="J10" s="2" t="s">
        <v>30</v>
      </c>
      <c r="K10" s="1">
        <f t="shared" si="2"/>
        <v>0</v>
      </c>
      <c r="L10" s="1">
        <f t="shared" si="2"/>
        <v>0</v>
      </c>
      <c r="M10" s="1">
        <f t="shared" ca="1" si="3"/>
        <v>0.75514405970665166</v>
      </c>
      <c r="N10" s="1">
        <f ca="1">E25*2</f>
        <v>352.60059245017101</v>
      </c>
      <c r="O10" s="1">
        <f t="shared" ca="1" si="7"/>
        <v>0.75514405970665166</v>
      </c>
      <c r="Q10" s="2" t="s">
        <v>30</v>
      </c>
      <c r="R10" s="1">
        <f ca="1">N10</f>
        <v>352.60059245017101</v>
      </c>
      <c r="S10" s="1">
        <f ca="1">R10+V10-T10+P32</f>
        <v>128075.67284925238</v>
      </c>
      <c r="T10" s="1">
        <f ca="1">T12*T20</f>
        <v>100.34049637018144</v>
      </c>
      <c r="U10" s="1">
        <f t="shared" ca="1" si="0"/>
        <v>99.585352310474789</v>
      </c>
      <c r="V10" s="1">
        <f ca="1">(A48*R8)-R10</f>
        <v>27823.847074278201</v>
      </c>
      <c r="X10" s="2" t="s">
        <v>30</v>
      </c>
      <c r="Y10" s="1">
        <f t="shared" ca="1" si="1"/>
        <v>128075.67284925238</v>
      </c>
      <c r="Z10" s="1">
        <f t="shared" si="4"/>
        <v>0</v>
      </c>
      <c r="AA10" s="1">
        <f t="shared" ca="1" si="5"/>
        <v>128075.67284925238</v>
      </c>
      <c r="AB10" s="1">
        <f ca="1">AB12*AB20</f>
        <v>264.11756071958985</v>
      </c>
      <c r="AC10" s="1">
        <f ca="1">AA10-AB10</f>
        <v>127811.55528853279</v>
      </c>
    </row>
    <row r="11" spans="1:29" x14ac:dyDescent="0.25">
      <c r="A11" s="94" t="s">
        <v>25</v>
      </c>
      <c r="B11" s="102"/>
      <c r="C11" s="94">
        <f>28.054</f>
        <v>28.053999999999998</v>
      </c>
      <c r="D11" s="102"/>
      <c r="J11" s="2" t="s">
        <v>32</v>
      </c>
      <c r="K11" s="1">
        <f t="shared" si="2"/>
        <v>0</v>
      </c>
      <c r="L11" s="1">
        <f t="shared" si="2"/>
        <v>0</v>
      </c>
      <c r="M11" s="1">
        <f t="shared" ca="1" si="3"/>
        <v>2.4678545033860928</v>
      </c>
      <c r="N11" s="1">
        <f ca="1">E25*2</f>
        <v>352.60059245017101</v>
      </c>
      <c r="O11" s="1">
        <f ca="1">T11-U11</f>
        <v>2.4678545033860928</v>
      </c>
      <c r="Q11" s="2" t="s">
        <v>32</v>
      </c>
      <c r="R11" s="6">
        <f t="shared" ca="1" si="6"/>
        <v>352.60059245017101</v>
      </c>
      <c r="S11" s="6">
        <f ca="1">R11*A42</f>
        <v>24.682041471511972</v>
      </c>
      <c r="T11" s="6">
        <f ca="1">R11-S11</f>
        <v>327.91855097865903</v>
      </c>
      <c r="U11" s="1">
        <f t="shared" ca="1" si="0"/>
        <v>325.45069647527293</v>
      </c>
      <c r="V11" s="1">
        <v>0</v>
      </c>
      <c r="X11" s="2" t="s">
        <v>32</v>
      </c>
      <c r="Y11" s="1">
        <f t="shared" ca="1" si="1"/>
        <v>24.682041471511972</v>
      </c>
      <c r="Z11" s="1">
        <f t="shared" ca="1" si="4"/>
        <v>2.4706748219731706E-2</v>
      </c>
      <c r="AA11" s="1">
        <f t="shared" ca="1" si="5"/>
        <v>24.706748219731704</v>
      </c>
      <c r="AB11" s="1">
        <f ca="1">AA11</f>
        <v>24.706748219731704</v>
      </c>
      <c r="AC11" s="1">
        <v>0</v>
      </c>
    </row>
    <row r="12" spans="1:29" x14ac:dyDescent="0.25">
      <c r="A12" s="94" t="s">
        <v>27</v>
      </c>
      <c r="B12" s="102"/>
      <c r="C12" s="94">
        <f>44.053</f>
        <v>44.052999999999997</v>
      </c>
      <c r="D12" s="102"/>
      <c r="J12" s="2" t="s">
        <v>34</v>
      </c>
      <c r="K12" s="2">
        <f>H3</f>
        <v>8049.1311042537209</v>
      </c>
      <c r="L12" s="2">
        <f>H4</f>
        <v>75177.561772378715</v>
      </c>
      <c r="M12" s="21">
        <f ca="1">SUM(M5:M11)</f>
        <v>83730.122249770197</v>
      </c>
      <c r="N12" s="2">
        <f ca="1">SUM(N5:N11)</f>
        <v>68468.512168485438</v>
      </c>
      <c r="O12" s="2">
        <f ca="1">SUM(O5:O11)</f>
        <v>503.42937313776173</v>
      </c>
      <c r="Q12" s="2" t="s">
        <v>34</v>
      </c>
      <c r="R12" s="2">
        <f ca="1">N12</f>
        <v>68468.512168485438</v>
      </c>
      <c r="S12" s="2">
        <f ca="1">SUM(S5:S11)</f>
        <v>129394.98434374618</v>
      </c>
      <c r="T12" s="2">
        <f ca="1">SUM(T5:T11)</f>
        <v>66893.664246787623</v>
      </c>
      <c r="U12" s="2">
        <f ca="1">SUM(U5:U11)</f>
        <v>66390.234873649868</v>
      </c>
      <c r="V12" s="2">
        <f ca="1">SUM(V5:V11)</f>
        <v>27823.847074278201</v>
      </c>
      <c r="X12" s="2" t="s">
        <v>34</v>
      </c>
      <c r="Y12" s="2">
        <f ca="1">SUM(Y5:Y11)</f>
        <v>129394.98434374618</v>
      </c>
      <c r="Z12" s="2">
        <f ca="1">T34-U34</f>
        <v>1.2763091041581733</v>
      </c>
      <c r="AA12" s="2">
        <f ca="1">Z12+Y12</f>
        <v>129396.26065285034</v>
      </c>
      <c r="AB12" s="2">
        <f ca="1">(SUM(AB5:AB9) + AB11) /  (1 - AB20)</f>
        <v>1584.7053643175393</v>
      </c>
      <c r="AC12" s="2">
        <f ca="1">SUM(AC5:AC11)</f>
        <v>127811.55528853279</v>
      </c>
    </row>
    <row r="13" spans="1:29" ht="15.75" thickBot="1" x14ac:dyDescent="0.3">
      <c r="A13" s="93" t="s">
        <v>20</v>
      </c>
      <c r="B13" s="93"/>
      <c r="C13" s="93">
        <f>44.053</f>
        <v>44.052999999999997</v>
      </c>
      <c r="D13" s="93"/>
      <c r="F13" s="49" t="s">
        <v>90</v>
      </c>
      <c r="G13" s="49"/>
      <c r="H13" s="49"/>
      <c r="J13" s="31" t="s">
        <v>35</v>
      </c>
      <c r="K13" s="31"/>
      <c r="L13" s="31"/>
      <c r="M13" s="31"/>
      <c r="N13" s="31"/>
      <c r="O13" s="31"/>
      <c r="Q13" s="31" t="s">
        <v>35</v>
      </c>
      <c r="R13" s="31"/>
      <c r="S13" s="31"/>
      <c r="T13" s="31"/>
      <c r="U13" s="31"/>
      <c r="V13" s="31"/>
      <c r="X13" s="31" t="s">
        <v>35</v>
      </c>
      <c r="Y13" s="31"/>
      <c r="Z13" s="31"/>
      <c r="AA13" s="31"/>
      <c r="AB13" s="31"/>
      <c r="AC13" s="31"/>
    </row>
    <row r="14" spans="1:29" ht="15.75" thickBot="1" x14ac:dyDescent="0.3">
      <c r="A14" s="94" t="s">
        <v>32</v>
      </c>
      <c r="B14" s="102"/>
      <c r="C14" s="94">
        <v>44.009</v>
      </c>
      <c r="D14" s="102"/>
      <c r="F14" s="26" t="s">
        <v>21</v>
      </c>
      <c r="G14" s="47"/>
      <c r="H14" s="4">
        <f ca="1">(N10+V10)/(N8+V8)</f>
        <v>43</v>
      </c>
      <c r="I14" s="23">
        <f>A48</f>
        <v>43</v>
      </c>
      <c r="J14" s="2"/>
      <c r="K14" s="24">
        <v>1</v>
      </c>
      <c r="L14" s="24">
        <v>2</v>
      </c>
      <c r="M14" s="24" t="s">
        <v>9</v>
      </c>
      <c r="N14" s="24">
        <v>5</v>
      </c>
      <c r="O14" s="24" t="s">
        <v>10</v>
      </c>
      <c r="Q14" s="2"/>
      <c r="R14" s="24">
        <v>5</v>
      </c>
      <c r="S14" s="24">
        <v>6</v>
      </c>
      <c r="T14" s="24" t="s">
        <v>11</v>
      </c>
      <c r="U14" s="24" t="s">
        <v>12</v>
      </c>
      <c r="V14" s="24" t="s">
        <v>13</v>
      </c>
      <c r="X14" s="2"/>
      <c r="Y14" s="24">
        <v>6</v>
      </c>
      <c r="Z14" s="24" t="s">
        <v>14</v>
      </c>
      <c r="AA14" s="24" t="s">
        <v>15</v>
      </c>
      <c r="AB14" s="24">
        <v>10</v>
      </c>
      <c r="AC14" s="24">
        <v>8</v>
      </c>
    </row>
    <row r="15" spans="1:29" ht="15.75" thickBot="1" x14ac:dyDescent="0.3">
      <c r="A15" s="93" t="s">
        <v>30</v>
      </c>
      <c r="B15" s="93"/>
      <c r="C15" s="93">
        <v>18.015000000000001</v>
      </c>
      <c r="D15" s="93"/>
      <c r="F15" s="26" t="s">
        <v>28</v>
      </c>
      <c r="G15" s="47"/>
      <c r="H15" s="4">
        <f ca="1">M7/2</f>
        <v>4051.7626453641615</v>
      </c>
      <c r="I15" s="5">
        <f ca="1">M6</f>
        <v>15787.287972205491</v>
      </c>
      <c r="J15" s="2" t="s">
        <v>18</v>
      </c>
      <c r="K15" s="1">
        <v>0</v>
      </c>
      <c r="L15" s="1">
        <f>C18</f>
        <v>0.79</v>
      </c>
      <c r="M15" s="1">
        <f ca="1">M5/M$12</f>
        <v>0.71463034306554496</v>
      </c>
      <c r="N15" s="1">
        <f ca="1">N5/N$12</f>
        <v>0.87392122441671127</v>
      </c>
      <c r="O15" s="1">
        <f ca="1">O5/O$12</f>
        <v>0.88555060924525852</v>
      </c>
      <c r="Q15" s="2" t="s">
        <v>18</v>
      </c>
      <c r="R15" s="1">
        <f ca="1">R5/R$12</f>
        <v>0.87392122441671127</v>
      </c>
      <c r="S15" s="1">
        <f ca="1">S5/$S$12</f>
        <v>4.6242971697662439E-3</v>
      </c>
      <c r="T15" s="1">
        <f ca="1">T5/$T$12</f>
        <v>0.88555060924525864</v>
      </c>
      <c r="U15" s="1">
        <f ca="1">U5/$U$12</f>
        <v>0.88555060924525864</v>
      </c>
      <c r="V15" s="1">
        <f ca="1">V5/$V$12</f>
        <v>0</v>
      </c>
      <c r="X15" s="2" t="s">
        <v>18</v>
      </c>
      <c r="Y15" s="1">
        <f t="shared" ref="Y15:AC21" ca="1" si="8">Y5/Y$12</f>
        <v>4.6242971697662439E-3</v>
      </c>
      <c r="Z15" s="1">
        <f t="shared" ca="1" si="8"/>
        <v>0.46929056429280641</v>
      </c>
      <c r="AA15" s="1">
        <f ca="1">AA5/AA$12</f>
        <v>4.6288804381244813E-3</v>
      </c>
      <c r="AB15" s="1">
        <f t="shared" ca="1" si="8"/>
        <v>0.37796289025649904</v>
      </c>
      <c r="AC15" s="1">
        <f t="shared" ca="1" si="8"/>
        <v>0</v>
      </c>
    </row>
    <row r="16" spans="1:29" ht="15.75" thickBot="1" x14ac:dyDescent="0.3">
      <c r="A16" s="36" t="s">
        <v>3</v>
      </c>
      <c r="B16" s="36"/>
      <c r="C16" s="36"/>
      <c r="D16" s="36"/>
      <c r="F16" s="26" t="s">
        <v>89</v>
      </c>
      <c r="G16" s="47"/>
      <c r="H16" s="4">
        <f>L5</f>
        <v>59390.273800179188</v>
      </c>
      <c r="I16" s="23">
        <f ca="1">S27+U5</f>
        <v>59390.273800179188</v>
      </c>
      <c r="J16" s="2" t="s">
        <v>22</v>
      </c>
      <c r="K16" s="1">
        <v>0</v>
      </c>
      <c r="L16" s="1">
        <f>C19</f>
        <v>0.21</v>
      </c>
      <c r="M16" s="1">
        <f t="shared" ref="M16:O21" ca="1" si="9">M6/M$12</f>
        <v>0.18854968257554194</v>
      </c>
      <c r="N16" s="1">
        <f t="shared" ca="1" si="9"/>
        <v>1.1809395108605286E-11</v>
      </c>
      <c r="O16" s="1">
        <f t="shared" ca="1" si="9"/>
        <v>1.1845670099917332E-11</v>
      </c>
      <c r="Q16" s="2" t="s">
        <v>22</v>
      </c>
      <c r="R16" s="1">
        <f t="shared" ref="R16:R21" ca="1" si="10">R6/R$12</f>
        <v>1.1809395108605286E-11</v>
      </c>
      <c r="S16" s="1">
        <f t="shared" ref="S16:S21" ca="1" si="11">S6/$S$12</f>
        <v>1.2497728823058091E-13</v>
      </c>
      <c r="T16" s="1">
        <f t="shared" ref="T16:T19" ca="1" si="12">T6/$T$12</f>
        <v>1.1845670099917219E-11</v>
      </c>
      <c r="U16" s="1">
        <f t="shared" ref="U16:U21" ca="1" si="13">U6/$U$12</f>
        <v>1.1845670099917215E-11</v>
      </c>
      <c r="V16" s="1">
        <f t="shared" ref="V16:V21" ca="1" si="14">V6/$V$12</f>
        <v>0</v>
      </c>
      <c r="X16" s="2" t="s">
        <v>22</v>
      </c>
      <c r="Y16" s="1">
        <f t="shared" ca="1" si="8"/>
        <v>1.2497728823058091E-13</v>
      </c>
      <c r="Z16" s="1">
        <f t="shared" ca="1" si="8"/>
        <v>1.2683151615119663E-11</v>
      </c>
      <c r="AA16" s="1">
        <f t="shared" ca="1" si="8"/>
        <v>1.2510115666498656E-13</v>
      </c>
      <c r="AB16" s="1">
        <f t="shared" ca="1" si="8"/>
        <v>1.0214909496925279E-11</v>
      </c>
      <c r="AC16" s="1">
        <f t="shared" ca="1" si="8"/>
        <v>0</v>
      </c>
    </row>
    <row r="17" spans="1:31" ht="15.75" thickBot="1" x14ac:dyDescent="0.3">
      <c r="A17" s="95" t="s">
        <v>36</v>
      </c>
      <c r="B17" s="95"/>
      <c r="C17" s="95"/>
      <c r="D17" s="95"/>
      <c r="F17" s="26" t="s">
        <v>91</v>
      </c>
      <c r="G17" s="47"/>
      <c r="H17" s="4">
        <f ca="1">N6</f>
        <v>8.0857171269599348E-7</v>
      </c>
      <c r="I17" s="5" t="s">
        <v>92</v>
      </c>
      <c r="J17" s="2" t="s">
        <v>25</v>
      </c>
      <c r="K17" s="1">
        <v>1</v>
      </c>
      <c r="L17" s="1">
        <v>0</v>
      </c>
      <c r="M17" s="1">
        <f t="shared" ca="1" si="9"/>
        <v>9.6781481657881654E-2</v>
      </c>
      <c r="N17" s="1">
        <f t="shared" ca="1" si="9"/>
        <v>0.10609256489660264</v>
      </c>
      <c r="O17" s="1">
        <f t="shared" ca="1" si="9"/>
        <v>0.10804730390595879</v>
      </c>
      <c r="Q17" s="2" t="s">
        <v>25</v>
      </c>
      <c r="R17" s="1">
        <f t="shared" ca="1" si="10"/>
        <v>0.10609256489660264</v>
      </c>
      <c r="S17" s="1">
        <f t="shared" ca="1" si="11"/>
        <v>2.8069094437662204E-4</v>
      </c>
      <c r="T17" s="1">
        <f t="shared" ca="1" si="12"/>
        <v>0.10804730390595867</v>
      </c>
      <c r="U17" s="1">
        <f t="shared" ca="1" si="13"/>
        <v>0.10804730390595865</v>
      </c>
      <c r="V17" s="1">
        <f t="shared" ca="1" si="14"/>
        <v>0</v>
      </c>
      <c r="X17" s="2" t="s">
        <v>25</v>
      </c>
      <c r="Y17" s="1">
        <f t="shared" ca="1" si="8"/>
        <v>2.8069094437662204E-4</v>
      </c>
      <c r="Z17" s="1">
        <f t="shared" ca="1" si="8"/>
        <v>0</v>
      </c>
      <c r="AA17" s="1">
        <f t="shared" ca="1" si="8"/>
        <v>2.8068817576177993E-4</v>
      </c>
      <c r="AB17" s="1">
        <f t="shared" ca="1" si="8"/>
        <v>2.2919087150743457E-2</v>
      </c>
      <c r="AC17" s="1">
        <f t="shared" ca="1" si="8"/>
        <v>0</v>
      </c>
    </row>
    <row r="18" spans="1:31" ht="15.75" thickBot="1" x14ac:dyDescent="0.3">
      <c r="A18" s="93" t="s">
        <v>18</v>
      </c>
      <c r="B18" s="93"/>
      <c r="C18" s="93">
        <v>0.79</v>
      </c>
      <c r="D18" s="93"/>
      <c r="F18" s="26" t="s">
        <v>93</v>
      </c>
      <c r="G18" s="47"/>
      <c r="H18" s="4">
        <f ca="1">AE34</f>
        <v>219.08262556551486</v>
      </c>
      <c r="I18" s="23">
        <f>C4</f>
        <v>226.99929630218148</v>
      </c>
      <c r="J18" s="2" t="s">
        <v>27</v>
      </c>
      <c r="K18" s="1">
        <v>0</v>
      </c>
      <c r="L18" s="1">
        <v>0</v>
      </c>
      <c r="M18" s="1">
        <f t="shared" ca="1" si="9"/>
        <v>0</v>
      </c>
      <c r="N18" s="1">
        <f ca="1">N8/N$12</f>
        <v>9.5703295435305407E-3</v>
      </c>
      <c r="O18" s="1">
        <f t="shared" ca="1" si="9"/>
        <v>0</v>
      </c>
      <c r="Q18" s="2" t="s">
        <v>27</v>
      </c>
      <c r="R18" s="1">
        <f t="shared" ca="1" si="10"/>
        <v>9.5703295435305407E-3</v>
      </c>
      <c r="S18" s="1">
        <f t="shared" ca="1" si="11"/>
        <v>5.0387570815847455E-3</v>
      </c>
      <c r="T18" s="1">
        <f t="shared" ca="1" si="12"/>
        <v>0</v>
      </c>
      <c r="U18" s="1">
        <f t="shared" ca="1" si="13"/>
        <v>0</v>
      </c>
      <c r="V18" s="1">
        <f t="shared" ca="1" si="14"/>
        <v>0</v>
      </c>
      <c r="X18" s="2" t="s">
        <v>27</v>
      </c>
      <c r="Y18" s="1">
        <f t="shared" ca="1" si="8"/>
        <v>5.0387570815847455E-3</v>
      </c>
      <c r="Z18" s="1">
        <f t="shared" ca="1" si="8"/>
        <v>0.51135146971335599</v>
      </c>
      <c r="AA18" s="1">
        <f t="shared" ca="1" si="8"/>
        <v>5.0437511325829932E-3</v>
      </c>
      <c r="AB18" s="1">
        <f t="shared" ca="1" si="8"/>
        <v>0.41183840915492936</v>
      </c>
      <c r="AC18" s="1">
        <f t="shared" ca="1" si="8"/>
        <v>0</v>
      </c>
    </row>
    <row r="19" spans="1:31" ht="15.75" thickBot="1" x14ac:dyDescent="0.3">
      <c r="A19" s="93" t="s">
        <v>22</v>
      </c>
      <c r="B19" s="93"/>
      <c r="C19" s="93">
        <v>0.21</v>
      </c>
      <c r="D19" s="93"/>
      <c r="F19" s="26" t="s">
        <v>95</v>
      </c>
      <c r="G19" s="47"/>
      <c r="H19" s="4">
        <f ca="1">O34</f>
        <v>99987.708214254584</v>
      </c>
      <c r="I19" s="23" t="s">
        <v>92</v>
      </c>
      <c r="J19" s="2" t="s">
        <v>20</v>
      </c>
      <c r="K19" s="1">
        <v>0</v>
      </c>
      <c r="L19" s="1">
        <v>0</v>
      </c>
      <c r="M19" s="1">
        <f t="shared" ca="1" si="9"/>
        <v>0</v>
      </c>
      <c r="N19" s="1">
        <f t="shared" ca="1" si="9"/>
        <v>1.1623882036676769E-4</v>
      </c>
      <c r="O19" s="1">
        <f t="shared" ca="1" si="9"/>
        <v>0</v>
      </c>
      <c r="Q19" s="2" t="s">
        <v>20</v>
      </c>
      <c r="R19" s="1">
        <f t="shared" ca="1" si="10"/>
        <v>1.1623882036676769E-4</v>
      </c>
      <c r="S19" s="1">
        <f t="shared" ca="1" si="11"/>
        <v>6.1507013792664675E-5</v>
      </c>
      <c r="T19" s="1">
        <f t="shared" ca="1" si="12"/>
        <v>0</v>
      </c>
      <c r="U19" s="1">
        <f t="shared" ca="1" si="13"/>
        <v>0</v>
      </c>
      <c r="V19" s="1">
        <f t="shared" ca="1" si="14"/>
        <v>0</v>
      </c>
      <c r="X19" s="2" t="s">
        <v>20</v>
      </c>
      <c r="Y19" s="1">
        <f t="shared" ca="1" si="8"/>
        <v>6.1507013792664675E-5</v>
      </c>
      <c r="Z19" s="1">
        <f t="shared" ca="1" si="8"/>
        <v>0</v>
      </c>
      <c r="AA19" s="1">
        <f t="shared" ca="1" si="8"/>
        <v>6.1506407113914632E-5</v>
      </c>
      <c r="AB19" s="1">
        <f t="shared" ca="1" si="8"/>
        <v>5.0221948293586284E-3</v>
      </c>
      <c r="AC19" s="1">
        <f t="shared" ca="1" si="8"/>
        <v>0</v>
      </c>
    </row>
    <row r="20" spans="1:31" x14ac:dyDescent="0.25">
      <c r="A20" s="95" t="s">
        <v>37</v>
      </c>
      <c r="B20" s="95"/>
      <c r="C20" s="95"/>
      <c r="D20" s="95"/>
      <c r="J20" s="2" t="s">
        <v>30</v>
      </c>
      <c r="K20" s="1">
        <v>0</v>
      </c>
      <c r="L20" s="1">
        <v>0</v>
      </c>
      <c r="M20" s="1">
        <f t="shared" ca="1" si="9"/>
        <v>9.0187860642795643E-6</v>
      </c>
      <c r="N20" s="1">
        <f t="shared" ca="1" si="9"/>
        <v>5.1498211554897111E-3</v>
      </c>
      <c r="O20" s="1">
        <f t="shared" ca="1" si="9"/>
        <v>1.500000000000018E-3</v>
      </c>
      <c r="Q20" s="2" t="s">
        <v>30</v>
      </c>
      <c r="R20" s="1">
        <f t="shared" ca="1" si="10"/>
        <v>5.1498211554897111E-3</v>
      </c>
      <c r="S20" s="1">
        <f t="shared" ca="1" si="11"/>
        <v>0.98980399819061793</v>
      </c>
      <c r="T20" s="1">
        <v>1.5E-3</v>
      </c>
      <c r="U20" s="1">
        <f t="shared" ca="1" si="13"/>
        <v>1.4999999999999998E-3</v>
      </c>
      <c r="V20" s="1">
        <f t="shared" ca="1" si="14"/>
        <v>1</v>
      </c>
      <c r="X20" s="2" t="s">
        <v>30</v>
      </c>
      <c r="Y20" s="1">
        <f t="shared" ca="1" si="8"/>
        <v>0.98980399819061793</v>
      </c>
      <c r="Z20" s="1">
        <f t="shared" ca="1" si="8"/>
        <v>0</v>
      </c>
      <c r="AA20" s="1">
        <f t="shared" ca="1" si="8"/>
        <v>0.98979423518937004</v>
      </c>
      <c r="AB20" s="1">
        <f>A76/6</f>
        <v>0.16666666666666666</v>
      </c>
      <c r="AC20" s="1">
        <f ca="1">AC10/AC$12</f>
        <v>1</v>
      </c>
    </row>
    <row r="21" spans="1:31" x14ac:dyDescent="0.25">
      <c r="A21" s="93" t="s">
        <v>18</v>
      </c>
      <c r="B21" s="93"/>
      <c r="C21" s="93"/>
      <c r="D21" s="93"/>
      <c r="J21" s="2" t="s">
        <v>32</v>
      </c>
      <c r="K21" s="1">
        <v>0</v>
      </c>
      <c r="L21" s="1">
        <v>0</v>
      </c>
      <c r="M21" s="1">
        <f t="shared" ca="1" si="9"/>
        <v>2.9473914967237088E-5</v>
      </c>
      <c r="N21" s="1">
        <f t="shared" ca="1" si="9"/>
        <v>5.1498211554897111E-3</v>
      </c>
      <c r="O21" s="1">
        <f t="shared" ca="1" si="9"/>
        <v>4.9020868369370509E-3</v>
      </c>
      <c r="Q21" s="2" t="s">
        <v>32</v>
      </c>
      <c r="R21" s="1">
        <f t="shared" ca="1" si="10"/>
        <v>5.1498211554897111E-3</v>
      </c>
      <c r="S21" s="1">
        <f t="shared" ca="1" si="11"/>
        <v>1.9074959973674501E-4</v>
      </c>
      <c r="T21" s="1">
        <f ca="1">T11/T12</f>
        <v>4.9020868369369728E-3</v>
      </c>
      <c r="U21" s="1">
        <f t="shared" ca="1" si="13"/>
        <v>4.9020868369369719E-3</v>
      </c>
      <c r="V21" s="1">
        <f t="shared" ca="1" si="14"/>
        <v>0</v>
      </c>
      <c r="X21" s="2" t="s">
        <v>32</v>
      </c>
      <c r="Y21" s="1">
        <f t="shared" ca="1" si="8"/>
        <v>1.9074959973674501E-4</v>
      </c>
      <c r="Z21" s="1">
        <f t="shared" ca="1" si="8"/>
        <v>1.935796598115451E-2</v>
      </c>
      <c r="AA21" s="1">
        <f t="shared" ca="1" si="8"/>
        <v>1.9093865692159368E-4</v>
      </c>
      <c r="AB21" s="1">
        <f ca="1">AB11/AB$12</f>
        <v>1.5590751931588103E-2</v>
      </c>
      <c r="AC21" s="1">
        <f ca="1">AC11/AC$12</f>
        <v>0</v>
      </c>
    </row>
    <row r="22" spans="1:31" x14ac:dyDescent="0.25">
      <c r="A22" s="93" t="s">
        <v>22</v>
      </c>
      <c r="B22" s="93"/>
      <c r="C22" s="93"/>
      <c r="D22" s="93"/>
      <c r="J22" s="2" t="s">
        <v>34</v>
      </c>
      <c r="K22" s="2">
        <f>SUM(K15:K21)</f>
        <v>1</v>
      </c>
      <c r="L22" s="2">
        <f>SUM(L15:L21)</f>
        <v>1</v>
      </c>
      <c r="M22" s="2">
        <f ca="1">SUM(M15:M21)</f>
        <v>1.0000000000000002</v>
      </c>
      <c r="N22" s="2">
        <f ca="1">SUM(N15:N21)</f>
        <v>1.0000000000000002</v>
      </c>
      <c r="O22" s="2">
        <f ca="1">SUM(O15:O21)</f>
        <v>1.0000000000000002</v>
      </c>
      <c r="Q22" s="2" t="s">
        <v>34</v>
      </c>
      <c r="R22" s="2">
        <f ca="1">SUM(R15:R21)</f>
        <v>1.0000000000000002</v>
      </c>
      <c r="S22" s="2">
        <f ca="1">SUM(S15:S21)</f>
        <v>0.99999999999999989</v>
      </c>
      <c r="T22" s="2">
        <f ca="1">SUM(T15:T21)</f>
        <v>0.99999999999999978</v>
      </c>
      <c r="U22" s="2">
        <v>1</v>
      </c>
      <c r="V22" s="2">
        <f ca="1">SUM(V15:V21)</f>
        <v>1</v>
      </c>
      <c r="X22" s="2" t="s">
        <v>34</v>
      </c>
      <c r="Y22" s="2">
        <f ca="1">SUM(Y15:Y21)</f>
        <v>0.99999999999999989</v>
      </c>
      <c r="Z22" s="2">
        <f ca="1">SUM(Z15:Z21)</f>
        <v>1</v>
      </c>
      <c r="AA22" s="2">
        <f ca="1">SUM(AA15:AA21)</f>
        <v>0.99999999999999989</v>
      </c>
      <c r="AB22" s="2">
        <f ca="1">SUM(AB15:AB21)</f>
        <v>1.0000000000000002</v>
      </c>
      <c r="AC22" s="2">
        <f ca="1">SUM(AC15:AC21)</f>
        <v>1</v>
      </c>
    </row>
    <row r="23" spans="1:31" x14ac:dyDescent="0.25">
      <c r="A23" s="93" t="s">
        <v>25</v>
      </c>
      <c r="B23" s="93"/>
      <c r="C23" s="93"/>
      <c r="D23" s="93"/>
    </row>
    <row r="24" spans="1:31" x14ac:dyDescent="0.25">
      <c r="A24" s="95" t="s">
        <v>38</v>
      </c>
      <c r="B24" s="95"/>
      <c r="C24" s="95"/>
      <c r="D24" s="95"/>
      <c r="E24" s="55" t="s">
        <v>39</v>
      </c>
      <c r="F24" s="55"/>
      <c r="I24" s="26" t="s">
        <v>40</v>
      </c>
      <c r="J24" s="27"/>
      <c r="K24" s="27"/>
      <c r="L24" s="28"/>
      <c r="N24" s="62" t="s">
        <v>41</v>
      </c>
      <c r="O24" s="63"/>
      <c r="P24" s="63"/>
      <c r="Q24" s="63"/>
      <c r="R24" s="63"/>
      <c r="S24" s="63"/>
      <c r="T24" s="63"/>
      <c r="U24" s="63"/>
      <c r="W24" s="26" t="s">
        <v>42</v>
      </c>
      <c r="X24" s="27"/>
      <c r="Y24" s="27"/>
      <c r="Z24" s="28"/>
      <c r="AB24" s="26" t="s">
        <v>43</v>
      </c>
      <c r="AC24" s="27"/>
      <c r="AD24" s="27"/>
      <c r="AE24" s="28"/>
    </row>
    <row r="25" spans="1:31" x14ac:dyDescent="0.25">
      <c r="A25" s="94">
        <f>(10+3*0.12)%</f>
        <v>0.1036</v>
      </c>
      <c r="B25" s="104"/>
      <c r="C25" s="104"/>
      <c r="D25" s="102"/>
      <c r="E25" s="55">
        <f ca="1">(M7-N7)-E27</f>
        <v>176.3002962250855</v>
      </c>
      <c r="F25" s="55"/>
      <c r="I25" s="56" t="s">
        <v>7</v>
      </c>
      <c r="J25" s="57"/>
      <c r="K25" s="57"/>
      <c r="L25" s="58"/>
      <c r="N25" s="59" t="s">
        <v>7</v>
      </c>
      <c r="O25" s="60"/>
      <c r="P25" s="60"/>
      <c r="Q25" s="60"/>
      <c r="R25" s="60"/>
      <c r="S25" s="60"/>
      <c r="T25" s="60"/>
      <c r="U25" s="60"/>
      <c r="W25" s="56" t="s">
        <v>7</v>
      </c>
      <c r="X25" s="57"/>
      <c r="Y25" s="57"/>
      <c r="Z25" s="58"/>
      <c r="AB25" s="56" t="s">
        <v>7</v>
      </c>
      <c r="AC25" s="57"/>
      <c r="AD25" s="57"/>
      <c r="AE25" s="58"/>
    </row>
    <row r="26" spans="1:31" x14ac:dyDescent="0.25">
      <c r="A26" s="95" t="s">
        <v>44</v>
      </c>
      <c r="B26" s="95"/>
      <c r="C26" s="95"/>
      <c r="D26" s="95"/>
      <c r="E26" s="55" t="s">
        <v>45</v>
      </c>
      <c r="F26" s="55"/>
      <c r="I26" s="2"/>
      <c r="J26" s="24">
        <v>10</v>
      </c>
      <c r="K26" s="24">
        <v>11</v>
      </c>
      <c r="L26" s="24">
        <v>12</v>
      </c>
      <c r="N26" s="2"/>
      <c r="O26" s="20" t="s">
        <v>46</v>
      </c>
      <c r="P26" s="20" t="s">
        <v>47</v>
      </c>
      <c r="Q26" s="20" t="s">
        <v>48</v>
      </c>
      <c r="R26" s="24">
        <v>11</v>
      </c>
      <c r="S26" s="24">
        <v>13</v>
      </c>
      <c r="T26" s="24">
        <v>14</v>
      </c>
      <c r="U26" s="24" t="s">
        <v>49</v>
      </c>
      <c r="W26" s="2"/>
      <c r="X26" s="24">
        <v>12</v>
      </c>
      <c r="Y26" s="24">
        <v>15</v>
      </c>
      <c r="Z26" s="24">
        <v>16</v>
      </c>
      <c r="AB26" s="2"/>
      <c r="AC26" s="24">
        <v>15</v>
      </c>
      <c r="AD26" s="24" t="s">
        <v>50</v>
      </c>
      <c r="AE26" s="24" t="s">
        <v>51</v>
      </c>
    </row>
    <row r="27" spans="1:31" x14ac:dyDescent="0.25">
      <c r="A27" s="93">
        <f>(1.2)/100</f>
        <v>1.2E-2</v>
      </c>
      <c r="B27" s="93"/>
      <c r="C27" s="93"/>
      <c r="D27" s="93"/>
      <c r="E27" s="61">
        <f ca="1">M18+E29</f>
        <v>663.22492389436889</v>
      </c>
      <c r="F27" s="55"/>
      <c r="I27" s="2" t="s">
        <v>18</v>
      </c>
      <c r="J27" s="1">
        <f t="shared" ref="J27:J34" ca="1" si="15">AB5</f>
        <v>598.95981970243542</v>
      </c>
      <c r="K27" s="9">
        <f t="shared" ref="K27:K33" ca="1" si="16">J46*J27</f>
        <v>598.95981970243542</v>
      </c>
      <c r="L27" s="1">
        <f t="shared" ref="L27:L33" ca="1" si="17">K46*J27</f>
        <v>0</v>
      </c>
      <c r="N27" s="2" t="s">
        <v>18</v>
      </c>
      <c r="O27" s="21">
        <f>AC5-V5</f>
        <v>0</v>
      </c>
      <c r="P27" s="21">
        <v>0</v>
      </c>
      <c r="Q27" s="21">
        <f>O27+P27</f>
        <v>0</v>
      </c>
      <c r="R27" s="9">
        <f ca="1">K27</f>
        <v>598.95981970243542</v>
      </c>
      <c r="S27" s="1">
        <f ca="1">0.999*R27</f>
        <v>598.36085988273294</v>
      </c>
      <c r="T27" s="1">
        <f ca="1">0.001*R27</f>
        <v>0.59895981970243539</v>
      </c>
      <c r="U27" s="1">
        <f t="shared" ref="U27:U33" ca="1" si="18">T27*$H$7</f>
        <v>0</v>
      </c>
      <c r="W27" s="2" t="s">
        <v>18</v>
      </c>
      <c r="X27" s="1">
        <f t="shared" ref="X27:X34" ca="1" si="19">L27</f>
        <v>0</v>
      </c>
      <c r="Y27" s="1">
        <f ca="1">AC27</f>
        <v>0</v>
      </c>
      <c r="Z27" s="1">
        <v>0</v>
      </c>
      <c r="AB27" s="2" t="s">
        <v>18</v>
      </c>
      <c r="AC27" s="1">
        <f t="shared" ref="AC27:AC34" ca="1" si="20">Y27</f>
        <v>0</v>
      </c>
      <c r="AD27" s="1">
        <f>$A$74*AE27</f>
        <v>0</v>
      </c>
      <c r="AE27" s="1">
        <v>0</v>
      </c>
    </row>
    <row r="28" spans="1:31" x14ac:dyDescent="0.25">
      <c r="A28" s="95" t="s">
        <v>52</v>
      </c>
      <c r="B28" s="95"/>
      <c r="C28" s="95"/>
      <c r="D28" s="95"/>
      <c r="E28" s="55" t="s">
        <v>53</v>
      </c>
      <c r="F28" s="55"/>
      <c r="I28" s="2" t="s">
        <v>22</v>
      </c>
      <c r="J28" s="1">
        <f t="shared" ca="1" si="15"/>
        <v>1.6187621875795666E-8</v>
      </c>
      <c r="K28" s="9">
        <f t="shared" ca="1" si="16"/>
        <v>1.6187621875795666E-8</v>
      </c>
      <c r="L28" s="1">
        <f t="shared" ca="1" si="17"/>
        <v>0</v>
      </c>
      <c r="N28" s="2" t="s">
        <v>22</v>
      </c>
      <c r="O28" s="21">
        <f t="shared" ref="O28:O33" si="21">AC6-V6</f>
        <v>0</v>
      </c>
      <c r="P28" s="21">
        <v>0</v>
      </c>
      <c r="Q28" s="21">
        <f t="shared" ref="Q28:Q33" si="22">O28+P28</f>
        <v>0</v>
      </c>
      <c r="R28" s="9">
        <f t="shared" ref="R28:R34" ca="1" si="23">K28</f>
        <v>1.6187621875795666E-8</v>
      </c>
      <c r="S28" s="1">
        <f ca="1">0.999*R28</f>
        <v>1.617143425391987E-8</v>
      </c>
      <c r="T28" s="1">
        <f ca="1">0.001*R28</f>
        <v>1.6187621875795666E-11</v>
      </c>
      <c r="U28" s="1">
        <f t="shared" ca="1" si="18"/>
        <v>0</v>
      </c>
      <c r="W28" s="2" t="s">
        <v>22</v>
      </c>
      <c r="X28" s="1">
        <f t="shared" ca="1" si="19"/>
        <v>0</v>
      </c>
      <c r="Y28" s="1">
        <f t="shared" ref="Y28:Y33" ca="1" si="24">AC28</f>
        <v>0</v>
      </c>
      <c r="Z28" s="1">
        <v>0</v>
      </c>
      <c r="AB28" s="2" t="s">
        <v>22</v>
      </c>
      <c r="AC28" s="1">
        <f t="shared" ca="1" si="20"/>
        <v>0</v>
      </c>
      <c r="AD28" s="1">
        <f t="shared" ref="AD28:AD33" si="25">$A$74*AE28</f>
        <v>0</v>
      </c>
      <c r="AE28" s="1">
        <v>0</v>
      </c>
    </row>
    <row r="29" spans="1:31" x14ac:dyDescent="0.25">
      <c r="A29" s="93">
        <f>(79)/100</f>
        <v>0.79</v>
      </c>
      <c r="B29" s="93"/>
      <c r="C29" s="93"/>
      <c r="D29" s="93"/>
      <c r="E29" s="55">
        <f ca="1">A29*A25*M7</f>
        <v>663.22492389436889</v>
      </c>
      <c r="F29" s="55"/>
      <c r="I29" s="2" t="s">
        <v>25</v>
      </c>
      <c r="J29" s="1">
        <f t="shared" ca="1" si="15"/>
        <v>36.320000353044342</v>
      </c>
      <c r="K29" s="9">
        <f t="shared" ca="1" si="16"/>
        <v>36.320000353044342</v>
      </c>
      <c r="L29" s="1">
        <f t="shared" ca="1" si="17"/>
        <v>0</v>
      </c>
      <c r="N29" s="2" t="s">
        <v>25</v>
      </c>
      <c r="O29" s="21">
        <f t="shared" si="21"/>
        <v>0</v>
      </c>
      <c r="P29" s="21">
        <v>0</v>
      </c>
      <c r="Q29" s="21">
        <f t="shared" si="22"/>
        <v>0</v>
      </c>
      <c r="R29" s="9">
        <f t="shared" ca="1" si="23"/>
        <v>36.320000353044342</v>
      </c>
      <c r="S29" s="1"/>
      <c r="T29" s="1"/>
      <c r="U29" s="1">
        <f t="shared" si="18"/>
        <v>0</v>
      </c>
      <c r="W29" s="2" t="s">
        <v>25</v>
      </c>
      <c r="X29" s="1">
        <f t="shared" ca="1" si="19"/>
        <v>0</v>
      </c>
      <c r="Y29" s="1">
        <f t="shared" ca="1" si="24"/>
        <v>0</v>
      </c>
      <c r="Z29" s="1">
        <v>0</v>
      </c>
      <c r="AB29" s="2" t="s">
        <v>25</v>
      </c>
      <c r="AC29" s="1">
        <f t="shared" ca="1" si="20"/>
        <v>0</v>
      </c>
      <c r="AD29" s="1">
        <f t="shared" si="25"/>
        <v>0</v>
      </c>
      <c r="AE29" s="1">
        <v>0</v>
      </c>
    </row>
    <row r="30" spans="1:31" x14ac:dyDescent="0.25">
      <c r="A30" s="36" t="s">
        <v>54</v>
      </c>
      <c r="B30" s="36"/>
      <c r="C30" s="36"/>
      <c r="D30" s="36"/>
      <c r="E30" s="55" t="s">
        <v>55</v>
      </c>
      <c r="F30" s="55"/>
      <c r="I30" s="2" t="s">
        <v>27</v>
      </c>
      <c r="J30" s="1">
        <f t="shared" ca="1" si="15"/>
        <v>652.64253621981811</v>
      </c>
      <c r="K30" s="9">
        <f t="shared" ca="1" si="16"/>
        <v>0.65264253621981871</v>
      </c>
      <c r="L30" s="1">
        <f t="shared" ca="1" si="17"/>
        <v>651.98989368359832</v>
      </c>
      <c r="N30" s="2" t="s">
        <v>27</v>
      </c>
      <c r="O30" s="21">
        <f t="shared" si="21"/>
        <v>0</v>
      </c>
      <c r="P30" s="21">
        <v>0</v>
      </c>
      <c r="Q30" s="21">
        <f t="shared" si="22"/>
        <v>0</v>
      </c>
      <c r="R30" s="9">
        <f t="shared" ca="1" si="23"/>
        <v>0.65264253621981871</v>
      </c>
      <c r="S30" s="1">
        <v>0</v>
      </c>
      <c r="T30" s="9">
        <f ca="1">R30</f>
        <v>0.65264253621981871</v>
      </c>
      <c r="U30" s="1">
        <f t="shared" ca="1" si="18"/>
        <v>0</v>
      </c>
      <c r="W30" s="2" t="s">
        <v>27</v>
      </c>
      <c r="X30" s="1">
        <f t="shared" ca="1" si="19"/>
        <v>651.98989368359832</v>
      </c>
      <c r="Y30" s="1">
        <f ca="1">X30</f>
        <v>651.98989368359832</v>
      </c>
      <c r="Z30" s="1">
        <v>0</v>
      </c>
      <c r="AB30" s="2" t="s">
        <v>27</v>
      </c>
      <c r="AC30" s="1">
        <f t="shared" ca="1" si="20"/>
        <v>651.98989368359832</v>
      </c>
      <c r="AD30" s="1">
        <f ca="1">($A$74/3)*AC30</f>
        <v>434.65992912239886</v>
      </c>
      <c r="AE30" s="1">
        <f ca="1">1/3*AC30</f>
        <v>217.32996456119943</v>
      </c>
    </row>
    <row r="31" spans="1:31" x14ac:dyDescent="0.25">
      <c r="A31" s="95" t="s">
        <v>56</v>
      </c>
      <c r="B31" s="95"/>
      <c r="C31" s="95"/>
      <c r="D31" s="95"/>
      <c r="E31" s="55">
        <f ca="1">(1-A29)*A25*M7</f>
        <v>176.30029622508533</v>
      </c>
      <c r="F31" s="55"/>
      <c r="I31" s="2" t="s">
        <v>20</v>
      </c>
      <c r="J31" s="1">
        <f t="shared" ca="1" si="15"/>
        <v>7.9586990867324268</v>
      </c>
      <c r="K31" s="22">
        <f t="shared" ca="1" si="16"/>
        <v>0</v>
      </c>
      <c r="L31" s="1">
        <f t="shared" ca="1" si="17"/>
        <v>7.9586990867324268</v>
      </c>
      <c r="N31" s="2" t="s">
        <v>20</v>
      </c>
      <c r="O31" s="21">
        <f t="shared" si="21"/>
        <v>0</v>
      </c>
      <c r="P31" s="21">
        <v>0</v>
      </c>
      <c r="Q31" s="21">
        <f t="shared" si="22"/>
        <v>0</v>
      </c>
      <c r="R31" s="9">
        <f t="shared" ca="1" si="23"/>
        <v>0</v>
      </c>
      <c r="S31" s="1"/>
      <c r="T31" s="1"/>
      <c r="U31" s="1">
        <f t="shared" si="18"/>
        <v>0</v>
      </c>
      <c r="W31" s="2" t="s">
        <v>20</v>
      </c>
      <c r="X31" s="1">
        <f t="shared" ca="1" si="19"/>
        <v>7.9586990867324268</v>
      </c>
      <c r="Y31" s="1">
        <f ca="1">Y41*Y34</f>
        <v>5.2579830129463065</v>
      </c>
      <c r="Z31" s="1">
        <f ca="1">X31-Y31</f>
        <v>2.7007160737861202</v>
      </c>
      <c r="AB31" s="2" t="s">
        <v>20</v>
      </c>
      <c r="AC31" s="1">
        <f t="shared" ca="1" si="20"/>
        <v>5.2579830129463065</v>
      </c>
      <c r="AD31" s="1">
        <f ca="1">($A$74/3)*AC31</f>
        <v>3.5053220086308707</v>
      </c>
      <c r="AE31" s="1">
        <f ca="1">1/3*AC31</f>
        <v>1.7526610043154354</v>
      </c>
    </row>
    <row r="32" spans="1:31" x14ac:dyDescent="0.25">
      <c r="A32" s="94" t="s">
        <v>30</v>
      </c>
      <c r="B32" s="104"/>
      <c r="C32" s="104"/>
      <c r="D32" s="102"/>
      <c r="I32" s="2" t="s">
        <v>30</v>
      </c>
      <c r="J32" s="1">
        <f t="shared" ca="1" si="15"/>
        <v>264.11756071958985</v>
      </c>
      <c r="K32" s="22">
        <f t="shared" ca="1" si="16"/>
        <v>0</v>
      </c>
      <c r="L32" s="1">
        <f t="shared" ca="1" si="17"/>
        <v>264.11756071958985</v>
      </c>
      <c r="N32" s="2" t="s">
        <v>30</v>
      </c>
      <c r="O32" s="21">
        <f ca="1">AC10-V10</f>
        <v>99987.708214254584</v>
      </c>
      <c r="P32" s="21">
        <f>P34</f>
        <v>99999.5656788942</v>
      </c>
      <c r="Q32" s="21">
        <f ca="1">O32+P32</f>
        <v>199987.27389314878</v>
      </c>
      <c r="R32" s="9">
        <f t="shared" ca="1" si="23"/>
        <v>0</v>
      </c>
      <c r="S32" s="1"/>
      <c r="T32" s="1"/>
      <c r="U32" s="1">
        <f t="shared" si="18"/>
        <v>0</v>
      </c>
      <c r="W32" s="2" t="s">
        <v>30</v>
      </c>
      <c r="X32" s="1">
        <f t="shared" ca="1" si="19"/>
        <v>264.11756071958985</v>
      </c>
      <c r="Y32" s="1">
        <f t="shared" ca="1" si="24"/>
        <v>0</v>
      </c>
      <c r="Z32" s="1">
        <f ca="1">X32</f>
        <v>264.11756071958985</v>
      </c>
      <c r="AB32" s="2" t="s">
        <v>30</v>
      </c>
      <c r="AC32" s="1">
        <f t="shared" ca="1" si="20"/>
        <v>0</v>
      </c>
      <c r="AD32" s="1">
        <f t="shared" si="25"/>
        <v>0</v>
      </c>
      <c r="AE32" s="1">
        <v>0</v>
      </c>
    </row>
    <row r="33" spans="1:31" x14ac:dyDescent="0.25">
      <c r="A33" s="95" t="s">
        <v>57</v>
      </c>
      <c r="B33" s="95"/>
      <c r="C33" s="95"/>
      <c r="D33" s="95"/>
      <c r="I33" s="2" t="s">
        <v>32</v>
      </c>
      <c r="J33" s="1">
        <f t="shared" ca="1" si="15"/>
        <v>24.706748219731704</v>
      </c>
      <c r="K33" s="9">
        <f t="shared" ca="1" si="16"/>
        <v>24.706748219731704</v>
      </c>
      <c r="L33" s="1">
        <f t="shared" ca="1" si="17"/>
        <v>0</v>
      </c>
      <c r="N33" s="2" t="s">
        <v>32</v>
      </c>
      <c r="O33" s="21">
        <f t="shared" si="21"/>
        <v>0</v>
      </c>
      <c r="P33" s="21">
        <v>0</v>
      </c>
      <c r="Q33" s="21">
        <f t="shared" si="22"/>
        <v>0</v>
      </c>
      <c r="R33" s="9">
        <f t="shared" ca="1" si="23"/>
        <v>24.706748219731704</v>
      </c>
      <c r="S33" s="1">
        <f ca="1">0.999*R33</f>
        <v>24.682041471511972</v>
      </c>
      <c r="T33" s="1">
        <f ca="1">0.001*R33</f>
        <v>2.4706748219731706E-2</v>
      </c>
      <c r="U33" s="1">
        <f t="shared" ca="1" si="18"/>
        <v>0</v>
      </c>
      <c r="W33" s="2" t="s">
        <v>32</v>
      </c>
      <c r="X33" s="1">
        <f t="shared" ca="1" si="19"/>
        <v>0</v>
      </c>
      <c r="Y33" s="1">
        <f t="shared" ca="1" si="24"/>
        <v>0</v>
      </c>
      <c r="Z33" s="1">
        <v>0</v>
      </c>
      <c r="AB33" s="2" t="s">
        <v>32</v>
      </c>
      <c r="AC33" s="1">
        <f t="shared" ca="1" si="20"/>
        <v>0</v>
      </c>
      <c r="AD33" s="1">
        <f t="shared" si="25"/>
        <v>0</v>
      </c>
      <c r="AE33" s="1">
        <v>0</v>
      </c>
    </row>
    <row r="34" spans="1:31" x14ac:dyDescent="0.25">
      <c r="A34" s="94">
        <v>1</v>
      </c>
      <c r="B34" s="104"/>
      <c r="C34" s="104"/>
      <c r="D34" s="102"/>
      <c r="I34" s="2" t="s">
        <v>34</v>
      </c>
      <c r="J34" s="2">
        <f t="shared" ca="1" si="15"/>
        <v>1584.7053643175393</v>
      </c>
      <c r="K34" s="10">
        <f ca="1">SUM(K27:K33)</f>
        <v>660.63921082761885</v>
      </c>
      <c r="L34" s="2">
        <f ca="1">SUM(L27:L33)</f>
        <v>924.06615348992057</v>
      </c>
      <c r="M34" s="8"/>
      <c r="N34" s="2" t="s">
        <v>34</v>
      </c>
      <c r="O34" s="21">
        <f ca="1">SUM(O27:O33)</f>
        <v>99987.708214254584</v>
      </c>
      <c r="P34" s="21">
        <f>H8</f>
        <v>99999.5656788942</v>
      </c>
      <c r="Q34" s="21">
        <f ca="1">SUM(Q27:Q33)</f>
        <v>199987.27389314878</v>
      </c>
      <c r="R34" s="2">
        <f t="shared" ca="1" si="23"/>
        <v>660.63921082761885</v>
      </c>
      <c r="S34" s="2">
        <f ca="1">SUM(S27:S33)</f>
        <v>623.0429013704163</v>
      </c>
      <c r="T34" s="2">
        <f ca="1">SUM(T27:T33)</f>
        <v>1.2763091041581733</v>
      </c>
      <c r="U34" s="2">
        <f ca="1">SUM(U27:U33)</f>
        <v>0</v>
      </c>
      <c r="W34" s="2" t="s">
        <v>34</v>
      </c>
      <c r="X34" s="2">
        <f t="shared" ca="1" si="19"/>
        <v>924.06615348992057</v>
      </c>
      <c r="Y34" s="2">
        <f ca="1">Y30/Y40</f>
        <v>657.24787669654461</v>
      </c>
      <c r="Z34" s="2">
        <f ca="1">SUM(Z27:Z33)</f>
        <v>266.81827679337596</v>
      </c>
      <c r="AB34" s="2" t="s">
        <v>34</v>
      </c>
      <c r="AC34" s="2">
        <f t="shared" ca="1" si="20"/>
        <v>657.24787669654461</v>
      </c>
      <c r="AD34" s="2">
        <f ca="1">2/3*AC34</f>
        <v>438.16525113102972</v>
      </c>
      <c r="AE34" s="19">
        <f ca="1">1/3*AC34</f>
        <v>219.08262556551486</v>
      </c>
    </row>
    <row r="35" spans="1:31" x14ac:dyDescent="0.25">
      <c r="A35" s="95" t="s">
        <v>58</v>
      </c>
      <c r="B35" s="95"/>
      <c r="C35" s="95"/>
      <c r="D35" s="95"/>
      <c r="I35" s="56" t="s">
        <v>35</v>
      </c>
      <c r="J35" s="57"/>
      <c r="K35" s="57"/>
      <c r="L35" s="58"/>
      <c r="N35" s="56" t="s">
        <v>35</v>
      </c>
      <c r="O35" s="57"/>
      <c r="P35" s="57"/>
      <c r="Q35" s="57"/>
      <c r="R35" s="57"/>
      <c r="S35" s="57"/>
      <c r="T35" s="57"/>
      <c r="U35" s="58"/>
      <c r="W35" s="56" t="s">
        <v>35</v>
      </c>
      <c r="X35" s="57"/>
      <c r="Y35" s="57"/>
      <c r="Z35" s="58"/>
      <c r="AB35" s="56" t="s">
        <v>35</v>
      </c>
      <c r="AC35" s="57"/>
      <c r="AD35" s="57"/>
      <c r="AE35" s="68"/>
    </row>
    <row r="36" spans="1:31" x14ac:dyDescent="0.25">
      <c r="A36" s="94">
        <f>1/100</f>
        <v>0.01</v>
      </c>
      <c r="B36" s="104"/>
      <c r="C36" s="104"/>
      <c r="D36" s="102"/>
      <c r="I36" s="2"/>
      <c r="J36" s="24">
        <v>10</v>
      </c>
      <c r="K36" s="24">
        <v>11</v>
      </c>
      <c r="L36" s="24">
        <v>12</v>
      </c>
      <c r="N36" s="2"/>
      <c r="O36" s="20" t="s">
        <v>46</v>
      </c>
      <c r="P36" s="20">
        <v>9</v>
      </c>
      <c r="Q36" s="20" t="s">
        <v>48</v>
      </c>
      <c r="R36" s="24">
        <v>11</v>
      </c>
      <c r="S36" s="24">
        <v>13</v>
      </c>
      <c r="T36" s="24">
        <v>14</v>
      </c>
      <c r="U36" s="24" t="s">
        <v>59</v>
      </c>
      <c r="W36" s="2"/>
      <c r="X36" s="24">
        <v>15</v>
      </c>
      <c r="Y36" s="24" t="s">
        <v>50</v>
      </c>
      <c r="Z36" s="24">
        <v>16</v>
      </c>
      <c r="AB36" s="2"/>
      <c r="AC36" s="24">
        <v>15</v>
      </c>
      <c r="AD36" s="24" t="s">
        <v>50</v>
      </c>
      <c r="AE36" s="24" t="s">
        <v>51</v>
      </c>
    </row>
    <row r="37" spans="1:31" x14ac:dyDescent="0.25">
      <c r="A37" s="95" t="s">
        <v>60</v>
      </c>
      <c r="B37" s="95"/>
      <c r="C37" s="95"/>
      <c r="D37" s="95"/>
      <c r="H37" s="7"/>
      <c r="I37" s="2" t="s">
        <v>18</v>
      </c>
      <c r="J37" s="1">
        <f t="shared" ref="J37:J43" ca="1" si="26">J27/$J$34</f>
        <v>0.37796289025649904</v>
      </c>
      <c r="K37" s="1">
        <f t="shared" ref="K37:K43" ca="1" si="27">K27/$K$34</f>
        <v>0.90663679945985298</v>
      </c>
      <c r="L37" s="1">
        <f t="shared" ref="L37:L43" ca="1" si="28">L27/$L$34</f>
        <v>0</v>
      </c>
      <c r="N37" s="2" t="s">
        <v>18</v>
      </c>
      <c r="O37" s="21">
        <v>0</v>
      </c>
      <c r="P37" s="21">
        <v>0</v>
      </c>
      <c r="Q37" s="21">
        <f ca="1">Q27/Q$34</f>
        <v>0</v>
      </c>
      <c r="R37" s="1">
        <f ca="1">K37</f>
        <v>0.90663679945985298</v>
      </c>
      <c r="S37" s="1">
        <f ca="1">S27/$S$34</f>
        <v>0.96038468389031661</v>
      </c>
      <c r="T37" s="1">
        <f ca="1">T27/$T$34</f>
        <v>0.46929056429280641</v>
      </c>
      <c r="U37" s="1" t="e">
        <f ca="1">U27/$U$34</f>
        <v>#DIV/0!</v>
      </c>
      <c r="W37" s="2" t="s">
        <v>18</v>
      </c>
      <c r="X37" s="1">
        <f t="shared" ref="X37:X44" ca="1" si="29">L37</f>
        <v>0</v>
      </c>
      <c r="Y37" s="1">
        <v>0</v>
      </c>
      <c r="Z37" s="1">
        <v>0</v>
      </c>
      <c r="AB37" s="2" t="s">
        <v>18</v>
      </c>
      <c r="AC37" s="1">
        <f ca="1">AC27/AC$34</f>
        <v>0</v>
      </c>
      <c r="AD37" s="1">
        <f ca="1">AD27/AD$34</f>
        <v>0</v>
      </c>
      <c r="AE37" s="1">
        <f ca="1">AE27/AE$34</f>
        <v>0</v>
      </c>
    </row>
    <row r="38" spans="1:31" x14ac:dyDescent="0.25">
      <c r="A38" s="94">
        <v>0.995</v>
      </c>
      <c r="B38" s="104"/>
      <c r="C38" s="104"/>
      <c r="D38" s="102"/>
      <c r="H38" s="7"/>
      <c r="I38" s="2" t="s">
        <v>22</v>
      </c>
      <c r="J38" s="1">
        <f t="shared" ca="1" si="26"/>
        <v>1.0214909496925279E-11</v>
      </c>
      <c r="K38" s="1">
        <f t="shared" ca="1" si="27"/>
        <v>2.4502968655942397E-11</v>
      </c>
      <c r="L38" s="1">
        <f t="shared" ca="1" si="28"/>
        <v>0</v>
      </c>
      <c r="N38" s="2" t="s">
        <v>22</v>
      </c>
      <c r="O38" s="21">
        <v>0</v>
      </c>
      <c r="P38" s="21">
        <v>0</v>
      </c>
      <c r="Q38" s="21">
        <f t="shared" ref="Q38:Q43" ca="1" si="30">Q28/Q$34</f>
        <v>0</v>
      </c>
      <c r="R38" s="1">
        <f t="shared" ref="R38:R44" ca="1" si="31">K38</f>
        <v>2.4502968655942397E-11</v>
      </c>
      <c r="S38" s="1">
        <f t="shared" ref="S38:S43" ca="1" si="32">S28/$S$34</f>
        <v>2.5955570986122998E-11</v>
      </c>
      <c r="T38" s="1">
        <f t="shared" ref="T38:T43" ca="1" si="33">T28/$T$34</f>
        <v>1.2683151615119663E-11</v>
      </c>
      <c r="U38" s="1" t="e">
        <f t="shared" ref="U38:U43" ca="1" si="34">U28/$U$34</f>
        <v>#DIV/0!</v>
      </c>
      <c r="W38" s="2" t="s">
        <v>22</v>
      </c>
      <c r="X38" s="1">
        <f t="shared" ca="1" si="29"/>
        <v>0</v>
      </c>
      <c r="Y38" s="1">
        <v>0</v>
      </c>
      <c r="Z38" s="1">
        <v>0</v>
      </c>
      <c r="AB38" s="2" t="s">
        <v>22</v>
      </c>
      <c r="AC38" s="1">
        <f t="shared" ref="AC38:AE43" ca="1" si="35">AC28/AC$34</f>
        <v>0</v>
      </c>
      <c r="AD38" s="1">
        <f t="shared" ca="1" si="35"/>
        <v>0</v>
      </c>
      <c r="AE38" s="1">
        <f t="shared" ca="1" si="35"/>
        <v>0</v>
      </c>
    </row>
    <row r="39" spans="1:31" x14ac:dyDescent="0.25">
      <c r="A39" s="95" t="s">
        <v>61</v>
      </c>
      <c r="B39" s="95"/>
      <c r="C39" s="95"/>
      <c r="D39" s="95"/>
      <c r="H39" s="7"/>
      <c r="I39" s="2" t="s">
        <v>25</v>
      </c>
      <c r="J39" s="1">
        <f t="shared" ca="1" si="26"/>
        <v>2.2919087150743457E-2</v>
      </c>
      <c r="K39" s="1">
        <f t="shared" ca="1" si="27"/>
        <v>5.4977058215397619E-2</v>
      </c>
      <c r="L39" s="1">
        <f t="shared" ca="1" si="28"/>
        <v>0</v>
      </c>
      <c r="N39" s="2" t="s">
        <v>25</v>
      </c>
      <c r="O39" s="21">
        <v>0</v>
      </c>
      <c r="P39" s="21">
        <v>0</v>
      </c>
      <c r="Q39" s="21">
        <f t="shared" ca="1" si="30"/>
        <v>0</v>
      </c>
      <c r="R39" s="1">
        <f t="shared" ca="1" si="31"/>
        <v>5.4977058215397619E-2</v>
      </c>
      <c r="S39" s="1">
        <f t="shared" ca="1" si="32"/>
        <v>0</v>
      </c>
      <c r="T39" s="1">
        <f t="shared" ca="1" si="33"/>
        <v>0</v>
      </c>
      <c r="U39" s="1" t="e">
        <f t="shared" ca="1" si="34"/>
        <v>#DIV/0!</v>
      </c>
      <c r="W39" s="2" t="s">
        <v>25</v>
      </c>
      <c r="X39" s="1">
        <f t="shared" ca="1" si="29"/>
        <v>0</v>
      </c>
      <c r="Y39" s="1">
        <v>0</v>
      </c>
      <c r="Z39" s="1">
        <v>0</v>
      </c>
      <c r="AB39" s="2" t="s">
        <v>25</v>
      </c>
      <c r="AC39" s="1">
        <f t="shared" ca="1" si="35"/>
        <v>0</v>
      </c>
      <c r="AD39" s="1">
        <f t="shared" ca="1" si="35"/>
        <v>0</v>
      </c>
      <c r="AE39" s="1">
        <f t="shared" ca="1" si="35"/>
        <v>0</v>
      </c>
    </row>
    <row r="40" spans="1:31" x14ac:dyDescent="0.25">
      <c r="A40" s="94">
        <f>2/100</f>
        <v>0.02</v>
      </c>
      <c r="B40" s="104"/>
      <c r="C40" s="104"/>
      <c r="D40" s="102"/>
      <c r="H40" s="7"/>
      <c r="I40" s="2" t="s">
        <v>27</v>
      </c>
      <c r="J40" s="1">
        <f t="shared" ca="1" si="26"/>
        <v>0.41183840915492936</v>
      </c>
      <c r="K40" s="1">
        <f t="shared" ca="1" si="27"/>
        <v>9.8789554952727929E-4</v>
      </c>
      <c r="L40" s="1">
        <f t="shared" ca="1" si="28"/>
        <v>0.70556625326144473</v>
      </c>
      <c r="N40" s="2" t="s">
        <v>27</v>
      </c>
      <c r="O40" s="21">
        <v>0</v>
      </c>
      <c r="P40" s="21">
        <v>0</v>
      </c>
      <c r="Q40" s="21">
        <f t="shared" ca="1" si="30"/>
        <v>0</v>
      </c>
      <c r="R40" s="1">
        <f t="shared" ca="1" si="31"/>
        <v>9.8789554952727929E-4</v>
      </c>
      <c r="S40" s="1">
        <f t="shared" ca="1" si="32"/>
        <v>0</v>
      </c>
      <c r="T40" s="1">
        <f t="shared" ca="1" si="33"/>
        <v>0.51135146971335599</v>
      </c>
      <c r="U40" s="1" t="e">
        <f t="shared" ca="1" si="34"/>
        <v>#DIV/0!</v>
      </c>
      <c r="W40" s="2" t="s">
        <v>27</v>
      </c>
      <c r="X40" s="1">
        <f t="shared" ca="1" si="29"/>
        <v>0.70556625326144473</v>
      </c>
      <c r="Y40" s="1">
        <f>1-Y41</f>
        <v>0.99200000000095256</v>
      </c>
      <c r="Z40" s="1">
        <v>0</v>
      </c>
      <c r="AB40" s="2" t="s">
        <v>27</v>
      </c>
      <c r="AC40" s="1">
        <f t="shared" ref="AC40:AD40" si="36">1-AC$41</f>
        <v>0.99200000000095256</v>
      </c>
      <c r="AD40" s="1">
        <f t="shared" si="36"/>
        <v>0.99200000000095256</v>
      </c>
      <c r="AE40" s="1">
        <f>1-AE$41</f>
        <v>0.99200000000095256</v>
      </c>
    </row>
    <row r="41" spans="1:31" x14ac:dyDescent="0.25">
      <c r="A41" s="95" t="s">
        <v>62</v>
      </c>
      <c r="B41" s="95"/>
      <c r="C41" s="95"/>
      <c r="D41" s="95"/>
      <c r="H41" s="7"/>
      <c r="I41" s="2" t="s">
        <v>20</v>
      </c>
      <c r="J41" s="1">
        <f t="shared" ca="1" si="26"/>
        <v>5.0221948293586284E-3</v>
      </c>
      <c r="K41" s="1">
        <f t="shared" ca="1" si="27"/>
        <v>0</v>
      </c>
      <c r="L41" s="1">
        <f t="shared" ca="1" si="28"/>
        <v>8.6126940767982992E-3</v>
      </c>
      <c r="N41" s="2" t="s">
        <v>20</v>
      </c>
      <c r="O41" s="21">
        <v>0</v>
      </c>
      <c r="P41" s="21">
        <v>0</v>
      </c>
      <c r="Q41" s="21">
        <f t="shared" ca="1" si="30"/>
        <v>0</v>
      </c>
      <c r="R41" s="1">
        <f t="shared" ca="1" si="31"/>
        <v>0</v>
      </c>
      <c r="S41" s="1">
        <f t="shared" ca="1" si="32"/>
        <v>0</v>
      </c>
      <c r="T41" s="1">
        <f t="shared" ca="1" si="33"/>
        <v>0</v>
      </c>
      <c r="U41" s="1" t="e">
        <f t="shared" ca="1" si="34"/>
        <v>#DIV/0!</v>
      </c>
      <c r="W41" s="2" t="s">
        <v>20</v>
      </c>
      <c r="X41" s="1">
        <f t="shared" ca="1" si="29"/>
        <v>8.6126940767982992E-3</v>
      </c>
      <c r="Y41" s="1">
        <f>H5</f>
        <v>7.999999999047467E-3</v>
      </c>
      <c r="Z41" s="1">
        <f ca="1">Z31/Z34</f>
        <v>1.0121930574784254E-2</v>
      </c>
      <c r="AB41" s="2" t="s">
        <v>20</v>
      </c>
      <c r="AC41" s="1">
        <f>H5</f>
        <v>7.999999999047467E-3</v>
      </c>
      <c r="AD41" s="1">
        <f>H5</f>
        <v>7.999999999047467E-3</v>
      </c>
      <c r="AE41" s="1">
        <f>H5</f>
        <v>7.999999999047467E-3</v>
      </c>
    </row>
    <row r="42" spans="1:31" x14ac:dyDescent="0.25">
      <c r="A42" s="94">
        <f>7/100</f>
        <v>7.0000000000000007E-2</v>
      </c>
      <c r="B42" s="104"/>
      <c r="C42" s="104"/>
      <c r="D42" s="102"/>
      <c r="H42" s="7"/>
      <c r="I42" s="2" t="s">
        <v>30</v>
      </c>
      <c r="J42" s="1">
        <f t="shared" ca="1" si="26"/>
        <v>0.16666666666666663</v>
      </c>
      <c r="K42" s="1">
        <f t="shared" ca="1" si="27"/>
        <v>0</v>
      </c>
      <c r="L42" s="1">
        <f t="shared" ca="1" si="28"/>
        <v>0.28582105266175706</v>
      </c>
      <c r="N42" s="2" t="s">
        <v>30</v>
      </c>
      <c r="O42" s="21">
        <v>1</v>
      </c>
      <c r="P42" s="21">
        <v>1</v>
      </c>
      <c r="Q42" s="21">
        <f t="shared" ca="1" si="30"/>
        <v>1</v>
      </c>
      <c r="R42" s="1">
        <f t="shared" ca="1" si="31"/>
        <v>0</v>
      </c>
      <c r="S42" s="1">
        <f t="shared" ca="1" si="32"/>
        <v>0</v>
      </c>
      <c r="T42" s="1">
        <f t="shared" ca="1" si="33"/>
        <v>0</v>
      </c>
      <c r="U42" s="1" t="e">
        <f t="shared" ca="1" si="34"/>
        <v>#DIV/0!</v>
      </c>
      <c r="W42" s="2" t="s">
        <v>30</v>
      </c>
      <c r="X42" s="1">
        <f t="shared" ca="1" si="29"/>
        <v>0.28582105266175706</v>
      </c>
      <c r="Y42" s="1">
        <v>0</v>
      </c>
      <c r="Z42" s="1">
        <f ca="1">Z32/Z34</f>
        <v>0.98987806942521583</v>
      </c>
      <c r="AB42" s="2" t="s">
        <v>30</v>
      </c>
      <c r="AC42" s="1">
        <f t="shared" ca="1" si="35"/>
        <v>0</v>
      </c>
      <c r="AD42" s="1">
        <f t="shared" ca="1" si="35"/>
        <v>0</v>
      </c>
      <c r="AE42" s="1">
        <f t="shared" ca="1" si="35"/>
        <v>0</v>
      </c>
    </row>
    <row r="43" spans="1:31" x14ac:dyDescent="0.25">
      <c r="A43" s="95" t="s">
        <v>63</v>
      </c>
      <c r="B43" s="95"/>
      <c r="C43" s="95"/>
      <c r="D43" s="95"/>
      <c r="H43" s="7"/>
      <c r="I43" s="2" t="s">
        <v>32</v>
      </c>
      <c r="J43" s="1">
        <f t="shared" ca="1" si="26"/>
        <v>1.5590751931588103E-2</v>
      </c>
      <c r="K43" s="1">
        <f t="shared" ca="1" si="27"/>
        <v>3.7398246750719219E-2</v>
      </c>
      <c r="L43" s="1">
        <f t="shared" ca="1" si="28"/>
        <v>0</v>
      </c>
      <c r="N43" s="2" t="s">
        <v>32</v>
      </c>
      <c r="O43" s="21">
        <v>0</v>
      </c>
      <c r="P43" s="21">
        <v>0</v>
      </c>
      <c r="Q43" s="21">
        <f t="shared" ca="1" si="30"/>
        <v>0</v>
      </c>
      <c r="R43" s="1">
        <f t="shared" ca="1" si="31"/>
        <v>3.7398246750719219E-2</v>
      </c>
      <c r="S43" s="1">
        <f t="shared" ca="1" si="32"/>
        <v>3.9615316083727939E-2</v>
      </c>
      <c r="T43" s="1">
        <f t="shared" ca="1" si="33"/>
        <v>1.935796598115451E-2</v>
      </c>
      <c r="U43" s="1" t="e">
        <f t="shared" ca="1" si="34"/>
        <v>#DIV/0!</v>
      </c>
      <c r="W43" s="2" t="s">
        <v>32</v>
      </c>
      <c r="X43" s="1">
        <f t="shared" ca="1" si="29"/>
        <v>0</v>
      </c>
      <c r="Y43" s="1">
        <v>0</v>
      </c>
      <c r="Z43" s="1">
        <v>0</v>
      </c>
      <c r="AB43" s="2" t="s">
        <v>32</v>
      </c>
      <c r="AC43" s="1">
        <f t="shared" ca="1" si="35"/>
        <v>0</v>
      </c>
      <c r="AD43" s="1">
        <f t="shared" ca="1" si="35"/>
        <v>0</v>
      </c>
      <c r="AE43" s="1">
        <f t="shared" ca="1" si="35"/>
        <v>0</v>
      </c>
    </row>
    <row r="44" spans="1:31" x14ac:dyDescent="0.25">
      <c r="A44" s="94">
        <v>1.5E-3</v>
      </c>
      <c r="B44" s="104"/>
      <c r="C44" s="104"/>
      <c r="D44" s="102"/>
      <c r="I44" s="2" t="s">
        <v>34</v>
      </c>
      <c r="J44" s="2">
        <f ca="1">SUM(J37:J43)</f>
        <v>1.0000000000000002</v>
      </c>
      <c r="K44" s="2">
        <f ca="1">SUM(K37:K43)</f>
        <v>1</v>
      </c>
      <c r="L44" s="2">
        <f ca="1">SUM(L37:L43)</f>
        <v>1</v>
      </c>
      <c r="N44" s="2" t="s">
        <v>34</v>
      </c>
      <c r="O44" s="21">
        <f>SUM(O37:O43)</f>
        <v>1</v>
      </c>
      <c r="P44" s="21">
        <f>SUM(P37:P43)</f>
        <v>1</v>
      </c>
      <c r="Q44" s="21">
        <f ca="1">SUM(Q37:Q43)</f>
        <v>1</v>
      </c>
      <c r="R44" s="2">
        <f t="shared" ca="1" si="31"/>
        <v>1</v>
      </c>
      <c r="S44" s="2">
        <f ca="1">SUM(S37:S43)</f>
        <v>1.0000000000000002</v>
      </c>
      <c r="T44" s="2">
        <f ca="1">SUM(T37:T43)</f>
        <v>1</v>
      </c>
      <c r="U44" s="2" t="e">
        <f ca="1">SUM(U37:U43)</f>
        <v>#DIV/0!</v>
      </c>
      <c r="W44" s="2" t="s">
        <v>34</v>
      </c>
      <c r="X44" s="2">
        <f t="shared" ca="1" si="29"/>
        <v>1</v>
      </c>
      <c r="Y44" s="2">
        <f>SUM(Y37:Y43)</f>
        <v>1</v>
      </c>
      <c r="Z44" s="2">
        <f ca="1">SUM(Z37:Z43)</f>
        <v>1</v>
      </c>
      <c r="AB44" s="2" t="s">
        <v>34</v>
      </c>
      <c r="AC44" s="2">
        <f ca="1">SUM(AC37:AC43)</f>
        <v>1</v>
      </c>
      <c r="AD44" s="2">
        <f ca="1">SUM(AD37:AD43)</f>
        <v>1</v>
      </c>
      <c r="AE44" s="2">
        <f ca="1">SUM(AE37:AE43)</f>
        <v>1</v>
      </c>
    </row>
    <row r="45" spans="1:31" x14ac:dyDescent="0.25">
      <c r="A45" s="95" t="s">
        <v>64</v>
      </c>
      <c r="B45" s="95"/>
      <c r="C45" s="95"/>
      <c r="D45" s="95"/>
      <c r="J45" t="s">
        <v>65</v>
      </c>
      <c r="K45" t="s">
        <v>66</v>
      </c>
    </row>
    <row r="46" spans="1:31" x14ac:dyDescent="0.25">
      <c r="A46" s="94">
        <f>0.5/100</f>
        <v>5.0000000000000001E-3</v>
      </c>
      <c r="B46" s="104"/>
      <c r="C46" s="104"/>
      <c r="D46" s="102"/>
      <c r="I46" t="str">
        <f t="shared" ref="I46:I52" si="37">I37</f>
        <v>N2</v>
      </c>
      <c r="J46">
        <f t="shared" ref="J46:J52" si="38">1-K46</f>
        <v>1</v>
      </c>
      <c r="K46">
        <v>0</v>
      </c>
    </row>
    <row r="47" spans="1:31" ht="15.75" thickBot="1" x14ac:dyDescent="0.3">
      <c r="A47" s="95" t="s">
        <v>67</v>
      </c>
      <c r="B47" s="95"/>
      <c r="C47" s="95"/>
      <c r="D47" s="95"/>
      <c r="I47" t="str">
        <f t="shared" si="37"/>
        <v>O2</v>
      </c>
      <c r="J47">
        <f t="shared" si="38"/>
        <v>1</v>
      </c>
      <c r="K47">
        <v>0</v>
      </c>
    </row>
    <row r="48" spans="1:31" x14ac:dyDescent="0.25">
      <c r="A48" s="94">
        <v>43</v>
      </c>
      <c r="B48" s="104"/>
      <c r="C48" s="104"/>
      <c r="D48" s="102"/>
      <c r="I48" t="str">
        <f t="shared" si="37"/>
        <v>C2H4</v>
      </c>
      <c r="J48">
        <f t="shared" si="38"/>
        <v>1</v>
      </c>
      <c r="K48">
        <v>0</v>
      </c>
      <c r="W48" s="76" t="s">
        <v>68</v>
      </c>
      <c r="X48" s="77"/>
      <c r="Y48" s="77"/>
      <c r="Z48" s="77"/>
      <c r="AA48" s="77"/>
      <c r="AB48" s="77"/>
      <c r="AC48" s="77"/>
      <c r="AD48" s="77"/>
      <c r="AE48" s="78"/>
    </row>
    <row r="49" spans="1:31" x14ac:dyDescent="0.25">
      <c r="A49" s="36" t="s">
        <v>69</v>
      </c>
      <c r="B49" s="36"/>
      <c r="C49" s="36"/>
      <c r="D49" s="36"/>
      <c r="I49" t="str">
        <f t="shared" si="37"/>
        <v>C2H4O</v>
      </c>
      <c r="J49">
        <f t="shared" si="38"/>
        <v>1.0000000000000009E-3</v>
      </c>
      <c r="K49">
        <v>0.999</v>
      </c>
      <c r="W49" s="79"/>
      <c r="X49" s="80"/>
      <c r="Y49" s="80"/>
      <c r="Z49" s="80"/>
      <c r="AA49" s="80"/>
      <c r="AB49" s="80"/>
      <c r="AC49" s="80"/>
      <c r="AD49" s="80"/>
      <c r="AE49" s="81"/>
    </row>
    <row r="50" spans="1:31" x14ac:dyDescent="0.25">
      <c r="A50" s="95" t="s">
        <v>70</v>
      </c>
      <c r="B50" s="95"/>
      <c r="C50" s="95"/>
      <c r="D50" s="95"/>
      <c r="I50" t="str">
        <f t="shared" si="37"/>
        <v>CH3CHO</v>
      </c>
      <c r="J50">
        <f t="shared" si="38"/>
        <v>0</v>
      </c>
      <c r="K50">
        <v>1</v>
      </c>
      <c r="W50" s="83" t="s">
        <v>42</v>
      </c>
      <c r="X50" s="27"/>
      <c r="Y50" s="27"/>
      <c r="Z50" s="28"/>
      <c r="AB50" s="26" t="s">
        <v>43</v>
      </c>
      <c r="AC50" s="27"/>
      <c r="AD50" s="27"/>
      <c r="AE50" s="84"/>
    </row>
    <row r="51" spans="1:31" x14ac:dyDescent="0.25">
      <c r="A51" s="94" t="s">
        <v>71</v>
      </c>
      <c r="B51" s="104"/>
      <c r="C51" s="104"/>
      <c r="D51" s="102"/>
      <c r="I51" t="str">
        <f t="shared" si="37"/>
        <v>H2O</v>
      </c>
      <c r="J51">
        <f t="shared" si="38"/>
        <v>0</v>
      </c>
      <c r="K51">
        <v>1</v>
      </c>
      <c r="W51" s="72" t="s">
        <v>7</v>
      </c>
      <c r="X51" s="57"/>
      <c r="Y51" s="57"/>
      <c r="Z51" s="58"/>
      <c r="AB51" s="56" t="s">
        <v>7</v>
      </c>
      <c r="AC51" s="57"/>
      <c r="AD51" s="57"/>
      <c r="AE51" s="73"/>
    </row>
    <row r="52" spans="1:31" x14ac:dyDescent="0.25">
      <c r="A52" s="36" t="s">
        <v>72</v>
      </c>
      <c r="B52" s="36"/>
      <c r="C52" s="36"/>
      <c r="D52" s="36"/>
      <c r="I52" t="str">
        <f t="shared" si="37"/>
        <v>CO2</v>
      </c>
      <c r="J52">
        <f t="shared" si="38"/>
        <v>1</v>
      </c>
      <c r="K52">
        <v>0</v>
      </c>
      <c r="W52" s="11"/>
      <c r="X52" s="24">
        <v>12</v>
      </c>
      <c r="Y52" s="24">
        <v>15</v>
      </c>
      <c r="Z52" s="24">
        <v>16</v>
      </c>
      <c r="AB52" s="2"/>
      <c r="AC52" s="24">
        <v>15</v>
      </c>
      <c r="AD52" s="24" t="s">
        <v>50</v>
      </c>
      <c r="AE52" s="12" t="s">
        <v>51</v>
      </c>
    </row>
    <row r="53" spans="1:31" x14ac:dyDescent="0.25">
      <c r="A53" s="95" t="s">
        <v>73</v>
      </c>
      <c r="B53" s="95"/>
      <c r="C53" s="95"/>
      <c r="D53" s="95"/>
      <c r="W53" s="11" t="s">
        <v>18</v>
      </c>
      <c r="X53" s="1"/>
      <c r="Y53" s="1">
        <f t="shared" ref="Y53:Y60" si="39">AC53</f>
        <v>0</v>
      </c>
      <c r="Z53" s="1">
        <v>0</v>
      </c>
      <c r="AB53" s="2" t="s">
        <v>18</v>
      </c>
      <c r="AC53" s="1">
        <f t="shared" ref="AC53:AC59" si="40">SUM(AD53:AE53)</f>
        <v>0</v>
      </c>
      <c r="AD53" s="1">
        <f t="shared" ref="AD53:AD59" si="41">$A$74*AE53</f>
        <v>0</v>
      </c>
      <c r="AE53" s="13">
        <v>0</v>
      </c>
    </row>
    <row r="54" spans="1:31" x14ac:dyDescent="0.25">
      <c r="A54" s="94" t="s">
        <v>74</v>
      </c>
      <c r="B54" s="104"/>
      <c r="C54" s="104"/>
      <c r="D54" s="102"/>
      <c r="W54" s="11" t="s">
        <v>22</v>
      </c>
      <c r="X54" s="1"/>
      <c r="Y54" s="1">
        <f t="shared" si="39"/>
        <v>0</v>
      </c>
      <c r="Z54" s="1">
        <v>0</v>
      </c>
      <c r="AB54" s="2" t="s">
        <v>22</v>
      </c>
      <c r="AC54" s="1">
        <f t="shared" si="40"/>
        <v>0</v>
      </c>
      <c r="AD54" s="1">
        <f t="shared" si="41"/>
        <v>0</v>
      </c>
      <c r="AE54" s="13">
        <v>0</v>
      </c>
    </row>
    <row r="55" spans="1:31" x14ac:dyDescent="0.25">
      <c r="A55" s="95" t="s">
        <v>75</v>
      </c>
      <c r="B55" s="95"/>
      <c r="C55" s="95"/>
      <c r="D55" s="95"/>
      <c r="W55" s="11" t="s">
        <v>25</v>
      </c>
      <c r="X55" s="1"/>
      <c r="Y55" s="1">
        <f t="shared" si="39"/>
        <v>0</v>
      </c>
      <c r="Z55" s="1">
        <v>0</v>
      </c>
      <c r="AB55" s="2" t="s">
        <v>25</v>
      </c>
      <c r="AC55" s="1">
        <f t="shared" si="40"/>
        <v>0</v>
      </c>
      <c r="AD55" s="1">
        <f t="shared" si="41"/>
        <v>0</v>
      </c>
      <c r="AE55" s="13">
        <v>0</v>
      </c>
    </row>
    <row r="56" spans="1:31" x14ac:dyDescent="0.25">
      <c r="A56" s="94" t="s">
        <v>76</v>
      </c>
      <c r="B56" s="104"/>
      <c r="C56" s="104"/>
      <c r="D56" s="102"/>
      <c r="W56" s="11" t="s">
        <v>27</v>
      </c>
      <c r="X56" s="1">
        <f>Y56</f>
        <v>675.54990579594073</v>
      </c>
      <c r="Y56" s="1">
        <f t="shared" si="39"/>
        <v>675.54990579594073</v>
      </c>
      <c r="Z56" s="1">
        <v>0</v>
      </c>
      <c r="AB56" s="2" t="s">
        <v>27</v>
      </c>
      <c r="AC56" s="1">
        <f t="shared" si="40"/>
        <v>675.54990579594073</v>
      </c>
      <c r="AD56" s="1">
        <f t="shared" si="41"/>
        <v>450.36660386396051</v>
      </c>
      <c r="AE56" s="13">
        <f>B6</f>
        <v>225.18330193198025</v>
      </c>
    </row>
    <row r="57" spans="1:31" x14ac:dyDescent="0.25">
      <c r="A57" s="95" t="s">
        <v>77</v>
      </c>
      <c r="B57" s="95"/>
      <c r="C57" s="95"/>
      <c r="D57" s="95"/>
      <c r="W57" s="11" t="s">
        <v>20</v>
      </c>
      <c r="X57" s="1"/>
      <c r="Y57" s="1">
        <f t="shared" si="39"/>
        <v>5.4479831106036825</v>
      </c>
      <c r="Z57" s="1">
        <f>X57-Y57</f>
        <v>-5.4479831106036825</v>
      </c>
      <c r="AB57" s="2" t="s">
        <v>20</v>
      </c>
      <c r="AC57" s="1">
        <f t="shared" si="40"/>
        <v>5.4479831106036825</v>
      </c>
      <c r="AD57" s="1">
        <f t="shared" si="41"/>
        <v>3.6319887404024551</v>
      </c>
      <c r="AE57" s="13">
        <f>D6</f>
        <v>1.8159943702012276</v>
      </c>
    </row>
    <row r="58" spans="1:31" x14ac:dyDescent="0.25">
      <c r="A58" s="94">
        <v>0.999</v>
      </c>
      <c r="B58" s="104"/>
      <c r="C58" s="104"/>
      <c r="D58" s="102"/>
      <c r="W58" s="11" t="s">
        <v>30</v>
      </c>
      <c r="X58" s="1"/>
      <c r="Y58" s="1">
        <f t="shared" si="39"/>
        <v>0</v>
      </c>
      <c r="Z58" s="1">
        <f>X58</f>
        <v>0</v>
      </c>
      <c r="AB58" s="2" t="s">
        <v>30</v>
      </c>
      <c r="AC58" s="1">
        <f t="shared" si="40"/>
        <v>0</v>
      </c>
      <c r="AD58" s="1">
        <f t="shared" si="41"/>
        <v>0</v>
      </c>
      <c r="AE58" s="13">
        <v>0</v>
      </c>
    </row>
    <row r="59" spans="1:31" x14ac:dyDescent="0.25">
      <c r="A59" s="36" t="s">
        <v>78</v>
      </c>
      <c r="B59" s="36"/>
      <c r="C59" s="36"/>
      <c r="D59" s="36"/>
      <c r="W59" s="11" t="s">
        <v>32</v>
      </c>
      <c r="X59" s="1"/>
      <c r="Y59" s="1">
        <f t="shared" si="39"/>
        <v>0</v>
      </c>
      <c r="Z59" s="1">
        <v>0</v>
      </c>
      <c r="AB59" s="2" t="s">
        <v>32</v>
      </c>
      <c r="AC59" s="1">
        <f t="shared" si="40"/>
        <v>0</v>
      </c>
      <c r="AD59" s="1">
        <f t="shared" si="41"/>
        <v>0</v>
      </c>
      <c r="AE59" s="13">
        <v>0</v>
      </c>
    </row>
    <row r="60" spans="1:31" x14ac:dyDescent="0.25">
      <c r="A60" s="96" t="s">
        <v>79</v>
      </c>
      <c r="B60" s="101"/>
      <c r="C60" s="96" t="s">
        <v>80</v>
      </c>
      <c r="D60" s="101"/>
      <c r="W60" s="11" t="s">
        <v>34</v>
      </c>
      <c r="X60" s="2"/>
      <c r="Y60" s="2">
        <f t="shared" si="39"/>
        <v>680.9978889065444</v>
      </c>
      <c r="Z60" s="2">
        <f>SUM(Z53:Z59)</f>
        <v>-5.4479831106036825</v>
      </c>
      <c r="AB60" s="2" t="s">
        <v>34</v>
      </c>
      <c r="AC60" s="2">
        <f>SUM(AC53:AC59)</f>
        <v>680.9978889065444</v>
      </c>
      <c r="AD60" s="2">
        <f>SUM(AD53:AD59)</f>
        <v>453.99859260436295</v>
      </c>
      <c r="AE60" s="14">
        <f>SUM(AE53:AE59)</f>
        <v>226.99929630218148</v>
      </c>
    </row>
    <row r="61" spans="1:31" x14ac:dyDescent="0.25">
      <c r="A61" s="94" t="s">
        <v>19</v>
      </c>
      <c r="B61" s="102"/>
      <c r="C61" s="94">
        <v>1</v>
      </c>
      <c r="D61" s="102"/>
      <c r="W61" s="72" t="s">
        <v>35</v>
      </c>
      <c r="X61" s="57"/>
      <c r="Y61" s="57"/>
      <c r="Z61" s="58"/>
      <c r="AB61" s="56" t="s">
        <v>35</v>
      </c>
      <c r="AC61" s="57"/>
      <c r="AD61" s="57"/>
      <c r="AE61" s="73"/>
    </row>
    <row r="62" spans="1:31" x14ac:dyDescent="0.25">
      <c r="A62" s="96" t="s">
        <v>73</v>
      </c>
      <c r="B62" s="101"/>
      <c r="C62" s="96" t="s">
        <v>80</v>
      </c>
      <c r="D62" s="101"/>
      <c r="W62" s="11"/>
      <c r="X62" s="24">
        <v>15</v>
      </c>
      <c r="Y62" s="24" t="s">
        <v>50</v>
      </c>
      <c r="Z62" s="24">
        <v>16</v>
      </c>
      <c r="AB62" s="2"/>
      <c r="AC62" s="24">
        <v>15</v>
      </c>
      <c r="AD62" s="24" t="s">
        <v>50</v>
      </c>
      <c r="AE62" s="12" t="s">
        <v>51</v>
      </c>
    </row>
    <row r="63" spans="1:31" x14ac:dyDescent="0.25">
      <c r="A63" s="94" t="s">
        <v>81</v>
      </c>
      <c r="B63" s="102"/>
      <c r="C63" s="94">
        <v>0.999</v>
      </c>
      <c r="D63" s="102"/>
      <c r="W63" s="11" t="s">
        <v>18</v>
      </c>
      <c r="X63" s="1">
        <f t="shared" ref="X63:X70" ca="1" si="42">AC63</f>
        <v>0</v>
      </c>
      <c r="Y63" s="1"/>
      <c r="Z63" s="1"/>
      <c r="AB63" s="2" t="s">
        <v>18</v>
      </c>
      <c r="AC63" s="1">
        <f t="shared" ref="AC63:AE65" ca="1" si="43">AC53/AC$34</f>
        <v>0</v>
      </c>
      <c r="AD63" s="1">
        <f t="shared" ca="1" si="43"/>
        <v>0</v>
      </c>
      <c r="AE63" s="13">
        <f t="shared" ca="1" si="43"/>
        <v>0</v>
      </c>
    </row>
    <row r="64" spans="1:31" x14ac:dyDescent="0.25">
      <c r="A64" s="95" t="s">
        <v>82</v>
      </c>
      <c r="B64" s="95"/>
      <c r="C64" s="95"/>
      <c r="D64" s="95"/>
      <c r="W64" s="11" t="s">
        <v>22</v>
      </c>
      <c r="X64" s="1">
        <f t="shared" ca="1" si="42"/>
        <v>0</v>
      </c>
      <c r="Y64" s="1"/>
      <c r="Z64" s="1"/>
      <c r="AB64" s="2" t="s">
        <v>22</v>
      </c>
      <c r="AC64" s="1">
        <f t="shared" ca="1" si="43"/>
        <v>0</v>
      </c>
      <c r="AD64" s="1">
        <f t="shared" ca="1" si="43"/>
        <v>0</v>
      </c>
      <c r="AE64" s="13">
        <f t="shared" ca="1" si="43"/>
        <v>0</v>
      </c>
    </row>
    <row r="65" spans="1:31" x14ac:dyDescent="0.25">
      <c r="A65" s="94">
        <v>2</v>
      </c>
      <c r="B65" s="104"/>
      <c r="C65" s="104"/>
      <c r="D65" s="102"/>
      <c r="W65" s="11" t="s">
        <v>25</v>
      </c>
      <c r="X65" s="1">
        <f t="shared" ca="1" si="42"/>
        <v>0</v>
      </c>
      <c r="Y65" s="1"/>
      <c r="Z65" s="1"/>
      <c r="AB65" s="2" t="s">
        <v>25</v>
      </c>
      <c r="AC65" s="1">
        <f t="shared" ca="1" si="43"/>
        <v>0</v>
      </c>
      <c r="AD65" s="1">
        <f t="shared" ca="1" si="43"/>
        <v>0</v>
      </c>
      <c r="AE65" s="13">
        <f t="shared" ca="1" si="43"/>
        <v>0</v>
      </c>
    </row>
    <row r="66" spans="1:31" x14ac:dyDescent="0.25">
      <c r="A66" s="36" t="s">
        <v>83</v>
      </c>
      <c r="B66" s="36"/>
      <c r="C66" s="36"/>
      <c r="D66" s="36"/>
      <c r="W66" s="11" t="s">
        <v>27</v>
      </c>
      <c r="X66" s="1">
        <f t="shared" ca="1" si="42"/>
        <v>1.0278464636377156</v>
      </c>
      <c r="Y66" s="1"/>
      <c r="Z66" s="1"/>
      <c r="AB66" s="2" t="s">
        <v>27</v>
      </c>
      <c r="AC66" s="1">
        <f ca="1">AC56/AC$34</f>
        <v>1.0278464636377156</v>
      </c>
      <c r="AD66" s="1">
        <f>AD56/AD$60</f>
        <v>0.99200000000095256</v>
      </c>
      <c r="AE66" s="13">
        <f>AE56/AE$60</f>
        <v>0.99200000000095256</v>
      </c>
    </row>
    <row r="67" spans="1:31" x14ac:dyDescent="0.25">
      <c r="A67" s="96" t="s">
        <v>79</v>
      </c>
      <c r="B67" s="101"/>
      <c r="C67" s="96" t="s">
        <v>80</v>
      </c>
      <c r="D67" s="101"/>
      <c r="W67" s="11" t="s">
        <v>20</v>
      </c>
      <c r="X67" s="1">
        <f t="shared" ca="1" si="42"/>
        <v>8.2890843831802136E-3</v>
      </c>
      <c r="Y67" s="1"/>
      <c r="Z67" s="1"/>
      <c r="AB67" s="2" t="s">
        <v>20</v>
      </c>
      <c r="AC67" s="1">
        <f ca="1">AC57/AC$34</f>
        <v>8.2890843831802136E-3</v>
      </c>
      <c r="AD67" s="1">
        <f>AD57/AD$60</f>
        <v>7.999999999047467E-3</v>
      </c>
      <c r="AE67" s="13">
        <f>AE57/AE$60</f>
        <v>7.999999999047467E-3</v>
      </c>
    </row>
    <row r="68" spans="1:31" x14ac:dyDescent="0.25">
      <c r="A68" s="93" t="s">
        <v>84</v>
      </c>
      <c r="B68" s="93"/>
      <c r="C68" s="104">
        <v>1</v>
      </c>
      <c r="D68" s="102"/>
      <c r="W68" s="11" t="s">
        <v>30</v>
      </c>
      <c r="X68" s="1">
        <f t="shared" ca="1" si="42"/>
        <v>0</v>
      </c>
      <c r="Y68" s="1"/>
      <c r="Z68" s="1"/>
      <c r="AB68" s="2" t="s">
        <v>30</v>
      </c>
      <c r="AC68" s="1">
        <f ca="1">AC58/AC$34</f>
        <v>0</v>
      </c>
      <c r="AD68" s="1">
        <f ca="1">AD58/AD$34</f>
        <v>0</v>
      </c>
      <c r="AE68" s="13">
        <f ca="1">AE58/AE$34</f>
        <v>0</v>
      </c>
    </row>
    <row r="69" spans="1:31" x14ac:dyDescent="0.25">
      <c r="A69" s="96" t="s">
        <v>73</v>
      </c>
      <c r="B69" s="101"/>
      <c r="C69" s="96" t="s">
        <v>80</v>
      </c>
      <c r="D69" s="101"/>
      <c r="W69" s="11" t="s">
        <v>32</v>
      </c>
      <c r="X69" s="1">
        <f t="shared" ca="1" si="42"/>
        <v>0</v>
      </c>
      <c r="Y69" s="1"/>
      <c r="Z69" s="1"/>
      <c r="AB69" s="2" t="s">
        <v>32</v>
      </c>
      <c r="AC69" s="1">
        <f ca="1">AC59/AC$34</f>
        <v>0</v>
      </c>
      <c r="AD69" s="1">
        <f ca="1">AD59/AD$34</f>
        <v>0</v>
      </c>
      <c r="AE69" s="13">
        <f ca="1">AE59/AE$34</f>
        <v>0</v>
      </c>
    </row>
    <row r="70" spans="1:31" ht="15.75" thickBot="1" x14ac:dyDescent="0.3">
      <c r="A70" s="93" t="s">
        <v>19</v>
      </c>
      <c r="B70" s="93"/>
      <c r="C70" s="104">
        <v>1</v>
      </c>
      <c r="D70" s="102"/>
      <c r="W70" s="15" t="s">
        <v>34</v>
      </c>
      <c r="X70" s="16">
        <f t="shared" ca="1" si="42"/>
        <v>1.0361355480208958</v>
      </c>
      <c r="Y70" s="16"/>
      <c r="Z70" s="16"/>
      <c r="AA70" s="17"/>
      <c r="AB70" s="16" t="s">
        <v>34</v>
      </c>
      <c r="AC70" s="16">
        <f ca="1">SUM(AC63:AC69)</f>
        <v>1.0361355480208958</v>
      </c>
      <c r="AD70" s="16">
        <f ca="1">SUM(AD63:AD69)</f>
        <v>1</v>
      </c>
      <c r="AE70" s="18">
        <f ca="1">SUM(AE63:AE69)</f>
        <v>1</v>
      </c>
    </row>
    <row r="71" spans="1:31" x14ac:dyDescent="0.25">
      <c r="A71" s="95" t="s">
        <v>85</v>
      </c>
      <c r="B71" s="95"/>
      <c r="C71" s="95"/>
      <c r="D71" s="95"/>
    </row>
    <row r="72" spans="1:31" x14ac:dyDescent="0.25">
      <c r="A72" s="94">
        <f>C7</f>
        <v>7.999999999047467E-3</v>
      </c>
      <c r="B72" s="104"/>
      <c r="C72" s="104"/>
      <c r="D72" s="102"/>
    </row>
    <row r="73" spans="1:31" x14ac:dyDescent="0.25">
      <c r="A73" s="95" t="s">
        <v>86</v>
      </c>
      <c r="B73" s="95"/>
      <c r="C73" s="95"/>
      <c r="D73" s="95"/>
    </row>
    <row r="74" spans="1:31" x14ac:dyDescent="0.25">
      <c r="A74" s="94">
        <v>2</v>
      </c>
      <c r="B74" s="104"/>
      <c r="C74" s="104"/>
      <c r="D74" s="102"/>
    </row>
    <row r="75" spans="1:31" x14ac:dyDescent="0.25">
      <c r="A75" s="95" t="s">
        <v>87</v>
      </c>
      <c r="B75" s="95"/>
      <c r="C75" s="95"/>
      <c r="D75" s="95"/>
    </row>
    <row r="76" spans="1:31" x14ac:dyDescent="0.25">
      <c r="A76" s="94">
        <v>1</v>
      </c>
      <c r="B76" s="104"/>
      <c r="C76" s="104"/>
      <c r="D76" s="102"/>
    </row>
  </sheetData>
  <mergeCells count="151">
    <mergeCell ref="A71:D71"/>
    <mergeCell ref="A72:D72"/>
    <mergeCell ref="A73:D73"/>
    <mergeCell ref="A74:D74"/>
    <mergeCell ref="A75:D75"/>
    <mergeCell ref="A76:D76"/>
    <mergeCell ref="A68:B68"/>
    <mergeCell ref="C68:D68"/>
    <mergeCell ref="A69:B69"/>
    <mergeCell ref="C69:D69"/>
    <mergeCell ref="A70:B70"/>
    <mergeCell ref="C70:D70"/>
    <mergeCell ref="A63:B63"/>
    <mergeCell ref="C63:D63"/>
    <mergeCell ref="A64:D64"/>
    <mergeCell ref="A65:D65"/>
    <mergeCell ref="A66:D66"/>
    <mergeCell ref="A67:B67"/>
    <mergeCell ref="C67:D67"/>
    <mergeCell ref="A61:B61"/>
    <mergeCell ref="C61:D61"/>
    <mergeCell ref="W61:Z61"/>
    <mergeCell ref="AB61:AE61"/>
    <mergeCell ref="A62:B62"/>
    <mergeCell ref="C62:D62"/>
    <mergeCell ref="A55:D55"/>
    <mergeCell ref="A56:D56"/>
    <mergeCell ref="A57:D57"/>
    <mergeCell ref="A58:D58"/>
    <mergeCell ref="A59:D59"/>
    <mergeCell ref="A60:B60"/>
    <mergeCell ref="C60:D60"/>
    <mergeCell ref="A51:D51"/>
    <mergeCell ref="W51:Z51"/>
    <mergeCell ref="AB51:AE51"/>
    <mergeCell ref="A52:D52"/>
    <mergeCell ref="A53:D53"/>
    <mergeCell ref="A54:D54"/>
    <mergeCell ref="A46:D46"/>
    <mergeCell ref="A47:D47"/>
    <mergeCell ref="A48:D48"/>
    <mergeCell ref="W48:AE49"/>
    <mergeCell ref="A49:D49"/>
    <mergeCell ref="A50:D50"/>
    <mergeCell ref="W50:Z50"/>
    <mergeCell ref="AB50:AE50"/>
    <mergeCell ref="A40:D40"/>
    <mergeCell ref="A41:D41"/>
    <mergeCell ref="A42:D42"/>
    <mergeCell ref="A43:D43"/>
    <mergeCell ref="A44:D44"/>
    <mergeCell ref="A45:D45"/>
    <mergeCell ref="W35:Z35"/>
    <mergeCell ref="AB35:AE35"/>
    <mergeCell ref="A36:D36"/>
    <mergeCell ref="A37:D37"/>
    <mergeCell ref="A38:D38"/>
    <mergeCell ref="A39:D39"/>
    <mergeCell ref="A32:D32"/>
    <mergeCell ref="A33:D33"/>
    <mergeCell ref="A34:D34"/>
    <mergeCell ref="A35:D35"/>
    <mergeCell ref="I35:L35"/>
    <mergeCell ref="N35:U35"/>
    <mergeCell ref="A29:D29"/>
    <mergeCell ref="E29:F29"/>
    <mergeCell ref="A30:D30"/>
    <mergeCell ref="E30:F30"/>
    <mergeCell ref="A31:D31"/>
    <mergeCell ref="E31:F31"/>
    <mergeCell ref="A26:D26"/>
    <mergeCell ref="E26:F26"/>
    <mergeCell ref="A27:D27"/>
    <mergeCell ref="E27:F27"/>
    <mergeCell ref="A28:D28"/>
    <mergeCell ref="E28:F28"/>
    <mergeCell ref="I24:L24"/>
    <mergeCell ref="N24:U24"/>
    <mergeCell ref="W24:Z24"/>
    <mergeCell ref="AB24:AE24"/>
    <mergeCell ref="A25:D25"/>
    <mergeCell ref="E25:F25"/>
    <mergeCell ref="I25:L25"/>
    <mergeCell ref="N25:U25"/>
    <mergeCell ref="W25:Z25"/>
    <mergeCell ref="AB25:AE25"/>
    <mergeCell ref="A22:B22"/>
    <mergeCell ref="C22:D22"/>
    <mergeCell ref="A23:B23"/>
    <mergeCell ref="C23:D23"/>
    <mergeCell ref="A24:D24"/>
    <mergeCell ref="E24:F24"/>
    <mergeCell ref="A19:B19"/>
    <mergeCell ref="C19:D19"/>
    <mergeCell ref="F19:G19"/>
    <mergeCell ref="A20:D20"/>
    <mergeCell ref="A21:B21"/>
    <mergeCell ref="C21:D21"/>
    <mergeCell ref="A16:D16"/>
    <mergeCell ref="F16:G16"/>
    <mergeCell ref="A17:D17"/>
    <mergeCell ref="F17:G17"/>
    <mergeCell ref="A18:B18"/>
    <mergeCell ref="C18:D18"/>
    <mergeCell ref="F18:G18"/>
    <mergeCell ref="A14:B14"/>
    <mergeCell ref="C14:D14"/>
    <mergeCell ref="F14:G14"/>
    <mergeCell ref="A15:B15"/>
    <mergeCell ref="C15:D15"/>
    <mergeCell ref="F15:G15"/>
    <mergeCell ref="A13:B13"/>
    <mergeCell ref="C13:D13"/>
    <mergeCell ref="F13:H13"/>
    <mergeCell ref="J13:O13"/>
    <mergeCell ref="Q13:V13"/>
    <mergeCell ref="X13:AC13"/>
    <mergeCell ref="A10:B10"/>
    <mergeCell ref="C10:D10"/>
    <mergeCell ref="F10:G10"/>
    <mergeCell ref="A11:B11"/>
    <mergeCell ref="C11:D11"/>
    <mergeCell ref="A12:B12"/>
    <mergeCell ref="C12:D12"/>
    <mergeCell ref="A7:B7"/>
    <mergeCell ref="C7:D7"/>
    <mergeCell ref="F7:G7"/>
    <mergeCell ref="A8:D8"/>
    <mergeCell ref="F8:G8"/>
    <mergeCell ref="A9:B9"/>
    <mergeCell ref="C9:D9"/>
    <mergeCell ref="F9:G9"/>
    <mergeCell ref="A4:B4"/>
    <mergeCell ref="C4:D4"/>
    <mergeCell ref="F4:G4"/>
    <mergeCell ref="A5:D5"/>
    <mergeCell ref="F5:G5"/>
    <mergeCell ref="F6:G6"/>
    <mergeCell ref="X2:AC2"/>
    <mergeCell ref="A3:B3"/>
    <mergeCell ref="C3:D3"/>
    <mergeCell ref="F3:G3"/>
    <mergeCell ref="J3:O3"/>
    <mergeCell ref="Q3:V3"/>
    <mergeCell ref="X3:AC3"/>
    <mergeCell ref="A1:D1"/>
    <mergeCell ref="F1:H1"/>
    <mergeCell ref="A2:D2"/>
    <mergeCell ref="F2:H2"/>
    <mergeCell ref="J2:O2"/>
    <mergeCell ref="Q2:V2"/>
  </mergeCells>
  <conditionalFormatting sqref="A1:XFD1 A2:E12 J2:XFD12 H3:I4 I9 F10:H10 I11:I12 A13:F13 I13:XFD13 E14:F14 H14:XFD14 A14:D15 E15:XFD15 F16 H16:I16 A16:E19 J16:XFD19 F17:I17 A20:XFD1048576">
    <cfRule type="cellIs" dxfId="3" priority="5" operator="lessThan">
      <formula>0</formula>
    </cfRule>
  </conditionalFormatting>
  <conditionalFormatting sqref="F3:F9 H5:H9">
    <cfRule type="cellIs" dxfId="2" priority="2" operator="lessThan">
      <formula>0</formula>
    </cfRule>
  </conditionalFormatting>
  <conditionalFormatting sqref="F18:F19 H18:I19">
    <cfRule type="cellIs" dxfId="1" priority="1" operator="lessThan">
      <formula>0</formula>
    </cfRule>
  </conditionalFormatting>
  <conditionalFormatting sqref="I5:I7">
    <cfRule type="cellIs" dxfId="0" priority="3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8E91-FB90-4622-A932-8F74C86F94DA}">
  <dimension ref="A1"/>
  <sheetViews>
    <sheetView topLeftCell="C4" workbookViewId="0">
      <selection activeCell="I60" sqref="I6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BM (4)</vt:lpstr>
      <vt:lpstr>BM (2)</vt:lpstr>
      <vt:lpstr>BM (3)</vt:lpstr>
      <vt:lpstr>Planta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Isabelli Krul Vieira</dc:creator>
  <cp:keywords/>
  <dc:description/>
  <cp:lastModifiedBy>Luiz Dembicki</cp:lastModifiedBy>
  <cp:revision/>
  <dcterms:created xsi:type="dcterms:W3CDTF">2023-03-26T06:07:11Z</dcterms:created>
  <dcterms:modified xsi:type="dcterms:W3CDTF">2023-04-27T12:59:57Z</dcterms:modified>
  <cp:category/>
  <cp:contentStatus/>
</cp:coreProperties>
</file>