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zd\uni\2023-Semestre1\Integra\"/>
    </mc:Choice>
  </mc:AlternateContent>
  <xr:revisionPtr revIDLastSave="0" documentId="13_ncr:1_{8B25A7ED-AFA3-4A01-9265-FB240DD0FF8E}" xr6:coauthVersionLast="47" xr6:coauthVersionMax="47" xr10:uidLastSave="{00000000-0000-0000-0000-000000000000}"/>
  <bookViews>
    <workbookView xWindow="-120" yWindow="-120" windowWidth="29040" windowHeight="15840" xr2:uid="{0D6308DC-9443-4FB9-A010-283FE25BE9EF}"/>
  </bookViews>
  <sheets>
    <sheet name="BM" sheetId="1" r:id="rId1"/>
    <sheet name="Planta" sheetId="2" r:id="rId2"/>
    <sheet name="BM Global" sheetId="4" r:id="rId3"/>
    <sheet name="Teste - reação" sheetId="3" r:id="rId4"/>
  </sheets>
  <definedNames>
    <definedName name="solver_adj" localSheetId="0" hidden="1">BM!$H$7,BM!$H$5,BM!$H$4,BM!$H$6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BM!$AE$34</definedName>
    <definedName name="solver_lhs2" localSheetId="0" hidden="1">BM!$H$6</definedName>
    <definedName name="solver_lhs3" localSheetId="0" hidden="1">BM!$H$15</definedName>
    <definedName name="solver_lhs4" localSheetId="0" hidden="1">BM!$N$6</definedName>
    <definedName name="solver_lhs5" localSheetId="0" hidden="1">BM!$H$3</definedName>
    <definedName name="solver_lhs6" localSheetId="0" hidden="1">BM!$H$16</definedName>
    <definedName name="solver_lhs7" localSheetId="0" hidden="1">BM!$H$3</definedName>
    <definedName name="solver_lhs8" localSheetId="0" hidden="1">BM!$H$14</definedName>
    <definedName name="solver_lhs9" localSheetId="0" hidden="1">BM!$H$6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BM!$H$3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3</definedName>
    <definedName name="solver_rel8" localSheetId="0" hidden="1">2</definedName>
    <definedName name="solver_rel9" localSheetId="0" hidden="1">3</definedName>
    <definedName name="solver_rhs1" localSheetId="0" hidden="1">BM!$C$4</definedName>
    <definedName name="solver_rhs2" localSheetId="0" hidden="1">0.008</definedName>
    <definedName name="solver_rhs3" localSheetId="0" hidden="1">BM!$I$15</definedName>
    <definedName name="solver_rhs4" localSheetId="0" hidden="1">0</definedName>
    <definedName name="solver_rhs5" localSheetId="0" hidden="1">1</definedName>
    <definedName name="solver_rhs6" localSheetId="0" hidden="1">BM!$I$16</definedName>
    <definedName name="solver_rhs7" localSheetId="0" hidden="1">0</definedName>
    <definedName name="solver_rhs8" localSheetId="0" hidden="1">BM!$I$14</definedName>
    <definedName name="solver_rhs9" localSheetId="0" hidden="1">0.000000000001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L12" i="1"/>
  <c r="L8" i="1" s="1"/>
  <c r="K12" i="1"/>
  <c r="K6" i="1" s="1"/>
  <c r="AB20" i="1"/>
  <c r="Q28" i="1"/>
  <c r="Q29" i="1"/>
  <c r="Q30" i="1"/>
  <c r="Q31" i="1"/>
  <c r="Q33" i="1"/>
  <c r="Q27" i="1"/>
  <c r="O28" i="1"/>
  <c r="O29" i="1"/>
  <c r="O30" i="1"/>
  <c r="O31" i="1"/>
  <c r="O33" i="1"/>
  <c r="O27" i="1"/>
  <c r="I14" i="1"/>
  <c r="P34" i="1"/>
  <c r="AD59" i="1"/>
  <c r="AD53" i="1"/>
  <c r="AC53" i="1" s="1"/>
  <c r="Y53" i="1" s="1"/>
  <c r="AD54" i="1"/>
  <c r="AC54" i="1" s="1"/>
  <c r="Y54" i="1" s="1"/>
  <c r="AD55" i="1"/>
  <c r="AC55" i="1" s="1"/>
  <c r="Y55" i="1" s="1"/>
  <c r="Z58" i="1"/>
  <c r="AD58" i="1"/>
  <c r="AC59" i="1"/>
  <c r="Y59" i="1" s="1"/>
  <c r="P44" i="1"/>
  <c r="J47" i="1"/>
  <c r="J48" i="1"/>
  <c r="J49" i="1"/>
  <c r="J50" i="1"/>
  <c r="J51" i="1"/>
  <c r="J52" i="1"/>
  <c r="J46" i="1"/>
  <c r="I52" i="1"/>
  <c r="I47" i="1"/>
  <c r="I48" i="1"/>
  <c r="I49" i="1"/>
  <c r="I50" i="1"/>
  <c r="I51" i="1"/>
  <c r="I46" i="1"/>
  <c r="O44" i="1"/>
  <c r="AD27" i="1"/>
  <c r="AD28" i="1"/>
  <c r="AD29" i="1"/>
  <c r="AD32" i="1"/>
  <c r="AD33" i="1"/>
  <c r="AC5" i="1"/>
  <c r="U29" i="1"/>
  <c r="Z7" i="1" s="1"/>
  <c r="U31" i="1"/>
  <c r="Z9" i="1" s="1"/>
  <c r="U32" i="1"/>
  <c r="Z10" i="1" s="1"/>
  <c r="U8" i="1"/>
  <c r="O8" i="1" s="1"/>
  <c r="U9" i="1"/>
  <c r="O9" i="1" s="1"/>
  <c r="A25" i="1"/>
  <c r="A29" i="1"/>
  <c r="L16" i="1"/>
  <c r="C7" i="1"/>
  <c r="A72" i="1" s="1"/>
  <c r="C12" i="1"/>
  <c r="C4" i="1"/>
  <c r="L15" i="1"/>
  <c r="L22" i="1"/>
  <c r="K22" i="1"/>
  <c r="A46" i="1"/>
  <c r="A42" i="1"/>
  <c r="A40" i="1"/>
  <c r="A36" i="1"/>
  <c r="A27" i="1"/>
  <c r="C13" i="1"/>
  <c r="C11" i="1"/>
  <c r="C10" i="1"/>
  <c r="C9" i="1"/>
  <c r="K7" i="1" l="1"/>
  <c r="K11" i="1"/>
  <c r="K9" i="1"/>
  <c r="K8" i="1"/>
  <c r="M8" i="1" s="1"/>
  <c r="K5" i="1"/>
  <c r="K10" i="1"/>
  <c r="L7" i="1"/>
  <c r="L5" i="1"/>
  <c r="H16" i="1" s="1"/>
  <c r="L9" i="1"/>
  <c r="L10" i="1"/>
  <c r="L11" i="1"/>
  <c r="D6" i="1"/>
  <c r="L6" i="1"/>
  <c r="AC58" i="1"/>
  <c r="M9" i="1" l="1"/>
  <c r="AE57" i="1"/>
  <c r="B6" i="1"/>
  <c r="AE56" i="1" s="1"/>
  <c r="Y58" i="1"/>
  <c r="AD56" i="1" l="1"/>
  <c r="AE60" i="1"/>
  <c r="AE66" i="1" s="1"/>
  <c r="AD57" i="1"/>
  <c r="AC57" i="1" s="1"/>
  <c r="Y57" i="1" s="1"/>
  <c r="Z57" i="1" s="1"/>
  <c r="Z60" i="1" s="1"/>
  <c r="AE67" i="1" l="1"/>
  <c r="AC56" i="1"/>
  <c r="AD60" i="1"/>
  <c r="AD67" i="1" l="1"/>
  <c r="AD66" i="1"/>
  <c r="Y56" i="1"/>
  <c r="X56" i="1" s="1"/>
  <c r="AC60" i="1"/>
  <c r="Y60" i="1" s="1"/>
  <c r="M5" i="1"/>
  <c r="N5" i="1"/>
  <c r="O5" i="1"/>
  <c r="R5" i="1"/>
  <c r="S5" i="1"/>
  <c r="T5" i="1"/>
  <c r="U5" i="1"/>
  <c r="Y5" i="1"/>
  <c r="Z5" i="1"/>
  <c r="AA5" i="1"/>
  <c r="AB5" i="1"/>
  <c r="M6" i="1"/>
  <c r="N6" i="1"/>
  <c r="O6" i="1"/>
  <c r="R6" i="1"/>
  <c r="S6" i="1"/>
  <c r="T6" i="1"/>
  <c r="U6" i="1"/>
  <c r="Y6" i="1"/>
  <c r="Z6" i="1"/>
  <c r="AA6" i="1"/>
  <c r="AB6" i="1"/>
  <c r="M7" i="1"/>
  <c r="N7" i="1"/>
  <c r="O7" i="1"/>
  <c r="R7" i="1"/>
  <c r="S7" i="1"/>
  <c r="T7" i="1"/>
  <c r="U7" i="1"/>
  <c r="Y7" i="1"/>
  <c r="AA7" i="1"/>
  <c r="AB7" i="1"/>
  <c r="N8" i="1"/>
  <c r="R8" i="1"/>
  <c r="S8" i="1"/>
  <c r="Y8" i="1"/>
  <c r="Z8" i="1"/>
  <c r="AA8" i="1"/>
  <c r="AB8" i="1"/>
  <c r="N9" i="1"/>
  <c r="R9" i="1"/>
  <c r="S9" i="1"/>
  <c r="Y9" i="1"/>
  <c r="AA9" i="1"/>
  <c r="AB9" i="1"/>
  <c r="M10" i="1"/>
  <c r="N10" i="1"/>
  <c r="O10" i="1"/>
  <c r="R10" i="1"/>
  <c r="S10" i="1"/>
  <c r="T10" i="1"/>
  <c r="U10" i="1"/>
  <c r="V10" i="1"/>
  <c r="Y10" i="1"/>
  <c r="AA10" i="1"/>
  <c r="AB10" i="1"/>
  <c r="AC10" i="1"/>
  <c r="M11" i="1"/>
  <c r="N11" i="1"/>
  <c r="O11" i="1"/>
  <c r="R11" i="1"/>
  <c r="S11" i="1"/>
  <c r="T11" i="1"/>
  <c r="U11" i="1"/>
  <c r="Y11" i="1"/>
  <c r="Z11" i="1"/>
  <c r="AA11" i="1"/>
  <c r="AB11" i="1"/>
  <c r="M12" i="1"/>
  <c r="N12" i="1"/>
  <c r="O12" i="1"/>
  <c r="R12" i="1"/>
  <c r="S12" i="1"/>
  <c r="T12" i="1"/>
  <c r="U12" i="1"/>
  <c r="V12" i="1"/>
  <c r="Y12" i="1"/>
  <c r="Z12" i="1"/>
  <c r="AA12" i="1"/>
  <c r="AB12" i="1"/>
  <c r="AC12" i="1"/>
  <c r="H14" i="1"/>
  <c r="H15" i="1"/>
  <c r="I15" i="1"/>
  <c r="M15" i="1"/>
  <c r="N15" i="1"/>
  <c r="O15" i="1"/>
  <c r="R15" i="1"/>
  <c r="S15" i="1"/>
  <c r="T15" i="1"/>
  <c r="U15" i="1"/>
  <c r="V15" i="1"/>
  <c r="Y15" i="1"/>
  <c r="Z15" i="1"/>
  <c r="AA15" i="1"/>
  <c r="AB15" i="1"/>
  <c r="AC15" i="1"/>
  <c r="I16" i="1"/>
  <c r="M16" i="1"/>
  <c r="N16" i="1"/>
  <c r="O16" i="1"/>
  <c r="R16" i="1"/>
  <c r="S16" i="1"/>
  <c r="T16" i="1"/>
  <c r="U16" i="1"/>
  <c r="V16" i="1"/>
  <c r="Y16" i="1"/>
  <c r="Z16" i="1"/>
  <c r="AA16" i="1"/>
  <c r="AB16" i="1"/>
  <c r="AC16" i="1"/>
  <c r="H17" i="1"/>
  <c r="M17" i="1"/>
  <c r="N17" i="1"/>
  <c r="O17" i="1"/>
  <c r="R17" i="1"/>
  <c r="S17" i="1"/>
  <c r="T17" i="1"/>
  <c r="U17" i="1"/>
  <c r="V17" i="1"/>
  <c r="Y17" i="1"/>
  <c r="Z17" i="1"/>
  <c r="AA17" i="1"/>
  <c r="AB17" i="1"/>
  <c r="AC17" i="1"/>
  <c r="M18" i="1"/>
  <c r="N18" i="1"/>
  <c r="O18" i="1"/>
  <c r="R18" i="1"/>
  <c r="S18" i="1"/>
  <c r="T18" i="1"/>
  <c r="U18" i="1"/>
  <c r="V18" i="1"/>
  <c r="Y18" i="1"/>
  <c r="Z18" i="1"/>
  <c r="AA18" i="1"/>
  <c r="AB18" i="1"/>
  <c r="AC18" i="1"/>
  <c r="M19" i="1"/>
  <c r="N19" i="1"/>
  <c r="O19" i="1"/>
  <c r="R19" i="1"/>
  <c r="S19" i="1"/>
  <c r="T19" i="1"/>
  <c r="U19" i="1"/>
  <c r="V19" i="1"/>
  <c r="Y19" i="1"/>
  <c r="Z19" i="1"/>
  <c r="AA19" i="1"/>
  <c r="AB19" i="1"/>
  <c r="AC19" i="1"/>
  <c r="M20" i="1"/>
  <c r="N20" i="1"/>
  <c r="O20" i="1"/>
  <c r="R20" i="1"/>
  <c r="S20" i="1"/>
  <c r="U20" i="1"/>
  <c r="V20" i="1"/>
  <c r="Y20" i="1"/>
  <c r="Z20" i="1"/>
  <c r="AA20" i="1"/>
  <c r="AC20" i="1"/>
  <c r="M21" i="1"/>
  <c r="N21" i="1"/>
  <c r="O21" i="1"/>
  <c r="R21" i="1"/>
  <c r="S21" i="1"/>
  <c r="T21" i="1"/>
  <c r="U21" i="1"/>
  <c r="V21" i="1"/>
  <c r="Y21" i="1"/>
  <c r="Z21" i="1"/>
  <c r="AA21" i="1"/>
  <c r="AB21" i="1"/>
  <c r="AC21" i="1"/>
  <c r="M22" i="1"/>
  <c r="N22" i="1"/>
  <c r="O22" i="1"/>
  <c r="R22" i="1"/>
  <c r="S22" i="1"/>
  <c r="T22" i="1"/>
  <c r="V22" i="1"/>
  <c r="Y22" i="1"/>
  <c r="Z22" i="1"/>
  <c r="AA22" i="1"/>
  <c r="AB22" i="1"/>
  <c r="AC22" i="1"/>
  <c r="E25" i="1"/>
  <c r="E27" i="1"/>
  <c r="J27" i="1"/>
  <c r="K27" i="1"/>
  <c r="L27" i="1"/>
  <c r="R27" i="1"/>
  <c r="S27" i="1"/>
  <c r="T27" i="1"/>
  <c r="U27" i="1"/>
  <c r="X27" i="1"/>
  <c r="Y27" i="1"/>
  <c r="AC27" i="1"/>
  <c r="J28" i="1"/>
  <c r="K28" i="1"/>
  <c r="L28" i="1"/>
  <c r="R28" i="1"/>
  <c r="S28" i="1"/>
  <c r="T28" i="1"/>
  <c r="U28" i="1"/>
  <c r="X28" i="1"/>
  <c r="Y28" i="1"/>
  <c r="AC28" i="1"/>
  <c r="E29" i="1"/>
  <c r="J29" i="1"/>
  <c r="K29" i="1"/>
  <c r="L29" i="1"/>
  <c r="R29" i="1"/>
  <c r="X29" i="1"/>
  <c r="Y29" i="1"/>
  <c r="AC29" i="1"/>
  <c r="J30" i="1"/>
  <c r="K30" i="1"/>
  <c r="L30" i="1"/>
  <c r="R30" i="1"/>
  <c r="T30" i="1"/>
  <c r="U30" i="1"/>
  <c r="X30" i="1"/>
  <c r="Y30" i="1"/>
  <c r="AC30" i="1"/>
  <c r="AD30" i="1"/>
  <c r="AE30" i="1"/>
  <c r="E31" i="1"/>
  <c r="J31" i="1"/>
  <c r="K31" i="1"/>
  <c r="L31" i="1"/>
  <c r="R31" i="1"/>
  <c r="X31" i="1"/>
  <c r="Y31" i="1"/>
  <c r="Z31" i="1"/>
  <c r="AC31" i="1"/>
  <c r="AD31" i="1"/>
  <c r="AE31" i="1"/>
  <c r="J32" i="1"/>
  <c r="K32" i="1"/>
  <c r="L32" i="1"/>
  <c r="O32" i="1"/>
  <c r="Q32" i="1"/>
  <c r="R32" i="1"/>
  <c r="X32" i="1"/>
  <c r="Y32" i="1"/>
  <c r="Z32" i="1"/>
  <c r="AC32" i="1"/>
  <c r="J33" i="1"/>
  <c r="K33" i="1"/>
  <c r="L33" i="1"/>
  <c r="R33" i="1"/>
  <c r="S33" i="1"/>
  <c r="T33" i="1"/>
  <c r="U33" i="1"/>
  <c r="X33" i="1"/>
  <c r="Y33" i="1"/>
  <c r="AC33" i="1"/>
  <c r="J34" i="1"/>
  <c r="K34" i="1"/>
  <c r="L34" i="1"/>
  <c r="O34" i="1"/>
  <c r="Q34" i="1"/>
  <c r="R34" i="1"/>
  <c r="S34" i="1"/>
  <c r="T34" i="1"/>
  <c r="U34" i="1"/>
  <c r="X34" i="1"/>
  <c r="Y34" i="1"/>
  <c r="Z34" i="1"/>
  <c r="AC34" i="1"/>
  <c r="AD34" i="1"/>
  <c r="AE34" i="1"/>
  <c r="J37" i="1"/>
  <c r="K37" i="1"/>
  <c r="L37" i="1"/>
  <c r="Q37" i="1"/>
  <c r="R37" i="1"/>
  <c r="S37" i="1"/>
  <c r="T37" i="1"/>
  <c r="U37" i="1"/>
  <c r="X37" i="1"/>
  <c r="AC37" i="1"/>
  <c r="AD37" i="1"/>
  <c r="AE37" i="1"/>
  <c r="J38" i="1"/>
  <c r="K38" i="1"/>
  <c r="L38" i="1"/>
  <c r="Q38" i="1"/>
  <c r="R38" i="1"/>
  <c r="S38" i="1"/>
  <c r="T38" i="1"/>
  <c r="U38" i="1"/>
  <c r="X38" i="1"/>
  <c r="AC38" i="1"/>
  <c r="AD38" i="1"/>
  <c r="AE38" i="1"/>
  <c r="J39" i="1"/>
  <c r="K39" i="1"/>
  <c r="L39" i="1"/>
  <c r="Q39" i="1"/>
  <c r="R39" i="1"/>
  <c r="S39" i="1"/>
  <c r="T39" i="1"/>
  <c r="U39" i="1"/>
  <c r="X39" i="1"/>
  <c r="AC39" i="1"/>
  <c r="AD39" i="1"/>
  <c r="AE39" i="1"/>
  <c r="J40" i="1"/>
  <c r="K40" i="1"/>
  <c r="L40" i="1"/>
  <c r="Q40" i="1"/>
  <c r="R40" i="1"/>
  <c r="S40" i="1"/>
  <c r="T40" i="1"/>
  <c r="U40" i="1"/>
  <c r="X40" i="1"/>
  <c r="Y40" i="1"/>
  <c r="AC40" i="1"/>
  <c r="AD40" i="1"/>
  <c r="AE40" i="1"/>
  <c r="J41" i="1"/>
  <c r="K41" i="1"/>
  <c r="L41" i="1"/>
  <c r="Q41" i="1"/>
  <c r="R41" i="1"/>
  <c r="S41" i="1"/>
  <c r="T41" i="1"/>
  <c r="U41" i="1"/>
  <c r="X41" i="1"/>
  <c r="Z41" i="1"/>
  <c r="AC41" i="1"/>
  <c r="AD41" i="1"/>
  <c r="AE41" i="1"/>
  <c r="J42" i="1"/>
  <c r="K42" i="1"/>
  <c r="L42" i="1"/>
  <c r="Q42" i="1"/>
  <c r="R42" i="1"/>
  <c r="S42" i="1"/>
  <c r="T42" i="1"/>
  <c r="U42" i="1"/>
  <c r="X42" i="1"/>
  <c r="Z42" i="1"/>
  <c r="AC42" i="1"/>
  <c r="AD42" i="1"/>
  <c r="AE42" i="1"/>
  <c r="J43" i="1"/>
  <c r="K43" i="1"/>
  <c r="L43" i="1"/>
  <c r="Q43" i="1"/>
  <c r="R43" i="1"/>
  <c r="S43" i="1"/>
  <c r="T43" i="1"/>
  <c r="U43" i="1"/>
  <c r="X43" i="1"/>
  <c r="AC43" i="1"/>
  <c r="AD43" i="1"/>
  <c r="AE43" i="1"/>
  <c r="J44" i="1"/>
  <c r="K44" i="1"/>
  <c r="L44" i="1"/>
  <c r="Q44" i="1"/>
  <c r="R44" i="1"/>
  <c r="S44" i="1"/>
  <c r="T44" i="1"/>
  <c r="U44" i="1"/>
  <c r="X44" i="1"/>
  <c r="Y44" i="1"/>
  <c r="Z44" i="1"/>
  <c r="AC44" i="1"/>
  <c r="AD44" i="1"/>
  <c r="AE44" i="1"/>
  <c r="X63" i="1"/>
  <c r="AC63" i="1"/>
  <c r="AD63" i="1"/>
  <c r="AE63" i="1"/>
  <c r="X64" i="1"/>
  <c r="AC64" i="1"/>
  <c r="AD64" i="1"/>
  <c r="AE64" i="1"/>
  <c r="X65" i="1"/>
  <c r="AC65" i="1"/>
  <c r="AD65" i="1"/>
  <c r="AE65" i="1"/>
  <c r="X66" i="1"/>
  <c r="AC66" i="1"/>
  <c r="X67" i="1"/>
  <c r="AC67" i="1"/>
  <c r="X68" i="1"/>
  <c r="AC68" i="1"/>
  <c r="AD68" i="1"/>
  <c r="AE68" i="1"/>
  <c r="X69" i="1"/>
  <c r="AC69" i="1"/>
  <c r="AD69" i="1"/>
  <c r="AE69" i="1"/>
  <c r="X70" i="1"/>
  <c r="AC70" i="1"/>
  <c r="AD70" i="1"/>
  <c r="AE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tc={268375C9-4B70-40F8-A7C8-1C92437D910A}</author>
    <author>tc={543322C1-9962-4501-B5CC-2F89A80C9619}</author>
    <author>Luiz Dembicki</author>
    <author>tc={D8156441-AED9-4B1D-9DC9-EA41505A9572}</author>
    <author>tc={77B23AD2-ED3B-464A-9665-C85E3C8EC669}</author>
    <author>tc={D9199C50-B71A-42F2-8C6D-FD724154AF6D}</author>
  </authors>
  <commentList>
    <comment ref="H4" authorId="0" shapeId="0" xr:uid="{268375C9-4B70-40F8-A7C8-1C92437D910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suposto?
Reply:
    aqui foi só chute mesmo</t>
      </text>
    </comment>
    <comment ref="N5" authorId="1" shapeId="0" xr:uid="{543322C1-9962-4501-B5CC-2F89A80C9619}">
      <text>
        <t>[Threaded comment]
Your version of Excel allows you to read this threaded comment; however, any edits to it will get removed if the file is opened in a newer version of Excel. Learn more: https://go.microsoft.com/fwlink/?linkid=870924
Comment:
    n(N2, 4)=n(N2, 5)</t>
      </text>
    </comment>
    <comment ref="AB10" authorId="2" shapeId="0" xr:uid="{CC1B73FE-E861-415B-AD1A-367ECA230C9F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Importante OBTER ESSE VALOR
Ptotal = 6 bar
1 Bar é H2O </t>
        </r>
      </text>
    </comment>
    <comment ref="M12" authorId="3" shapeId="0" xr:uid="{D8156441-AED9-4B1D-9DC9-EA41505A9572}">
      <text>
        <t>[Threaded comment]
Your version of Excel allows you to read this threaded comment; however, any edits to it will get removed if the file is opened in a newer version of Excel. Learn more: https://go.microsoft.com/fwlink/?linkid=870924
Comment:
    menor valor possível, reciclo maior (menos desperdício)</t>
      </text>
    </comment>
    <comment ref="AB12" authorId="2" shapeId="0" xr:uid="{73BFD605-EA7A-4387-9AB0-B65C3213555E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NTotal = Ngases/(FraçãoGases)</t>
        </r>
      </text>
    </comment>
    <comment ref="AB20" authorId="2" shapeId="0" xr:uid="{78B5E665-550E-4D94-BCEE-CE05038AA0F3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Ptotal = 6 bar
Ph2o = 1 bar(vapsat)
Ph2o/Ptot = Nh2o/Ntotal</t>
        </r>
      </text>
    </comment>
    <comment ref="O26" authorId="4" shapeId="0" xr:uid="{77B23AD2-ED3B-464A-9665-C85E3C8EC6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 verdade ainda faltam os dados dessas correntes </t>
      </text>
    </comment>
    <comment ref="AD26" authorId="5" shapeId="0" xr:uid="{D9199C50-B71A-42F2-8C6D-FD724154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Valores a serem calculados ainda</t>
      </text>
    </comment>
  </commentList>
</comments>
</file>

<file path=xl/sharedStrings.xml><?xml version="1.0" encoding="utf-8"?>
<sst xmlns="http://schemas.openxmlformats.org/spreadsheetml/2006/main" count="288" uniqueCount="93">
  <si>
    <t>Dados</t>
  </si>
  <si>
    <t>DADOS PARA ITERAÇÃO</t>
  </si>
  <si>
    <t>Produção de óxido de etileno  + impureza</t>
  </si>
  <si>
    <t>REATOR - RE01</t>
  </si>
  <si>
    <t>LAVADORA - LAV01 - Ju</t>
  </si>
  <si>
    <t>COLUNA STRIPING - STRIP01 - Luiz</t>
  </si>
  <si>
    <t>kg/h</t>
  </si>
  <si>
    <t>Entrada de etileno</t>
  </si>
  <si>
    <t>kmol/h</t>
  </si>
  <si>
    <t>Entrada de ar</t>
  </si>
  <si>
    <t>3 e 4</t>
  </si>
  <si>
    <t>7c</t>
  </si>
  <si>
    <t>7a</t>
  </si>
  <si>
    <t>7b</t>
  </si>
  <si>
    <t>8c</t>
  </si>
  <si>
    <t>14c</t>
  </si>
  <si>
    <t>6b</t>
  </si>
  <si>
    <t>Quantidade dos componentes</t>
  </si>
  <si>
    <t>N2</t>
  </si>
  <si>
    <t>OE</t>
  </si>
  <si>
    <t>CH3CHO</t>
  </si>
  <si>
    <t>Fração CH3CHO saída</t>
  </si>
  <si>
    <t>O2</t>
  </si>
  <si>
    <t>Fração CH3CHO</t>
  </si>
  <si>
    <t>C2H4</t>
  </si>
  <si>
    <t>Massas molares (kg/kmol)</t>
  </si>
  <si>
    <t>Entrada O2 reator</t>
  </si>
  <si>
    <t>C2H4O</t>
  </si>
  <si>
    <t>Purga 1 %(7b)</t>
  </si>
  <si>
    <t>Purga 2 %(14b)</t>
  </si>
  <si>
    <t>H2O</t>
  </si>
  <si>
    <t>CO2</t>
  </si>
  <si>
    <t>TOTAL</t>
  </si>
  <si>
    <t>Frações molares</t>
  </si>
  <si>
    <t>Ar sintético</t>
  </si>
  <si>
    <t>Alimentação</t>
  </si>
  <si>
    <t>Conversão de etileno</t>
  </si>
  <si>
    <t>Etileno reação 2</t>
  </si>
  <si>
    <t>CONDENSADOR - COND01 - Victor</t>
  </si>
  <si>
    <t>LAVADORA - LAV02 - Ana</t>
  </si>
  <si>
    <t>COLUNA DE DESTILAÇÃO - DEST01</t>
  </si>
  <si>
    <t>VASO DE SEPARAÇÃO - V02 (?)</t>
  </si>
  <si>
    <t>Produção de acetaldeído do OE</t>
  </si>
  <si>
    <t>Produção OE</t>
  </si>
  <si>
    <t>8d</t>
  </si>
  <si>
    <t>9 MKUP</t>
  </si>
  <si>
    <t>9a</t>
  </si>
  <si>
    <t>14b PURGA</t>
  </si>
  <si>
    <t>15e</t>
  </si>
  <si>
    <t>15d</t>
  </si>
  <si>
    <t>Rendimento</t>
  </si>
  <si>
    <t>graus de avanço 1</t>
  </si>
  <si>
    <t>LAVADORA - LAV01</t>
  </si>
  <si>
    <t>graus de avanço 2</t>
  </si>
  <si>
    <t>Solvente</t>
  </si>
  <si>
    <t>Recuperação de acetaldeído</t>
  </si>
  <si>
    <t>Absorção de N2</t>
  </si>
  <si>
    <t>14b</t>
  </si>
  <si>
    <t>Recuperação de OE</t>
  </si>
  <si>
    <t>Absorção de O2</t>
  </si>
  <si>
    <t>Absorção de CO2</t>
  </si>
  <si>
    <t>Fração molar de H2O no topo</t>
  </si>
  <si>
    <t>Absorção de etileno</t>
  </si>
  <si>
    <t>11 (topo)</t>
  </si>
  <si>
    <t>12 (fundo)</t>
  </si>
  <si>
    <t>Razão H2O/OE (alimentações)</t>
  </si>
  <si>
    <t>NO MUNDO IDEAL, OS ULTIMOS DOIS EQUIPAMENTOS FECHARIAM ASSIM</t>
  </si>
  <si>
    <t>COLUNA STRIPING - STRIP01</t>
  </si>
  <si>
    <t>Gases</t>
  </si>
  <si>
    <t>todos se esgotam inclusive OE e CH3CHO</t>
  </si>
  <si>
    <t>CONDENSADOR - COND01</t>
  </si>
  <si>
    <t>Topo</t>
  </si>
  <si>
    <t>saem todos os incondensáveis</t>
  </si>
  <si>
    <t>H2O e acetaldeído</t>
  </si>
  <si>
    <t>condensados</t>
  </si>
  <si>
    <t>Recuperação do OE condensado</t>
  </si>
  <si>
    <t>LAVADORA - LAV02</t>
  </si>
  <si>
    <t>Fundo</t>
  </si>
  <si>
    <t>da alimentação</t>
  </si>
  <si>
    <t>CO2, N2 e O2</t>
  </si>
  <si>
    <t>Razão molar H2O/gases (alimentações)</t>
  </si>
  <si>
    <t>COLUNA DE DESTILAÇÃO</t>
  </si>
  <si>
    <t>água</t>
  </si>
  <si>
    <t>Fração de acetaldeído (topo)</t>
  </si>
  <si>
    <t>Razão de refluxo</t>
  </si>
  <si>
    <t>Razão H2O/OE</t>
  </si>
  <si>
    <t>Razão reciclo</t>
  </si>
  <si>
    <t>Pressão da água saturada a 100 C (Bar)</t>
  </si>
  <si>
    <t>VARIÁVEIS</t>
  </si>
  <si>
    <t>BM N2</t>
  </si>
  <si>
    <t>RESTRIÇÃO</t>
  </si>
  <si>
    <t>Valor O2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</si>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</sst>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B2E7"/>
        <bgColor indexed="64"/>
      </patternFill>
    </fill>
    <fill>
      <patternFill patternType="solid">
        <fgColor rgb="FFFF8CDB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6" borderId="6" xfId="0" applyFill="1" applyBorder="1"/>
    <xf numFmtId="0" fontId="0" fillId="2" borderId="3" xfId="0" applyFill="1" applyBorder="1"/>
    <xf numFmtId="0" fontId="0" fillId="3" borderId="12" xfId="0" applyFill="1" applyBorder="1"/>
    <xf numFmtId="0" fontId="0" fillId="3" borderId="13" xfId="0" applyFill="1" applyBorder="1"/>
    <xf numFmtId="2" fontId="0" fillId="3" borderId="1" xfId="0" applyNumberFormat="1" applyFill="1" applyBorder="1"/>
    <xf numFmtId="164" fontId="0" fillId="0" borderId="0" xfId="0" applyNumberFormat="1"/>
    <xf numFmtId="165" fontId="0" fillId="0" borderId="0" xfId="0" applyNumberFormat="1"/>
    <xf numFmtId="165" fontId="0" fillId="3" borderId="1" xfId="0" applyNumberFormat="1" applyFill="1" applyBorder="1"/>
    <xf numFmtId="165" fontId="0" fillId="2" borderId="1" xfId="0" applyNumberFormat="1" applyFill="1" applyBorder="1"/>
    <xf numFmtId="0" fontId="0" fillId="2" borderId="22" xfId="0" applyFill="1" applyBorder="1"/>
    <xf numFmtId="0" fontId="0" fillId="2" borderId="23" xfId="0" applyFill="1" applyBorder="1" applyAlignment="1">
      <alignment horizontal="center"/>
    </xf>
    <xf numFmtId="0" fontId="0" fillId="3" borderId="2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26" xfId="0" applyBorder="1"/>
    <xf numFmtId="0" fontId="0" fillId="2" borderId="27" xfId="0" applyFill="1" applyBorder="1"/>
    <xf numFmtId="0" fontId="0" fillId="2" borderId="3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0" fillId="3" borderId="1" xfId="0" applyNumberFormat="1" applyFill="1" applyBorder="1"/>
    <xf numFmtId="0" fontId="0" fillId="4" borderId="2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3" borderId="33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66FF"/>
      <color rgb="FFFF99FF"/>
      <color rgb="FFFFCCFF"/>
      <color rgb="FFFF00FF"/>
      <color rgb="FFFF66FF"/>
      <color rgb="FFEE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94512</xdr:colOff>
      <xdr:row>31</xdr:row>
      <xdr:rowOff>178403</xdr:rowOff>
    </xdr:from>
    <xdr:ext cx="1482009" cy="219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1">
              <a:extLst>
                <a:ext uri="{FF2B5EF4-FFF2-40B4-BE49-F238E27FC236}">
                  <a16:creationId xmlns:a16="http://schemas.microsoft.com/office/drawing/2014/main" id="{61525957-5C0D-534B-5129-5C35A44AA4FA}"/>
                </a:ext>
              </a:extLst>
            </xdr:cNvPr>
            <xdr:cNvSpPr txBox="1"/>
          </xdr:nvSpPr>
          <xdr:spPr>
            <a:xfrm>
              <a:off x="2685312" y="61315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1525957-5C0D-534B-5129-5C35A44AA4FA}"/>
                </a:ext>
              </a:extLst>
            </xdr:cNvPr>
            <xdr:cNvSpPr txBox="1"/>
          </xdr:nvSpPr>
          <xdr:spPr>
            <a:xfrm>
              <a:off x="2685312" y="61315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𝐻_4+1⁄2 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𝐶_2 𝐻_4 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35</xdr:row>
      <xdr:rowOff>7242</xdr:rowOff>
    </xdr:from>
    <xdr:ext cx="11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2">
              <a:extLst>
                <a:ext uri="{FF2B5EF4-FFF2-40B4-BE49-F238E27FC236}">
                  <a16:creationId xmlns:a16="http://schemas.microsoft.com/office/drawing/2014/main" id="{386290A0-75CC-4C24-9B83-FD1D7B4C0D00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223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𝐶𝐻𝑂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86290A0-75CC-4C24-9B83-FD1D7B4C0D00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223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 𝑂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𝐻_3 𝐶𝐻𝑂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33</xdr:row>
      <xdr:rowOff>105357</xdr:rowOff>
    </xdr:from>
    <xdr:ext cx="1758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53D5EB2C-20ED-4905-82F6-D2381AD2F1D1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394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→2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3D5EB2C-20ED-4905-82F6-D2381AD2F1D1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394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𝐻_4+3𝑂_2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𝑂_2+2𝐻_2 𝑂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353478</xdr:colOff>
      <xdr:row>53</xdr:row>
      <xdr:rowOff>66674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A1AFF-6AA9-B7A5-C6EB-0C8F98C64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74278" cy="101631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belli Krul Vieira" id="{3B8D220C-1C16-41CC-9A57-DDACD87A05EC}" userId="Isabelli Krul Vieira" providerId="None"/>
  <person displayName="Ana Leticia Waszak da Silva" id="{BEAA5DF1-E459-48A1-B012-1E713C3E9D6D}" userId="S::ana.waszak@ufpr.br::9410cb81-7149-4059-81e2-278ade3cf53a" providerId="AD"/>
  <person displayName="Isabelli Vieira" id="{C5475099-573E-7E45-B6A3-407196AF3CE7}" userId="S::isabelli.kv@ufpr.br::7183a444-5dde-4e69-914d-5cd8ca25cb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04-14T13:23:04.80" personId="{BEAA5DF1-E459-48A1-B012-1E713C3E9D6D}" id="{268375C9-4B70-40F8-A7C8-1C92437D910A}">
    <text>Valor suposto?</text>
  </threadedComment>
  <threadedComment ref="H4" dT="2023-04-19T18:54:11.61" personId="{C5475099-573E-7E45-B6A3-407196AF3CE7}" id="{02F7117D-9D2E-794D-83D5-DBA1362BD4A7}" parentId="{268375C9-4B70-40F8-A7C8-1C92437D910A}">
    <text>aqui foi só chute mesmo</text>
  </threadedComment>
  <threadedComment ref="N5" dT="2023-04-15T22:51:08.48" personId="{3B8D220C-1C16-41CC-9A57-DDACD87A05EC}" id="{543322C1-9962-4501-B5CC-2F89A80C9619}">
    <text>n(N2, 4)=n(N2, 5)</text>
  </threadedComment>
  <threadedComment ref="M12" dT="2023-04-11T00:23:26.73" personId="{BEAA5DF1-E459-48A1-B012-1E713C3E9D6D}" id="{D8156441-AED9-4B1D-9DC9-EA41505A9572}">
    <text>menor valor possível, reciclo maior (menos desperdício)</text>
  </threadedComment>
  <threadedComment ref="O26" dT="2023-04-26T12:00:24.65" personId="{BEAA5DF1-E459-48A1-B012-1E713C3E9D6D}" id="{77B23AD2-ED3B-464A-9665-C85E3C8EC669}">
    <text xml:space="preserve">Na verdade ainda faltam os dados dessas correntes </text>
  </threadedComment>
  <threadedComment ref="AD26" dT="2023-04-25T21:53:27.48" personId="{BEAA5DF1-E459-48A1-B012-1E713C3E9D6D}" id="{D9199C50-B71A-42F2-8C6D-FD724154AF6D}">
    <text>Valores a serem calculados ainda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6F54-09B7-49F1-BD29-CB2E3C865F4D}">
  <dimension ref="A1:AE76"/>
  <sheetViews>
    <sheetView tabSelected="1" zoomScaleNormal="100" workbookViewId="0">
      <selection activeCell="H3" sqref="H3"/>
    </sheetView>
  </sheetViews>
  <sheetFormatPr defaultRowHeight="15" x14ac:dyDescent="0.25"/>
  <cols>
    <col min="2" max="2" width="10.28515625" bestFit="1" customWidth="1"/>
    <col min="4" max="4" width="10.28515625" bestFit="1" customWidth="1"/>
    <col min="8" max="8" width="12.5703125" bestFit="1" customWidth="1"/>
    <col min="11" max="11" width="14.28515625" customWidth="1"/>
    <col min="13" max="13" width="13.28515625" bestFit="1" customWidth="1"/>
    <col min="14" max="14" width="12.42578125" bestFit="1" customWidth="1"/>
    <col min="18" max="18" width="14.5703125" customWidth="1"/>
    <col min="19" max="19" width="9.5703125" customWidth="1"/>
    <col min="20" max="20" width="10.140625" customWidth="1"/>
    <col min="21" max="21" width="10.85546875" customWidth="1"/>
    <col min="26" max="26" width="9.5703125" customWidth="1"/>
  </cols>
  <sheetData>
    <row r="1" spans="1:29" x14ac:dyDescent="0.25">
      <c r="A1" s="41" t="s">
        <v>0</v>
      </c>
      <c r="B1" s="41"/>
      <c r="C1" s="41"/>
      <c r="D1" s="41"/>
      <c r="F1" s="28" t="s">
        <v>1</v>
      </c>
      <c r="G1" s="26"/>
      <c r="H1" s="26"/>
    </row>
    <row r="2" spans="1:29" x14ac:dyDescent="0.25">
      <c r="A2" s="41" t="s">
        <v>2</v>
      </c>
      <c r="B2" s="41"/>
      <c r="C2" s="41"/>
      <c r="D2" s="42"/>
      <c r="F2" s="65" t="s">
        <v>88</v>
      </c>
      <c r="G2" s="65"/>
      <c r="H2" s="65"/>
      <c r="J2" s="50" t="s">
        <v>3</v>
      </c>
      <c r="K2" s="50"/>
      <c r="L2" s="50"/>
      <c r="M2" s="50"/>
      <c r="N2" s="50"/>
      <c r="O2" s="50"/>
      <c r="Q2" s="28" t="s">
        <v>4</v>
      </c>
      <c r="R2" s="26"/>
      <c r="S2" s="26"/>
      <c r="T2" s="26"/>
      <c r="U2" s="26"/>
      <c r="V2" s="27"/>
      <c r="X2" s="28" t="s">
        <v>5</v>
      </c>
      <c r="Y2" s="26"/>
      <c r="Z2" s="26"/>
      <c r="AA2" s="26"/>
      <c r="AB2" s="26"/>
      <c r="AC2" s="27"/>
    </row>
    <row r="3" spans="1:29" x14ac:dyDescent="0.25">
      <c r="A3" s="43" t="s">
        <v>6</v>
      </c>
      <c r="B3" s="43"/>
      <c r="C3" s="43">
        <v>10000</v>
      </c>
      <c r="D3" s="44"/>
      <c r="F3" s="28" t="s">
        <v>86</v>
      </c>
      <c r="G3" s="27"/>
      <c r="H3" s="2">
        <f>1-H7</f>
        <v>0.90625</v>
      </c>
      <c r="J3" s="58" t="s">
        <v>8</v>
      </c>
      <c r="K3" s="58"/>
      <c r="L3" s="58"/>
      <c r="M3" s="58"/>
      <c r="N3" s="58"/>
      <c r="O3" s="58"/>
      <c r="Q3" s="58" t="s">
        <v>8</v>
      </c>
      <c r="R3" s="58"/>
      <c r="S3" s="58"/>
      <c r="T3" s="58"/>
      <c r="U3" s="58"/>
      <c r="V3" s="58"/>
      <c r="X3" s="58" t="s">
        <v>8</v>
      </c>
      <c r="Y3" s="58"/>
      <c r="Z3" s="58"/>
      <c r="AA3" s="58"/>
      <c r="AB3" s="58"/>
      <c r="AC3" s="58"/>
    </row>
    <row r="4" spans="1:29" x14ac:dyDescent="0.25">
      <c r="A4" s="43" t="s">
        <v>8</v>
      </c>
      <c r="B4" s="43"/>
      <c r="C4" s="43">
        <f>C3/C12</f>
        <v>226.99929630218148</v>
      </c>
      <c r="D4" s="43"/>
      <c r="F4" s="28" t="s">
        <v>7</v>
      </c>
      <c r="G4" s="27"/>
      <c r="H4" s="2">
        <v>1000</v>
      </c>
      <c r="J4" s="3"/>
      <c r="K4" s="1">
        <v>1</v>
      </c>
      <c r="L4" s="1">
        <v>2</v>
      </c>
      <c r="M4" s="1" t="s">
        <v>10</v>
      </c>
      <c r="N4" s="1">
        <v>5</v>
      </c>
      <c r="O4" s="1" t="s">
        <v>11</v>
      </c>
      <c r="Q4" s="3"/>
      <c r="R4" s="1">
        <v>5</v>
      </c>
      <c r="S4" s="1">
        <v>6</v>
      </c>
      <c r="T4" s="1" t="s">
        <v>12</v>
      </c>
      <c r="U4" s="1" t="s">
        <v>13</v>
      </c>
      <c r="V4" s="1" t="s">
        <v>14</v>
      </c>
      <c r="X4" s="3"/>
      <c r="Y4" s="1">
        <v>6</v>
      </c>
      <c r="Z4" s="1" t="s">
        <v>15</v>
      </c>
      <c r="AA4" s="1" t="s">
        <v>16</v>
      </c>
      <c r="AB4" s="1">
        <v>10</v>
      </c>
      <c r="AC4" s="1">
        <v>8</v>
      </c>
    </row>
    <row r="5" spans="1:29" x14ac:dyDescent="0.25">
      <c r="A5" s="52" t="s">
        <v>17</v>
      </c>
      <c r="B5" s="53"/>
      <c r="C5" s="53"/>
      <c r="D5" s="54"/>
      <c r="F5" s="28" t="s">
        <v>9</v>
      </c>
      <c r="G5" s="27"/>
      <c r="H5" s="2">
        <v>78000</v>
      </c>
      <c r="J5" s="5" t="s">
        <v>18</v>
      </c>
      <c r="K5" s="2">
        <f>K15*K$12</f>
        <v>0</v>
      </c>
      <c r="L5" s="2">
        <f>L12*L15</f>
        <v>61620</v>
      </c>
      <c r="M5" s="2">
        <f ca="1">K5+L5+O5</f>
        <v>599343.46504559298</v>
      </c>
      <c r="N5" s="2">
        <f ca="1">M5</f>
        <v>599343.46504559298</v>
      </c>
      <c r="O5" s="2">
        <f ca="1">T5-U5</f>
        <v>537723.46504559298</v>
      </c>
      <c r="Q5" s="3" t="s">
        <v>18</v>
      </c>
      <c r="R5" s="2">
        <f ca="1">N5</f>
        <v>599343.46504559298</v>
      </c>
      <c r="S5" s="2">
        <f ca="1">R5*A36</f>
        <v>5993.4346504559298</v>
      </c>
      <c r="T5" s="2">
        <f ca="1">R5-S5</f>
        <v>593350.03039513703</v>
      </c>
      <c r="U5" s="2">
        <f ca="1">T5*$H$7</f>
        <v>55626.565349544093</v>
      </c>
      <c r="V5" s="2">
        <v>0</v>
      </c>
      <c r="X5" s="3" t="s">
        <v>18</v>
      </c>
      <c r="Y5" s="2">
        <f t="shared" ref="Y5:Y11" ca="1" si="0">S5</f>
        <v>5993.4346504559298</v>
      </c>
      <c r="Z5" s="2">
        <f ca="1">T27-U27</f>
        <v>5.9994340845404706</v>
      </c>
      <c r="AA5" s="2">
        <f ca="1">Z5+Y5</f>
        <v>5999.4340845404704</v>
      </c>
      <c r="AB5" s="2">
        <f ca="1">AA5</f>
        <v>5999.4340845404704</v>
      </c>
      <c r="AC5" s="2">
        <f>0</f>
        <v>0</v>
      </c>
    </row>
    <row r="6" spans="1:29" x14ac:dyDescent="0.25">
      <c r="A6" s="4" t="s">
        <v>19</v>
      </c>
      <c r="B6" s="4">
        <f>C4-D6</f>
        <v>225.18330193176402</v>
      </c>
      <c r="C6" s="4" t="s">
        <v>20</v>
      </c>
      <c r="D6" s="4">
        <f>C7*C4</f>
        <v>1.8159943704174519</v>
      </c>
      <c r="F6" s="28" t="s">
        <v>21</v>
      </c>
      <c r="G6" s="27"/>
      <c r="H6" s="2">
        <v>8.0000000000000002E-3</v>
      </c>
      <c r="J6" s="3" t="s">
        <v>22</v>
      </c>
      <c r="K6" s="2">
        <f t="shared" ref="K6:L11" si="1">K16*K$12</f>
        <v>0</v>
      </c>
      <c r="L6" s="2">
        <f>L12*L16</f>
        <v>16380</v>
      </c>
      <c r="M6" s="2">
        <f t="shared" ref="M6:M11" ca="1" si="2">K6+L6+O6</f>
        <v>65735.60655780771</v>
      </c>
      <c r="N6" s="2">
        <f ca="1">M6-((M7-((E29)/2))+(M7-((E31)/2)))</f>
        <v>55572.815807058148</v>
      </c>
      <c r="O6" s="2">
        <f ca="1">T6-U6</f>
        <v>49355.606557807703</v>
      </c>
      <c r="Q6" s="3" t="s">
        <v>22</v>
      </c>
      <c r="R6" s="2">
        <f ca="1">N6</f>
        <v>55572.815807058148</v>
      </c>
      <c r="S6" s="2">
        <f ca="1">R6*A40</f>
        <v>1111.4563161411629</v>
      </c>
      <c r="T6" s="2">
        <f ca="1">R6-S6</f>
        <v>54461.359490916984</v>
      </c>
      <c r="U6" s="2">
        <f ca="1">T6*$H$7</f>
        <v>5105.7524522734675</v>
      </c>
      <c r="V6" s="2">
        <v>0</v>
      </c>
      <c r="X6" s="3" t="s">
        <v>22</v>
      </c>
      <c r="Y6" s="2">
        <f t="shared" ca="1" si="0"/>
        <v>1111.4563161411629</v>
      </c>
      <c r="Z6" s="2">
        <f t="shared" ref="Z6:Z11" ca="1" si="3">T28-U28</f>
        <v>1.1125688741872268</v>
      </c>
      <c r="AA6" s="2">
        <f t="shared" ref="AA6:AA11" ca="1" si="4">Z6+Y6</f>
        <v>1112.5688850153501</v>
      </c>
      <c r="AB6" s="2">
        <f ca="1">AA6</f>
        <v>1112.5688850153501</v>
      </c>
      <c r="AC6" s="2">
        <v>0</v>
      </c>
    </row>
    <row r="7" spans="1:29" x14ac:dyDescent="0.25">
      <c r="A7" s="52" t="s">
        <v>23</v>
      </c>
      <c r="B7" s="54"/>
      <c r="C7" s="55">
        <f>H6</f>
        <v>8.0000000000000002E-3</v>
      </c>
      <c r="D7" s="56"/>
      <c r="F7" s="28" t="s">
        <v>28</v>
      </c>
      <c r="G7" s="27"/>
      <c r="H7" s="2">
        <v>9.375E-2</v>
      </c>
      <c r="J7" s="5" t="s">
        <v>24</v>
      </c>
      <c r="K7" s="2">
        <f>K17*K$12</f>
        <v>1000</v>
      </c>
      <c r="L7" s="2">
        <f t="shared" si="1"/>
        <v>0</v>
      </c>
      <c r="M7" s="2">
        <f t="shared" ca="1" si="2"/>
        <v>5216.5027978388071</v>
      </c>
      <c r="N7" s="2">
        <f ca="1">(1-A25)*M7</f>
        <v>4676.0731079827065</v>
      </c>
      <c r="O7" s="2">
        <f ca="1">T7-U7</f>
        <v>4216.5027978387816</v>
      </c>
      <c r="Q7" s="3" t="s">
        <v>24</v>
      </c>
      <c r="R7" s="2">
        <f t="shared" ref="R7:R11" ca="1" si="5">N7</f>
        <v>4676.0731079827065</v>
      </c>
      <c r="S7" s="2">
        <f ca="1">R7*A46</f>
        <v>23.380365539913534</v>
      </c>
      <c r="T7" s="2">
        <f ca="1">R7-S7</f>
        <v>4652.6927424427931</v>
      </c>
      <c r="U7" s="2">
        <f ca="1">T7*$H$7</f>
        <v>436.18994460401188</v>
      </c>
      <c r="V7" s="2">
        <v>0</v>
      </c>
      <c r="X7" s="3" t="s">
        <v>24</v>
      </c>
      <c r="Y7" s="2">
        <f t="shared" ca="1" si="0"/>
        <v>23.380365539913534</v>
      </c>
      <c r="Z7" s="2">
        <f t="shared" si="3"/>
        <v>0</v>
      </c>
      <c r="AA7" s="2">
        <f t="shared" ca="1" si="4"/>
        <v>23.380365539913534</v>
      </c>
      <c r="AB7" s="2">
        <f ca="1">AA7</f>
        <v>23.380365539913534</v>
      </c>
      <c r="AC7" s="2">
        <v>0</v>
      </c>
    </row>
    <row r="8" spans="1:29" x14ac:dyDescent="0.25">
      <c r="A8" s="42" t="s">
        <v>25</v>
      </c>
      <c r="B8" s="46"/>
      <c r="C8" s="46"/>
      <c r="D8" s="47"/>
      <c r="F8" s="28" t="s">
        <v>29</v>
      </c>
      <c r="G8" s="27"/>
      <c r="H8" s="2">
        <v>0</v>
      </c>
      <c r="J8" s="5" t="s">
        <v>27</v>
      </c>
      <c r="K8" s="2">
        <f t="shared" si="1"/>
        <v>0</v>
      </c>
      <c r="L8" s="2">
        <f t="shared" si="1"/>
        <v>0</v>
      </c>
      <c r="M8" s="2">
        <f t="shared" si="2"/>
        <v>0</v>
      </c>
      <c r="N8" s="2">
        <f ca="1">E27-N9</f>
        <v>421.8161815264861</v>
      </c>
      <c r="O8" s="2">
        <f t="shared" ref="O8:O10" si="6">T8-U8</f>
        <v>0</v>
      </c>
      <c r="Q8" s="3" t="s">
        <v>27</v>
      </c>
      <c r="R8" s="2">
        <f t="shared" ca="1" si="5"/>
        <v>421.8161815264861</v>
      </c>
      <c r="S8" s="2">
        <f ca="1">R8*A38</f>
        <v>419.70710061885364</v>
      </c>
      <c r="T8" s="2">
        <v>0</v>
      </c>
      <c r="U8" s="2">
        <f>T8*$H$7</f>
        <v>0</v>
      </c>
      <c r="V8" s="2">
        <v>0</v>
      </c>
      <c r="X8" s="3" t="s">
        <v>27</v>
      </c>
      <c r="Y8" s="2">
        <f t="shared" ca="1" si="0"/>
        <v>419.70710061885364</v>
      </c>
      <c r="Z8" s="2">
        <f t="shared" ca="1" si="3"/>
        <v>0.42012722784670065</v>
      </c>
      <c r="AA8" s="2">
        <f t="shared" ca="1" si="4"/>
        <v>420.12722784670035</v>
      </c>
      <c r="AB8" s="2">
        <f ca="1">AA8</f>
        <v>420.12722784670035</v>
      </c>
      <c r="AC8" s="2">
        <v>0</v>
      </c>
    </row>
    <row r="9" spans="1:29" x14ac:dyDescent="0.25">
      <c r="A9" s="44" t="s">
        <v>18</v>
      </c>
      <c r="B9" s="45"/>
      <c r="C9" s="44">
        <f>28.01348</f>
        <v>28.013480000000001</v>
      </c>
      <c r="D9" s="45"/>
      <c r="J9" s="3" t="s">
        <v>20</v>
      </c>
      <c r="K9" s="2">
        <f>K19*K$12</f>
        <v>0</v>
      </c>
      <c r="L9" s="2">
        <f t="shared" si="1"/>
        <v>0</v>
      </c>
      <c r="M9" s="2">
        <f t="shared" si="2"/>
        <v>0</v>
      </c>
      <c r="N9" s="2">
        <f ca="1">A27*E27</f>
        <v>5.1232734598358638</v>
      </c>
      <c r="O9" s="2">
        <f t="shared" si="6"/>
        <v>0</v>
      </c>
      <c r="Q9" s="3" t="s">
        <v>20</v>
      </c>
      <c r="R9" s="2">
        <f ca="1">N9</f>
        <v>5.1232734598358638</v>
      </c>
      <c r="S9" s="2">
        <f ca="1">R9*A34</f>
        <v>5.1232734598358638</v>
      </c>
      <c r="T9" s="2">
        <v>0</v>
      </c>
      <c r="U9" s="2">
        <f>T9*$H$7</f>
        <v>0</v>
      </c>
      <c r="V9" s="2">
        <v>0</v>
      </c>
      <c r="X9" s="3" t="s">
        <v>20</v>
      </c>
      <c r="Y9" s="2">
        <f t="shared" ca="1" si="0"/>
        <v>5.1232734598358638</v>
      </c>
      <c r="Z9" s="2">
        <f t="shared" si="3"/>
        <v>0</v>
      </c>
      <c r="AA9" s="2">
        <f t="shared" ca="1" si="4"/>
        <v>5.1232734598358638</v>
      </c>
      <c r="AB9" s="2">
        <f ca="1">AA9</f>
        <v>5.1232734598358638</v>
      </c>
      <c r="AC9" s="2">
        <v>0</v>
      </c>
    </row>
    <row r="10" spans="1:29" x14ac:dyDescent="0.25">
      <c r="A10" s="44" t="s">
        <v>22</v>
      </c>
      <c r="B10" s="45"/>
      <c r="C10" s="44">
        <f>31.9988</f>
        <v>31.998799999999999</v>
      </c>
      <c r="D10" s="45"/>
      <c r="J10" s="3" t="s">
        <v>30</v>
      </c>
      <c r="K10" s="2">
        <f t="shared" si="1"/>
        <v>0</v>
      </c>
      <c r="L10" s="2">
        <f t="shared" si="1"/>
        <v>0</v>
      </c>
      <c r="M10" s="2">
        <f t="shared" ca="1" si="2"/>
        <v>888.5631584932172</v>
      </c>
      <c r="N10" s="2">
        <f ca="1">E25*2</f>
        <v>226.98046973955729</v>
      </c>
      <c r="O10" s="2">
        <f t="shared" ca="1" si="6"/>
        <v>888.56315930532764</v>
      </c>
      <c r="Q10" s="3" t="s">
        <v>30</v>
      </c>
      <c r="R10" s="2">
        <f ca="1">N10</f>
        <v>226.98046973955729</v>
      </c>
      <c r="S10" s="2">
        <f ca="1">R10+V10-T10+P32</f>
        <v>17157.61231950888</v>
      </c>
      <c r="T10" s="2">
        <f ca="1">T12*T20</f>
        <v>980.48348613136091</v>
      </c>
      <c r="U10" s="2">
        <f ca="1">T10*$H$7</f>
        <v>91.920326824815078</v>
      </c>
      <c r="V10" s="2">
        <f ca="1">(A48*R8)-R10</f>
        <v>17911.115335899347</v>
      </c>
      <c r="X10" s="3" t="s">
        <v>30</v>
      </c>
      <c r="Y10" s="2">
        <f t="shared" ca="1" si="0"/>
        <v>17157.61231950888</v>
      </c>
      <c r="Z10" s="2">
        <f t="shared" si="3"/>
        <v>0</v>
      </c>
      <c r="AA10" s="2">
        <f t="shared" ca="1" si="4"/>
        <v>17157.61231950888</v>
      </c>
      <c r="AB10" s="2">
        <f ca="1">AB12*AB20</f>
        <v>1515.3076725986668</v>
      </c>
      <c r="AC10" s="2">
        <f ca="1">AA10-AB10</f>
        <v>15642.304646910214</v>
      </c>
    </row>
    <row r="11" spans="1:29" x14ac:dyDescent="0.25">
      <c r="A11" s="44" t="s">
        <v>24</v>
      </c>
      <c r="B11" s="45"/>
      <c r="C11" s="44">
        <f>28.054</f>
        <v>28.053999999999998</v>
      </c>
      <c r="D11" s="45"/>
      <c r="J11" s="3" t="s">
        <v>31</v>
      </c>
      <c r="K11" s="2">
        <f t="shared" si="1"/>
        <v>0</v>
      </c>
      <c r="L11" s="2">
        <f t="shared" si="1"/>
        <v>0</v>
      </c>
      <c r="M11" s="2">
        <f t="shared" ca="1" si="2"/>
        <v>191.30197715237131</v>
      </c>
      <c r="N11" s="2">
        <f ca="1">E25*2</f>
        <v>226.98046973955729</v>
      </c>
      <c r="O11" s="2">
        <f ca="1">T11-U11</f>
        <v>191.30197715237131</v>
      </c>
      <c r="Q11" s="3" t="s">
        <v>31</v>
      </c>
      <c r="R11" s="8">
        <f t="shared" ca="1" si="5"/>
        <v>226.98046973955729</v>
      </c>
      <c r="S11" s="8">
        <f ca="1">R11*A42</f>
        <v>15.888632881769013</v>
      </c>
      <c r="T11" s="8">
        <f ca="1">R11-S11</f>
        <v>211.09183685778828</v>
      </c>
      <c r="U11" s="2">
        <f ca="1">T11*$H$7</f>
        <v>19.789859705417651</v>
      </c>
      <c r="V11" s="2">
        <v>0</v>
      </c>
      <c r="X11" s="3" t="s">
        <v>31</v>
      </c>
      <c r="Y11" s="2">
        <f t="shared" ca="1" si="0"/>
        <v>15.888632881769013</v>
      </c>
      <c r="Z11" s="2">
        <f t="shared" ca="1" si="3"/>
        <v>1.5904537419188257E-2</v>
      </c>
      <c r="AA11" s="2">
        <f t="shared" ca="1" si="4"/>
        <v>15.904537419188202</v>
      </c>
      <c r="AB11" s="2">
        <f ca="1">AA11</f>
        <v>15.904537419188202</v>
      </c>
      <c r="AC11" s="2">
        <v>0</v>
      </c>
    </row>
    <row r="12" spans="1:29" x14ac:dyDescent="0.25">
      <c r="A12" s="44" t="s">
        <v>27</v>
      </c>
      <c r="B12" s="45"/>
      <c r="C12" s="44">
        <f>44.053</f>
        <v>44.052999999999997</v>
      </c>
      <c r="D12" s="45"/>
      <c r="J12" s="3" t="s">
        <v>32</v>
      </c>
      <c r="K12" s="3">
        <f>H4</f>
        <v>1000</v>
      </c>
      <c r="L12" s="3">
        <f>H5</f>
        <v>78000</v>
      </c>
      <c r="M12" s="23">
        <f ca="1">SUM(M5:M11)</f>
        <v>671375.43953688501</v>
      </c>
      <c r="N12" s="3">
        <f ca="1">SUM(N5:N11)</f>
        <v>660473.25435509929</v>
      </c>
      <c r="O12" s="3">
        <f ca="1">SUM(O5:O11)</f>
        <v>592375.43953769712</v>
      </c>
      <c r="Q12" s="3" t="s">
        <v>32</v>
      </c>
      <c r="R12" s="3">
        <f ca="1">N12</f>
        <v>660473.25435509929</v>
      </c>
      <c r="S12" s="3">
        <f ca="1">SUM(S5:S11)</f>
        <v>24726.602658606345</v>
      </c>
      <c r="T12" s="3">
        <f ca="1">SUM(T5:T11)</f>
        <v>653655.65795148606</v>
      </c>
      <c r="U12" s="3">
        <f ca="1">SUM(U5:U11)</f>
        <v>61280.217932951804</v>
      </c>
      <c r="V12" s="3">
        <f ca="1">SUM(V5:V11)</f>
        <v>17911.115335899347</v>
      </c>
      <c r="X12" s="3" t="s">
        <v>32</v>
      </c>
      <c r="Y12" s="3">
        <f ca="1">SUM(Y5:Y11)</f>
        <v>24726.602658606345</v>
      </c>
      <c r="Z12" s="3">
        <f ca="1">T34-U34</f>
        <v>7.5480347239935863</v>
      </c>
      <c r="AA12" s="3">
        <f ca="1">Z12+Y12</f>
        <v>24734.150693330339</v>
      </c>
      <c r="AB12" s="3">
        <f ca="1">(SUM(AB5:AB9) + AB11) /  (1 - AB20)</f>
        <v>9091.8460485857504</v>
      </c>
      <c r="AC12" s="3">
        <f ca="1">SUM(AC5:AC11)</f>
        <v>15642.304646910214</v>
      </c>
    </row>
    <row r="13" spans="1:29" ht="15.75" thickBot="1" x14ac:dyDescent="0.3">
      <c r="A13" s="43" t="s">
        <v>20</v>
      </c>
      <c r="B13" s="43"/>
      <c r="C13" s="43">
        <f>44.053</f>
        <v>44.052999999999997</v>
      </c>
      <c r="D13" s="43"/>
      <c r="F13" s="64" t="s">
        <v>90</v>
      </c>
      <c r="G13" s="64"/>
      <c r="H13" s="64"/>
      <c r="J13" s="58" t="s">
        <v>33</v>
      </c>
      <c r="K13" s="58"/>
      <c r="L13" s="58"/>
      <c r="M13" s="58"/>
      <c r="N13" s="58"/>
      <c r="O13" s="58"/>
      <c r="Q13" s="58" t="s">
        <v>33</v>
      </c>
      <c r="R13" s="58"/>
      <c r="S13" s="58"/>
      <c r="T13" s="58"/>
      <c r="U13" s="58"/>
      <c r="V13" s="58"/>
      <c r="X13" s="58" t="s">
        <v>33</v>
      </c>
      <c r="Y13" s="58"/>
      <c r="Z13" s="58"/>
      <c r="AA13" s="58"/>
      <c r="AB13" s="58"/>
      <c r="AC13" s="58"/>
    </row>
    <row r="14" spans="1:29" ht="15.75" thickBot="1" x14ac:dyDescent="0.3">
      <c r="A14" s="44" t="s">
        <v>31</v>
      </c>
      <c r="B14" s="45"/>
      <c r="C14" s="44">
        <v>44.009</v>
      </c>
      <c r="D14" s="45"/>
      <c r="F14" s="28" t="s">
        <v>85</v>
      </c>
      <c r="G14" s="51"/>
      <c r="H14" s="6">
        <f ca="1">(N10+V10)/(N8+V8)</f>
        <v>43</v>
      </c>
      <c r="I14" s="63">
        <f>A48</f>
        <v>43</v>
      </c>
      <c r="J14" s="3"/>
      <c r="K14" s="1">
        <v>1</v>
      </c>
      <c r="L14" s="1">
        <v>2</v>
      </c>
      <c r="M14" s="1" t="s">
        <v>10</v>
      </c>
      <c r="N14" s="1">
        <v>5</v>
      </c>
      <c r="O14" s="1" t="s">
        <v>11</v>
      </c>
      <c r="Q14" s="3"/>
      <c r="R14" s="1">
        <v>5</v>
      </c>
      <c r="S14" s="1">
        <v>6</v>
      </c>
      <c r="T14" s="1" t="s">
        <v>12</v>
      </c>
      <c r="U14" s="1" t="s">
        <v>13</v>
      </c>
      <c r="V14" s="1" t="s">
        <v>14</v>
      </c>
      <c r="X14" s="3"/>
      <c r="Y14" s="1">
        <v>6</v>
      </c>
      <c r="Z14" s="1" t="s">
        <v>15</v>
      </c>
      <c r="AA14" s="1" t="s">
        <v>16</v>
      </c>
      <c r="AB14" s="1">
        <v>10</v>
      </c>
      <c r="AC14" s="1">
        <v>8</v>
      </c>
    </row>
    <row r="15" spans="1:29" ht="15.75" thickBot="1" x14ac:dyDescent="0.3">
      <c r="A15" s="43" t="s">
        <v>30</v>
      </c>
      <c r="B15" s="43"/>
      <c r="C15" s="43">
        <v>18.015000000000001</v>
      </c>
      <c r="D15" s="43"/>
      <c r="F15" s="28" t="s">
        <v>26</v>
      </c>
      <c r="G15" s="51"/>
      <c r="H15" s="6">
        <f ca="1">M7/2</f>
        <v>2608.2513989194035</v>
      </c>
      <c r="I15" s="7">
        <f ca="1">M6</f>
        <v>65735.60655780771</v>
      </c>
      <c r="J15" s="3" t="s">
        <v>18</v>
      </c>
      <c r="K15" s="2">
        <v>0</v>
      </c>
      <c r="L15" s="2">
        <f>C18</f>
        <v>0.79</v>
      </c>
      <c r="M15" s="2">
        <f ca="1">M5/M$12</f>
        <v>0.89270984571467238</v>
      </c>
      <c r="N15" s="2">
        <f ca="1">N5/N$12</f>
        <v>0.90744547352005223</v>
      </c>
      <c r="O15" s="2">
        <f ca="1">O5/O$12</f>
        <v>0.90774098511789125</v>
      </c>
      <c r="Q15" s="3" t="s">
        <v>18</v>
      </c>
      <c r="R15" s="2">
        <f ca="1">R5/R$12</f>
        <v>0.90744547352005223</v>
      </c>
      <c r="S15" s="2">
        <f ca="1">S5/$S$12</f>
        <v>0.24238811668572893</v>
      </c>
      <c r="T15" s="2">
        <f ca="1">T5/$T$12</f>
        <v>0.90774098438106865</v>
      </c>
      <c r="U15" s="2">
        <f ca="1">U5/$U$12</f>
        <v>0.90774098438106876</v>
      </c>
      <c r="V15" s="2">
        <f ca="1">V5/$V$12</f>
        <v>0</v>
      </c>
      <c r="X15" s="3" t="s">
        <v>18</v>
      </c>
      <c r="Y15" s="2">
        <f t="shared" ref="Y15:AC19" ca="1" si="7">Y5/Y$12</f>
        <v>0.24238811668572893</v>
      </c>
      <c r="Z15" s="2">
        <f t="shared" ca="1" si="7"/>
        <v>0.79483392749500137</v>
      </c>
      <c r="AA15" s="2">
        <f ca="1">AA5/AA$12</f>
        <v>0.2425567046520114</v>
      </c>
      <c r="AB15" s="2">
        <f t="shared" ca="1" si="7"/>
        <v>0.65986973959745954</v>
      </c>
      <c r="AC15" s="2">
        <f t="shared" ca="1" si="7"/>
        <v>0</v>
      </c>
    </row>
    <row r="16" spans="1:29" ht="15.75" thickBot="1" x14ac:dyDescent="0.3">
      <c r="A16" s="50" t="s">
        <v>3</v>
      </c>
      <c r="B16" s="50"/>
      <c r="C16" s="50"/>
      <c r="D16" s="50"/>
      <c r="F16" s="28" t="s">
        <v>89</v>
      </c>
      <c r="G16" s="51"/>
      <c r="H16" s="6">
        <f>L5</f>
        <v>61620</v>
      </c>
      <c r="I16" s="63">
        <f ca="1">S27+U5</f>
        <v>61620.000000000022</v>
      </c>
      <c r="J16" s="3" t="s">
        <v>22</v>
      </c>
      <c r="K16" s="2">
        <v>0</v>
      </c>
      <c r="L16" s="2">
        <f>C19</f>
        <v>0.21</v>
      </c>
      <c r="M16" s="2">
        <f t="shared" ref="M16:O21" ca="1" si="8">M6/M$12</f>
        <v>9.7911842892483752E-2</v>
      </c>
      <c r="N16" s="2">
        <f t="shared" ca="1" si="8"/>
        <v>8.4140902664288322E-2</v>
      </c>
      <c r="O16" s="2">
        <f t="shared" ca="1" si="8"/>
        <v>8.3318117638918165E-2</v>
      </c>
      <c r="Q16" s="3" t="s">
        <v>22</v>
      </c>
      <c r="R16" s="2">
        <f t="shared" ref="R16" ca="1" si="9">R6/R$12</f>
        <v>8.4140902664288322E-2</v>
      </c>
      <c r="S16" s="2">
        <f t="shared" ref="S16:S21" ca="1" si="10">S6/$S$12</f>
        <v>4.4949819087027276E-2</v>
      </c>
      <c r="T16" s="2">
        <f t="shared" ref="T16:T19" ca="1" si="11">T6/$T$12</f>
        <v>8.3318118382995895E-2</v>
      </c>
      <c r="U16" s="2">
        <f t="shared" ref="U16:U21" ca="1" si="12">U6/$U$12</f>
        <v>8.3318118382995909E-2</v>
      </c>
      <c r="V16" s="2">
        <f t="shared" ref="V16:V21" ca="1" si="13">V6/$V$12</f>
        <v>0</v>
      </c>
      <c r="X16" s="3" t="s">
        <v>22</v>
      </c>
      <c r="Y16" s="2">
        <f t="shared" ca="1" si="7"/>
        <v>4.4949819087027276E-2</v>
      </c>
      <c r="Z16" s="2">
        <f t="shared" ca="1" si="7"/>
        <v>0.1473984838266057</v>
      </c>
      <c r="AA16" s="2">
        <f t="shared" ca="1" si="7"/>
        <v>4.4981082989656029E-2</v>
      </c>
      <c r="AB16" s="2">
        <f t="shared" ca="1" si="7"/>
        <v>0.12236996524907193</v>
      </c>
      <c r="AC16" s="2">
        <f t="shared" ca="1" si="7"/>
        <v>0</v>
      </c>
    </row>
    <row r="17" spans="1:31" ht="15.75" thickBot="1" x14ac:dyDescent="0.3">
      <c r="A17" s="41" t="s">
        <v>34</v>
      </c>
      <c r="B17" s="41"/>
      <c r="C17" s="41"/>
      <c r="D17" s="41"/>
      <c r="F17" s="28" t="s">
        <v>91</v>
      </c>
      <c r="G17" s="51"/>
      <c r="H17" s="6">
        <f ca="1">N6</f>
        <v>55572.815807058148</v>
      </c>
      <c r="I17" s="7" t="s">
        <v>92</v>
      </c>
      <c r="J17" s="3" t="s">
        <v>24</v>
      </c>
      <c r="K17" s="2">
        <v>1</v>
      </c>
      <c r="L17" s="2">
        <v>0</v>
      </c>
      <c r="M17" s="2">
        <f t="shared" ca="1" si="8"/>
        <v>7.7698743365368743E-3</v>
      </c>
      <c r="N17" s="2">
        <f t="shared" ca="1" si="8"/>
        <v>7.0798826101573604E-3</v>
      </c>
      <c r="O17" s="2">
        <f t="shared" ca="1" si="8"/>
        <v>7.1179568165915747E-3</v>
      </c>
      <c r="Q17" s="3" t="s">
        <v>24</v>
      </c>
      <c r="R17" s="2">
        <f t="shared" ref="R17" ca="1" si="14">R7/R$12</f>
        <v>7.0798826101573604E-3</v>
      </c>
      <c r="S17" s="2">
        <f t="shared" ca="1" si="10"/>
        <v>9.4555511174422341E-4</v>
      </c>
      <c r="T17" s="2">
        <f t="shared" ca="1" si="11"/>
        <v>7.117956810813857E-3</v>
      </c>
      <c r="U17" s="2">
        <f t="shared" ca="1" si="12"/>
        <v>7.1179568108138596E-3</v>
      </c>
      <c r="V17" s="2">
        <f t="shared" ca="1" si="13"/>
        <v>0</v>
      </c>
      <c r="X17" s="3" t="s">
        <v>24</v>
      </c>
      <c r="Y17" s="2">
        <f t="shared" ca="1" si="7"/>
        <v>9.4555511174422341E-4</v>
      </c>
      <c r="Z17" s="2">
        <f t="shared" ca="1" si="7"/>
        <v>0</v>
      </c>
      <c r="AA17" s="2">
        <f t="shared" ca="1" si="7"/>
        <v>9.4526655998009024E-4</v>
      </c>
      <c r="AB17" s="2">
        <f t="shared" ca="1" si="7"/>
        <v>2.5715751691099504E-3</v>
      </c>
      <c r="AC17" s="2">
        <f t="shared" ca="1" si="7"/>
        <v>0</v>
      </c>
    </row>
    <row r="18" spans="1:31" x14ac:dyDescent="0.25">
      <c r="A18" s="43" t="s">
        <v>18</v>
      </c>
      <c r="B18" s="43"/>
      <c r="C18" s="43">
        <v>0.79</v>
      </c>
      <c r="D18" s="43"/>
      <c r="J18" s="3" t="s">
        <v>27</v>
      </c>
      <c r="K18" s="2">
        <v>0</v>
      </c>
      <c r="L18" s="2">
        <v>0</v>
      </c>
      <c r="M18" s="2">
        <f t="shared" ca="1" si="8"/>
        <v>0</v>
      </c>
      <c r="N18" s="2">
        <f ca="1">N8/N$12</f>
        <v>6.3865747590090803E-4</v>
      </c>
      <c r="O18" s="2">
        <f t="shared" ref="O18:O21" ca="1" si="15">O8/O$12</f>
        <v>0</v>
      </c>
      <c r="Q18" s="3" t="s">
        <v>27</v>
      </c>
      <c r="R18" s="2">
        <f t="shared" ref="R18" ca="1" si="16">R8/R$12</f>
        <v>6.3865747590090803E-4</v>
      </c>
      <c r="S18" s="2">
        <f t="shared" ca="1" si="10"/>
        <v>1.697390888726763E-2</v>
      </c>
      <c r="T18" s="2">
        <f t="shared" ca="1" si="11"/>
        <v>0</v>
      </c>
      <c r="U18" s="2">
        <f t="shared" ca="1" si="12"/>
        <v>0</v>
      </c>
      <c r="V18" s="2">
        <f t="shared" ca="1" si="13"/>
        <v>0</v>
      </c>
      <c r="X18" s="3" t="s">
        <v>27</v>
      </c>
      <c r="Y18" s="2">
        <f t="shared" ca="1" si="7"/>
        <v>1.697390888726763E-2</v>
      </c>
      <c r="Z18" s="2">
        <f t="shared" ca="1" si="7"/>
        <v>5.5660478947083557E-2</v>
      </c>
      <c r="AA18" s="2">
        <f t="shared" ca="1" si="7"/>
        <v>1.6985714733273188E-2</v>
      </c>
      <c r="AB18" s="2">
        <f t="shared" ca="1" si="7"/>
        <v>4.6209232492674217E-2</v>
      </c>
      <c r="AC18" s="2">
        <f t="shared" ca="1" si="7"/>
        <v>0</v>
      </c>
    </row>
    <row r="19" spans="1:31" x14ac:dyDescent="0.25">
      <c r="A19" s="43" t="s">
        <v>22</v>
      </c>
      <c r="B19" s="43"/>
      <c r="C19" s="43">
        <v>0.21</v>
      </c>
      <c r="D19" s="43"/>
      <c r="J19" s="3" t="s">
        <v>20</v>
      </c>
      <c r="K19" s="2">
        <v>0</v>
      </c>
      <c r="L19" s="2">
        <v>0</v>
      </c>
      <c r="M19" s="2">
        <f t="shared" ca="1" si="8"/>
        <v>0</v>
      </c>
      <c r="N19" s="2">
        <f t="shared" ca="1" si="8"/>
        <v>7.7569733915090043E-6</v>
      </c>
      <c r="O19" s="2">
        <f t="shared" ca="1" si="15"/>
        <v>0</v>
      </c>
      <c r="Q19" s="3" t="s">
        <v>20</v>
      </c>
      <c r="R19" s="2">
        <f t="shared" ref="R19" ca="1" si="17">R9/R$12</f>
        <v>7.7569733915090043E-6</v>
      </c>
      <c r="S19" s="2">
        <f t="shared" ca="1" si="10"/>
        <v>2.0719682079141819E-4</v>
      </c>
      <c r="T19" s="2">
        <f t="shared" ca="1" si="11"/>
        <v>0</v>
      </c>
      <c r="U19" s="2">
        <f t="shared" ca="1" si="12"/>
        <v>0</v>
      </c>
      <c r="V19" s="2">
        <f t="shared" ca="1" si="13"/>
        <v>0</v>
      </c>
      <c r="X19" s="3" t="s">
        <v>20</v>
      </c>
      <c r="Y19" s="2">
        <f t="shared" ca="1" si="7"/>
        <v>2.0719682079141819E-4</v>
      </c>
      <c r="Z19" s="2">
        <f t="shared" ca="1" si="7"/>
        <v>0</v>
      </c>
      <c r="AA19" s="2">
        <f t="shared" ca="1" si="7"/>
        <v>2.0713359125839622E-4</v>
      </c>
      <c r="AB19" s="2">
        <f t="shared" ca="1" si="7"/>
        <v>5.6350200305391185E-4</v>
      </c>
      <c r="AC19" s="2">
        <f t="shared" ca="1" si="7"/>
        <v>0</v>
      </c>
    </row>
    <row r="20" spans="1:31" x14ac:dyDescent="0.25">
      <c r="A20" s="41" t="s">
        <v>35</v>
      </c>
      <c r="B20" s="41"/>
      <c r="C20" s="41"/>
      <c r="D20" s="41"/>
      <c r="J20" s="3" t="s">
        <v>30</v>
      </c>
      <c r="K20" s="2">
        <v>0</v>
      </c>
      <c r="L20" s="2">
        <v>0</v>
      </c>
      <c r="M20" s="2">
        <f t="shared" ca="1" si="8"/>
        <v>1.3234966699201096E-3</v>
      </c>
      <c r="N20" s="2">
        <f t="shared" ca="1" si="8"/>
        <v>3.4366337810481977E-4</v>
      </c>
      <c r="O20" s="2">
        <f t="shared" ca="1" si="15"/>
        <v>1.4999999999979437E-3</v>
      </c>
      <c r="Q20" s="3" t="s">
        <v>30</v>
      </c>
      <c r="R20" s="2">
        <f t="shared" ref="R20" ca="1" si="18">R10/R$12</f>
        <v>3.4366337810481977E-4</v>
      </c>
      <c r="S20" s="2">
        <f t="shared" ca="1" si="10"/>
        <v>0.6938928309885305</v>
      </c>
      <c r="T20" s="2">
        <v>1.5E-3</v>
      </c>
      <c r="U20" s="2">
        <f t="shared" ca="1" si="12"/>
        <v>1.4999999987824354E-3</v>
      </c>
      <c r="V20" s="2">
        <f t="shared" ca="1" si="13"/>
        <v>1</v>
      </c>
      <c r="X20" s="3" t="s">
        <v>30</v>
      </c>
      <c r="Y20" s="2">
        <f t="shared" ref="Y20:AA21" ca="1" si="19">Y10/Y$12</f>
        <v>0.6938928309885305</v>
      </c>
      <c r="Z20" s="2">
        <f t="shared" ca="1" si="19"/>
        <v>0</v>
      </c>
      <c r="AA20" s="2">
        <f t="shared" ca="1" si="19"/>
        <v>0.69368107812715385</v>
      </c>
      <c r="AB20" s="2">
        <f>A76/6</f>
        <v>0.16666666666666666</v>
      </c>
      <c r="AC20" s="2">
        <f ca="1">AC10/AC$12</f>
        <v>1</v>
      </c>
    </row>
    <row r="21" spans="1:31" x14ac:dyDescent="0.25">
      <c r="A21" s="43" t="s">
        <v>18</v>
      </c>
      <c r="B21" s="43"/>
      <c r="C21" s="43"/>
      <c r="D21" s="43"/>
      <c r="J21" s="3" t="s">
        <v>31</v>
      </c>
      <c r="K21" s="2">
        <v>0</v>
      </c>
      <c r="L21" s="2">
        <v>0</v>
      </c>
      <c r="M21" s="2">
        <f t="shared" ca="1" si="8"/>
        <v>2.8494038638698411E-4</v>
      </c>
      <c r="N21" s="2">
        <f t="shared" ca="1" si="8"/>
        <v>3.4366337810481977E-4</v>
      </c>
      <c r="O21" s="2">
        <f t="shared" ca="1" si="15"/>
        <v>3.2294042660118994E-4</v>
      </c>
      <c r="Q21" s="3" t="s">
        <v>31</v>
      </c>
      <c r="R21" s="2">
        <f t="shared" ref="R21" ca="1" si="20">R11/R$12</f>
        <v>3.4366337810481977E-4</v>
      </c>
      <c r="S21" s="2">
        <f t="shared" ca="1" si="10"/>
        <v>6.4257241891007666E-4</v>
      </c>
      <c r="T21" s="2">
        <f ca="1">T11/T12</f>
        <v>3.2294042633905479E-4</v>
      </c>
      <c r="U21" s="2">
        <f t="shared" ca="1" si="12"/>
        <v>3.2294042633905485E-4</v>
      </c>
      <c r="V21" s="2">
        <f t="shared" ca="1" si="13"/>
        <v>0</v>
      </c>
      <c r="X21" s="3" t="s">
        <v>31</v>
      </c>
      <c r="Y21" s="2">
        <f t="shared" ca="1" si="19"/>
        <v>6.4257241891007666E-4</v>
      </c>
      <c r="Z21" s="2">
        <f t="shared" ca="1" si="19"/>
        <v>2.1071097313094147E-3</v>
      </c>
      <c r="AA21" s="2">
        <f t="shared" ca="1" si="19"/>
        <v>6.4301934666699198E-4</v>
      </c>
      <c r="AB21" s="2">
        <f ca="1">AB11/AB$12</f>
        <v>1.7493188219637943E-3</v>
      </c>
      <c r="AC21" s="2">
        <f ca="1">AC11/AC$12</f>
        <v>0</v>
      </c>
    </row>
    <row r="22" spans="1:31" x14ac:dyDescent="0.25">
      <c r="A22" s="43" t="s">
        <v>22</v>
      </c>
      <c r="B22" s="43"/>
      <c r="C22" s="43"/>
      <c r="D22" s="43"/>
      <c r="J22" s="3" t="s">
        <v>32</v>
      </c>
      <c r="K22" s="3">
        <f>SUM(K15:K21)</f>
        <v>1</v>
      </c>
      <c r="L22" s="3">
        <f>SUM(L15:L21)</f>
        <v>1</v>
      </c>
      <c r="M22" s="3">
        <f ca="1">SUM(M15:M21)</f>
        <v>1.0000000000000002</v>
      </c>
      <c r="N22" s="3">
        <f ca="1">SUM(N15:N21)</f>
        <v>1</v>
      </c>
      <c r="O22" s="3">
        <f ca="1">SUM(O15:O21)</f>
        <v>1</v>
      </c>
      <c r="Q22" s="3" t="s">
        <v>32</v>
      </c>
      <c r="R22" s="3">
        <f ca="1">SUM(R15:R21)</f>
        <v>1</v>
      </c>
      <c r="S22" s="3">
        <f ca="1">SUM(S15:S21)</f>
        <v>1</v>
      </c>
      <c r="T22" s="3">
        <f ca="1">SUM(T15:T21)</f>
        <v>1.0000000000012172</v>
      </c>
      <c r="U22" s="3">
        <v>1</v>
      </c>
      <c r="V22" s="3">
        <f ca="1">SUM(V15:V21)</f>
        <v>1</v>
      </c>
      <c r="X22" s="3" t="s">
        <v>32</v>
      </c>
      <c r="Y22" s="3">
        <f ca="1">SUM(Y15:Y21)</f>
        <v>1</v>
      </c>
      <c r="Z22" s="3">
        <f ca="1">SUM(Z15:Z21)</f>
        <v>1</v>
      </c>
      <c r="AA22" s="3">
        <f ca="1">SUM(AA15:AA21)</f>
        <v>1</v>
      </c>
      <c r="AB22" s="3">
        <f ca="1">SUM(AB15:AB21)</f>
        <v>1</v>
      </c>
      <c r="AC22" s="3">
        <f ca="1">SUM(AC15:AC21)</f>
        <v>1</v>
      </c>
    </row>
    <row r="23" spans="1:31" x14ac:dyDescent="0.25">
      <c r="A23" s="43" t="s">
        <v>24</v>
      </c>
      <c r="B23" s="43"/>
      <c r="C23" s="43"/>
      <c r="D23" s="43"/>
    </row>
    <row r="24" spans="1:31" x14ac:dyDescent="0.25">
      <c r="A24" s="41" t="s">
        <v>36</v>
      </c>
      <c r="B24" s="41"/>
      <c r="C24" s="41"/>
      <c r="D24" s="41"/>
      <c r="E24" s="48" t="s">
        <v>37</v>
      </c>
      <c r="F24" s="48"/>
      <c r="I24" s="28" t="s">
        <v>38</v>
      </c>
      <c r="J24" s="26"/>
      <c r="K24" s="26"/>
      <c r="L24" s="27"/>
      <c r="N24" s="59" t="s">
        <v>39</v>
      </c>
      <c r="O24" s="60"/>
      <c r="P24" s="60"/>
      <c r="Q24" s="60"/>
      <c r="R24" s="60"/>
      <c r="S24" s="60"/>
      <c r="T24" s="60"/>
      <c r="U24" s="60"/>
      <c r="W24" s="28" t="s">
        <v>40</v>
      </c>
      <c r="X24" s="26"/>
      <c r="Y24" s="26"/>
      <c r="Z24" s="27"/>
      <c r="AB24" s="28" t="s">
        <v>41</v>
      </c>
      <c r="AC24" s="26"/>
      <c r="AD24" s="26"/>
      <c r="AE24" s="27"/>
    </row>
    <row r="25" spans="1:31" x14ac:dyDescent="0.25">
      <c r="A25" s="44">
        <f>(10+3*0.12)%</f>
        <v>0.1036</v>
      </c>
      <c r="B25" s="49"/>
      <c r="C25" s="49"/>
      <c r="D25" s="45"/>
      <c r="E25" s="48">
        <f ca="1">(M7-N7)-E27</f>
        <v>113.49023486977865</v>
      </c>
      <c r="F25" s="48"/>
      <c r="I25" s="33" t="s">
        <v>8</v>
      </c>
      <c r="J25" s="31"/>
      <c r="K25" s="31"/>
      <c r="L25" s="32"/>
      <c r="N25" s="61" t="s">
        <v>8</v>
      </c>
      <c r="O25" s="62"/>
      <c r="P25" s="62"/>
      <c r="Q25" s="62"/>
      <c r="R25" s="62"/>
      <c r="S25" s="62"/>
      <c r="T25" s="62"/>
      <c r="U25" s="62"/>
      <c r="W25" s="33" t="s">
        <v>8</v>
      </c>
      <c r="X25" s="31"/>
      <c r="Y25" s="31"/>
      <c r="Z25" s="32"/>
      <c r="AB25" s="33" t="s">
        <v>8</v>
      </c>
      <c r="AC25" s="31"/>
      <c r="AD25" s="31"/>
      <c r="AE25" s="32"/>
    </row>
    <row r="26" spans="1:31" x14ac:dyDescent="0.25">
      <c r="A26" s="41" t="s">
        <v>42</v>
      </c>
      <c r="B26" s="41"/>
      <c r="C26" s="41"/>
      <c r="D26" s="41"/>
      <c r="E26" s="48" t="s">
        <v>43</v>
      </c>
      <c r="F26" s="48"/>
      <c r="I26" s="3"/>
      <c r="J26" s="1">
        <v>10</v>
      </c>
      <c r="K26" s="1">
        <v>11</v>
      </c>
      <c r="L26" s="1">
        <v>12</v>
      </c>
      <c r="N26" s="3"/>
      <c r="O26" s="22" t="s">
        <v>44</v>
      </c>
      <c r="P26" s="22" t="s">
        <v>45</v>
      </c>
      <c r="Q26" s="22" t="s">
        <v>46</v>
      </c>
      <c r="R26" s="1">
        <v>11</v>
      </c>
      <c r="S26" s="1">
        <v>13</v>
      </c>
      <c r="T26" s="1">
        <v>14</v>
      </c>
      <c r="U26" s="1" t="s">
        <v>47</v>
      </c>
      <c r="W26" s="3"/>
      <c r="X26" s="1">
        <v>12</v>
      </c>
      <c r="Y26" s="1">
        <v>15</v>
      </c>
      <c r="Z26" s="1">
        <v>16</v>
      </c>
      <c r="AB26" s="3"/>
      <c r="AC26" s="1">
        <v>15</v>
      </c>
      <c r="AD26" s="1" t="s">
        <v>48</v>
      </c>
      <c r="AE26" s="1" t="s">
        <v>49</v>
      </c>
    </row>
    <row r="27" spans="1:31" x14ac:dyDescent="0.25">
      <c r="A27" s="43">
        <f>(1.2)/100</f>
        <v>1.2E-2</v>
      </c>
      <c r="B27" s="43"/>
      <c r="C27" s="43"/>
      <c r="D27" s="43"/>
      <c r="E27" s="54">
        <f ca="1">M18+E29</f>
        <v>426.93945498631933</v>
      </c>
      <c r="F27" s="48"/>
      <c r="I27" s="3" t="s">
        <v>18</v>
      </c>
      <c r="J27" s="2">
        <f t="shared" ref="J27:J34" ca="1" si="21">AB5</f>
        <v>5999.4340845404704</v>
      </c>
      <c r="K27" s="11">
        <f t="shared" ref="K27:K33" ca="1" si="22">J46*J27</f>
        <v>5999.4340845404704</v>
      </c>
      <c r="L27" s="2">
        <f t="shared" ref="L27:L33" ca="1" si="23">K46*J27</f>
        <v>0</v>
      </c>
      <c r="N27" s="3" t="s">
        <v>18</v>
      </c>
      <c r="O27" s="23">
        <f>AC5-V5</f>
        <v>0</v>
      </c>
      <c r="P27" s="23">
        <v>0</v>
      </c>
      <c r="Q27" s="23">
        <f>O27+P27</f>
        <v>0</v>
      </c>
      <c r="R27" s="11">
        <f ca="1">K27</f>
        <v>5999.4340845404704</v>
      </c>
      <c r="S27" s="2">
        <f ca="1">0.999*R27</f>
        <v>5993.4346504559298</v>
      </c>
      <c r="T27" s="2">
        <f ca="1">0.001*R27</f>
        <v>5.9994340845404706</v>
      </c>
      <c r="U27" s="2">
        <f ca="1">T27*$H$8</f>
        <v>0</v>
      </c>
      <c r="W27" s="3" t="s">
        <v>18</v>
      </c>
      <c r="X27" s="2">
        <f t="shared" ref="X27:X34" ca="1" si="24">L27</f>
        <v>0</v>
      </c>
      <c r="Y27" s="2">
        <f ca="1">AC27</f>
        <v>0</v>
      </c>
      <c r="Z27" s="2">
        <v>0</v>
      </c>
      <c r="AB27" s="3" t="s">
        <v>18</v>
      </c>
      <c r="AC27" s="2">
        <f t="shared" ref="AC27:AC34" ca="1" si="25">Y27</f>
        <v>0</v>
      </c>
      <c r="AD27" s="2">
        <f>$A$74*AE27</f>
        <v>0</v>
      </c>
      <c r="AE27" s="2">
        <v>0</v>
      </c>
    </row>
    <row r="28" spans="1:31" x14ac:dyDescent="0.25">
      <c r="A28" s="41" t="s">
        <v>50</v>
      </c>
      <c r="B28" s="41"/>
      <c r="C28" s="41"/>
      <c r="D28" s="41"/>
      <c r="E28" s="48" t="s">
        <v>51</v>
      </c>
      <c r="F28" s="48"/>
      <c r="I28" s="3" t="s">
        <v>22</v>
      </c>
      <c r="J28" s="2">
        <f t="shared" ca="1" si="21"/>
        <v>1112.5688850153501</v>
      </c>
      <c r="K28" s="11">
        <f t="shared" ca="1" si="22"/>
        <v>1112.5688850153501</v>
      </c>
      <c r="L28" s="2">
        <f t="shared" ca="1" si="23"/>
        <v>0</v>
      </c>
      <c r="N28" s="3" t="s">
        <v>22</v>
      </c>
      <c r="O28" s="23">
        <f>AC6-V6</f>
        <v>0</v>
      </c>
      <c r="P28" s="23">
        <v>0</v>
      </c>
      <c r="Q28" s="23">
        <f>O28+P28</f>
        <v>0</v>
      </c>
      <c r="R28" s="11">
        <f t="shared" ref="R28:R34" ca="1" si="26">K28</f>
        <v>1112.5688850153501</v>
      </c>
      <c r="S28" s="2">
        <f ca="1">0.999*R28</f>
        <v>1111.4563161303347</v>
      </c>
      <c r="T28" s="2">
        <f ca="1">0.001*R28</f>
        <v>1.1125688850153501</v>
      </c>
      <c r="U28" s="2">
        <f ca="1">T28*$H$8</f>
        <v>0</v>
      </c>
      <c r="W28" s="3" t="s">
        <v>22</v>
      </c>
      <c r="X28" s="2">
        <f t="shared" ca="1" si="24"/>
        <v>0</v>
      </c>
      <c r="Y28" s="2">
        <f t="shared" ref="Y28:Y33" ca="1" si="27">AC28</f>
        <v>0</v>
      </c>
      <c r="Z28" s="2">
        <v>0</v>
      </c>
      <c r="AB28" s="3" t="s">
        <v>22</v>
      </c>
      <c r="AC28" s="2">
        <f t="shared" ca="1" si="25"/>
        <v>0</v>
      </c>
      <c r="AD28" s="2">
        <f t="shared" ref="AD28:AD33" si="28">$A$74*AE28</f>
        <v>0</v>
      </c>
      <c r="AE28" s="2">
        <v>0</v>
      </c>
    </row>
    <row r="29" spans="1:31" x14ac:dyDescent="0.25">
      <c r="A29" s="43">
        <f>(79)/100</f>
        <v>0.79</v>
      </c>
      <c r="B29" s="43"/>
      <c r="C29" s="43"/>
      <c r="D29" s="43"/>
      <c r="E29" s="48">
        <f ca="1">A29*A25*M7</f>
        <v>426.93945498631933</v>
      </c>
      <c r="F29" s="48"/>
      <c r="I29" s="3" t="s">
        <v>24</v>
      </c>
      <c r="J29" s="2">
        <f t="shared" ca="1" si="21"/>
        <v>23.380365539913534</v>
      </c>
      <c r="K29" s="11">
        <f t="shared" ca="1" si="22"/>
        <v>23.380365539913534</v>
      </c>
      <c r="L29" s="2">
        <f t="shared" ca="1" si="23"/>
        <v>0</v>
      </c>
      <c r="N29" s="3" t="s">
        <v>24</v>
      </c>
      <c r="O29" s="23">
        <f>AC7-V7</f>
        <v>0</v>
      </c>
      <c r="P29" s="23">
        <v>0</v>
      </c>
      <c r="Q29" s="23">
        <f>O29+P29</f>
        <v>0</v>
      </c>
      <c r="R29" s="11">
        <f t="shared" ca="1" si="26"/>
        <v>23.380365539913534</v>
      </c>
      <c r="S29" s="2"/>
      <c r="T29" s="2"/>
      <c r="U29" s="2">
        <f>T29*$H$8</f>
        <v>0</v>
      </c>
      <c r="W29" s="3" t="s">
        <v>24</v>
      </c>
      <c r="X29" s="2">
        <f t="shared" ca="1" si="24"/>
        <v>0</v>
      </c>
      <c r="Y29" s="2">
        <f t="shared" ca="1" si="27"/>
        <v>0</v>
      </c>
      <c r="Z29" s="2">
        <v>0</v>
      </c>
      <c r="AB29" s="3" t="s">
        <v>24</v>
      </c>
      <c r="AC29" s="2">
        <f t="shared" ca="1" si="25"/>
        <v>0</v>
      </c>
      <c r="AD29" s="2">
        <f t="shared" si="28"/>
        <v>0</v>
      </c>
      <c r="AE29" s="2">
        <v>0</v>
      </c>
    </row>
    <row r="30" spans="1:31" x14ac:dyDescent="0.25">
      <c r="A30" s="50" t="s">
        <v>52</v>
      </c>
      <c r="B30" s="50"/>
      <c r="C30" s="50"/>
      <c r="D30" s="50"/>
      <c r="E30" s="48" t="s">
        <v>53</v>
      </c>
      <c r="F30" s="48"/>
      <c r="I30" s="3" t="s">
        <v>27</v>
      </c>
      <c r="J30" s="2">
        <f t="shared" ca="1" si="21"/>
        <v>420.12722784670035</v>
      </c>
      <c r="K30" s="11">
        <f t="shared" ca="1" si="22"/>
        <v>0.4201272278467007</v>
      </c>
      <c r="L30" s="2">
        <f t="shared" ca="1" si="23"/>
        <v>419.70710061885364</v>
      </c>
      <c r="N30" s="3" t="s">
        <v>27</v>
      </c>
      <c r="O30" s="23">
        <f>AC8-V8</f>
        <v>0</v>
      </c>
      <c r="P30" s="23">
        <v>0</v>
      </c>
      <c r="Q30" s="23">
        <f>O30+P30</f>
        <v>0</v>
      </c>
      <c r="R30" s="11">
        <f t="shared" ca="1" si="26"/>
        <v>0.4201272278467007</v>
      </c>
      <c r="S30" s="2">
        <v>0</v>
      </c>
      <c r="T30" s="11">
        <f ca="1">R30</f>
        <v>0.4201272278467007</v>
      </c>
      <c r="U30" s="2">
        <f ca="1">T30*$H$8</f>
        <v>0</v>
      </c>
      <c r="W30" s="3" t="s">
        <v>27</v>
      </c>
      <c r="X30" s="2">
        <f t="shared" ca="1" si="24"/>
        <v>419.70710061885364</v>
      </c>
      <c r="Y30" s="2">
        <f ca="1">X30</f>
        <v>419.70710061885364</v>
      </c>
      <c r="Z30" s="2">
        <v>0</v>
      </c>
      <c r="AB30" s="3" t="s">
        <v>27</v>
      </c>
      <c r="AC30" s="2">
        <f t="shared" ca="1" si="25"/>
        <v>419.70710061885364</v>
      </c>
      <c r="AD30" s="2">
        <f ca="1">$A$74*AE30</f>
        <v>279.80473374590235</v>
      </c>
      <c r="AE30" s="2">
        <f ca="1">1/3*AC30</f>
        <v>139.90236687295121</v>
      </c>
    </row>
    <row r="31" spans="1:31" x14ac:dyDescent="0.25">
      <c r="A31" s="41" t="s">
        <v>54</v>
      </c>
      <c r="B31" s="41"/>
      <c r="C31" s="41"/>
      <c r="D31" s="41"/>
      <c r="E31" s="48">
        <f ca="1">(1-A29)*A25*M7</f>
        <v>113.49023486978106</v>
      </c>
      <c r="F31" s="48"/>
      <c r="I31" s="3" t="s">
        <v>20</v>
      </c>
      <c r="J31" s="2">
        <f t="shared" ca="1" si="21"/>
        <v>5.1232734598358638</v>
      </c>
      <c r="K31" s="24">
        <f t="shared" ca="1" si="22"/>
        <v>0</v>
      </c>
      <c r="L31" s="2">
        <f t="shared" ca="1" si="23"/>
        <v>5.1232734598358638</v>
      </c>
      <c r="N31" s="3" t="s">
        <v>20</v>
      </c>
      <c r="O31" s="23">
        <f>AC9-V9</f>
        <v>0</v>
      </c>
      <c r="P31" s="23">
        <v>0</v>
      </c>
      <c r="Q31" s="23">
        <f>O31+P31</f>
        <v>0</v>
      </c>
      <c r="R31" s="11">
        <f t="shared" ca="1" si="26"/>
        <v>0</v>
      </c>
      <c r="S31" s="2"/>
      <c r="T31" s="2"/>
      <c r="U31" s="2">
        <f>T31*$H$8</f>
        <v>0</v>
      </c>
      <c r="W31" s="3" t="s">
        <v>20</v>
      </c>
      <c r="X31" s="2">
        <f t="shared" ca="1" si="24"/>
        <v>5.1232734598358638</v>
      </c>
      <c r="Y31" s="2">
        <f ca="1">Y41*Y34</f>
        <v>3.3847346824101097</v>
      </c>
      <c r="Z31" s="2">
        <f ca="1">X31-Y31</f>
        <v>1.7385387774257541</v>
      </c>
      <c r="AB31" s="3" t="s">
        <v>20</v>
      </c>
      <c r="AC31" s="2">
        <f t="shared" ca="1" si="25"/>
        <v>3.3847346824101097</v>
      </c>
      <c r="AD31" s="2">
        <f ca="1">$A$74*AE31</f>
        <v>2.2564897882734236</v>
      </c>
      <c r="AE31" s="2">
        <f ca="1">1/3*AC31</f>
        <v>1.1282448941367031</v>
      </c>
    </row>
    <row r="32" spans="1:31" x14ac:dyDescent="0.25">
      <c r="A32" s="44" t="s">
        <v>30</v>
      </c>
      <c r="B32" s="49"/>
      <c r="C32" s="49"/>
      <c r="D32" s="45"/>
      <c r="I32" s="3" t="s">
        <v>30</v>
      </c>
      <c r="J32" s="2">
        <f t="shared" ca="1" si="21"/>
        <v>1515.3076725986668</v>
      </c>
      <c r="K32" s="24">
        <f t="shared" ca="1" si="22"/>
        <v>0</v>
      </c>
      <c r="L32" s="2">
        <f t="shared" ca="1" si="23"/>
        <v>1515.3076725986668</v>
      </c>
      <c r="N32" s="3" t="s">
        <v>30</v>
      </c>
      <c r="O32" s="23">
        <f ca="1">AC10-V10</f>
        <v>-2268.8106889891333</v>
      </c>
      <c r="P32" s="23">
        <v>0</v>
      </c>
      <c r="Q32" s="23">
        <f ca="1">O32+P32</f>
        <v>-2268.8106889891333</v>
      </c>
      <c r="R32" s="11">
        <f t="shared" ca="1" si="26"/>
        <v>0</v>
      </c>
      <c r="S32" s="2"/>
      <c r="T32" s="2"/>
      <c r="U32" s="2">
        <f>T32*$H$8</f>
        <v>0</v>
      </c>
      <c r="W32" s="3" t="s">
        <v>30</v>
      </c>
      <c r="X32" s="2">
        <f t="shared" ca="1" si="24"/>
        <v>1515.3076725986668</v>
      </c>
      <c r="Y32" s="2">
        <f t="shared" ca="1" si="27"/>
        <v>0</v>
      </c>
      <c r="Z32" s="2">
        <f ca="1">X32</f>
        <v>1515.3076725986668</v>
      </c>
      <c r="AB32" s="3" t="s">
        <v>30</v>
      </c>
      <c r="AC32" s="2">
        <f t="shared" ca="1" si="25"/>
        <v>0</v>
      </c>
      <c r="AD32" s="2">
        <f t="shared" si="28"/>
        <v>0</v>
      </c>
      <c r="AE32" s="2">
        <v>0</v>
      </c>
    </row>
    <row r="33" spans="1:31" x14ac:dyDescent="0.25">
      <c r="A33" s="41" t="s">
        <v>55</v>
      </c>
      <c r="B33" s="41"/>
      <c r="C33" s="41"/>
      <c r="D33" s="41"/>
      <c r="I33" s="3" t="s">
        <v>31</v>
      </c>
      <c r="J33" s="2">
        <f t="shared" ca="1" si="21"/>
        <v>15.904537419188202</v>
      </c>
      <c r="K33" s="11">
        <f t="shared" ca="1" si="22"/>
        <v>15.904537419188202</v>
      </c>
      <c r="L33" s="2">
        <f t="shared" ca="1" si="23"/>
        <v>0</v>
      </c>
      <c r="N33" s="3" t="s">
        <v>31</v>
      </c>
      <c r="O33" s="23">
        <f>AC11-V11</f>
        <v>0</v>
      </c>
      <c r="P33" s="23">
        <v>0</v>
      </c>
      <c r="Q33" s="23">
        <f>O33+P33</f>
        <v>0</v>
      </c>
      <c r="R33" s="11">
        <f t="shared" ca="1" si="26"/>
        <v>15.904537419188202</v>
      </c>
      <c r="S33" s="2">
        <f ca="1">0.999*R33</f>
        <v>15.888632881769013</v>
      </c>
      <c r="T33" s="2">
        <f ca="1">0.001*R33</f>
        <v>1.5904537419188201E-2</v>
      </c>
      <c r="U33" s="2">
        <f ca="1">T33*$H$8</f>
        <v>0</v>
      </c>
      <c r="W33" s="3" t="s">
        <v>31</v>
      </c>
      <c r="X33" s="2">
        <f t="shared" ca="1" si="24"/>
        <v>0</v>
      </c>
      <c r="Y33" s="2">
        <f t="shared" ca="1" si="27"/>
        <v>0</v>
      </c>
      <c r="Z33" s="2">
        <v>0</v>
      </c>
      <c r="AB33" s="3" t="s">
        <v>31</v>
      </c>
      <c r="AC33" s="2">
        <f t="shared" ca="1" si="25"/>
        <v>0</v>
      </c>
      <c r="AD33" s="2">
        <f t="shared" si="28"/>
        <v>0</v>
      </c>
      <c r="AE33" s="2">
        <v>0</v>
      </c>
    </row>
    <row r="34" spans="1:31" x14ac:dyDescent="0.25">
      <c r="A34" s="44">
        <v>1</v>
      </c>
      <c r="B34" s="49"/>
      <c r="C34" s="49"/>
      <c r="D34" s="45"/>
      <c r="I34" s="3" t="s">
        <v>32</v>
      </c>
      <c r="J34" s="3">
        <f t="shared" ca="1" si="21"/>
        <v>9091.8460485857504</v>
      </c>
      <c r="K34" s="12">
        <f ca="1">SUM(K27:K33)</f>
        <v>7151.7079997427691</v>
      </c>
      <c r="L34" s="3">
        <f ca="1">SUM(L27:L33)</f>
        <v>1940.1380466773562</v>
      </c>
      <c r="M34" s="10"/>
      <c r="N34" s="3" t="s">
        <v>32</v>
      </c>
      <c r="O34" s="23">
        <f ca="1">SUM(O27:O33)</f>
        <v>-2268.8106889891333</v>
      </c>
      <c r="P34" s="23">
        <f>SUM(P27:P33)</f>
        <v>0</v>
      </c>
      <c r="Q34" s="23">
        <f ca="1">SUM(Q27:Q33)</f>
        <v>-2268.8106889891333</v>
      </c>
      <c r="R34" s="3">
        <f t="shared" ca="1" si="26"/>
        <v>7151.7079997427691</v>
      </c>
      <c r="S34" s="3">
        <f ca="1">SUM(S27:S33)</f>
        <v>7120.7795994680337</v>
      </c>
      <c r="T34" s="3">
        <f ca="1">SUM(T27:T33)</f>
        <v>7.5480347348217096</v>
      </c>
      <c r="U34" s="3">
        <f ca="1">SUM(U27:U33)</f>
        <v>0</v>
      </c>
      <c r="W34" s="3" t="s">
        <v>32</v>
      </c>
      <c r="X34" s="3">
        <f t="shared" ca="1" si="24"/>
        <v>1940.1380466773562</v>
      </c>
      <c r="Y34" s="3">
        <f ca="1">SUM(Y27:Y33)</f>
        <v>423.09183530126376</v>
      </c>
      <c r="Z34" s="3">
        <f ca="1">SUM(Z27:Z33)</f>
        <v>1517.0462113760925</v>
      </c>
      <c r="AB34" s="3" t="s">
        <v>32</v>
      </c>
      <c r="AC34" s="3">
        <f t="shared" ca="1" si="25"/>
        <v>423.09183530126376</v>
      </c>
      <c r="AD34" s="3">
        <f ca="1">2/3*AC34</f>
        <v>282.06122353417584</v>
      </c>
      <c r="AE34" s="21">
        <f ca="1">1/3*AC34</f>
        <v>141.03061176708792</v>
      </c>
    </row>
    <row r="35" spans="1:31" x14ac:dyDescent="0.25">
      <c r="A35" s="41" t="s">
        <v>56</v>
      </c>
      <c r="B35" s="41"/>
      <c r="C35" s="41"/>
      <c r="D35" s="41"/>
      <c r="I35" s="33" t="s">
        <v>33</v>
      </c>
      <c r="J35" s="31"/>
      <c r="K35" s="31"/>
      <c r="L35" s="32"/>
      <c r="N35" s="33" t="s">
        <v>33</v>
      </c>
      <c r="O35" s="31"/>
      <c r="P35" s="31"/>
      <c r="Q35" s="31"/>
      <c r="R35" s="31"/>
      <c r="S35" s="31"/>
      <c r="T35" s="31"/>
      <c r="U35" s="32"/>
      <c r="W35" s="33" t="s">
        <v>33</v>
      </c>
      <c r="X35" s="31"/>
      <c r="Y35" s="31"/>
      <c r="Z35" s="32"/>
      <c r="AB35" s="33" t="s">
        <v>33</v>
      </c>
      <c r="AC35" s="31"/>
      <c r="AD35" s="31"/>
      <c r="AE35" s="57"/>
    </row>
    <row r="36" spans="1:31" x14ac:dyDescent="0.25">
      <c r="A36" s="44">
        <f>1/100</f>
        <v>0.01</v>
      </c>
      <c r="B36" s="49"/>
      <c r="C36" s="49"/>
      <c r="D36" s="45"/>
      <c r="I36" s="3"/>
      <c r="J36" s="1">
        <v>10</v>
      </c>
      <c r="K36" s="1">
        <v>11</v>
      </c>
      <c r="L36" s="1">
        <v>12</v>
      </c>
      <c r="N36" s="3"/>
      <c r="O36" s="22" t="s">
        <v>44</v>
      </c>
      <c r="P36" s="22">
        <v>9</v>
      </c>
      <c r="Q36" s="22" t="s">
        <v>46</v>
      </c>
      <c r="R36" s="1">
        <v>11</v>
      </c>
      <c r="S36" s="1">
        <v>13</v>
      </c>
      <c r="T36" s="1">
        <v>14</v>
      </c>
      <c r="U36" s="1" t="s">
        <v>57</v>
      </c>
      <c r="W36" s="3"/>
      <c r="X36" s="1">
        <v>15</v>
      </c>
      <c r="Y36" s="1" t="s">
        <v>48</v>
      </c>
      <c r="Z36" s="1">
        <v>16</v>
      </c>
      <c r="AB36" s="3"/>
      <c r="AC36" s="1">
        <v>15</v>
      </c>
      <c r="AD36" s="1" t="s">
        <v>48</v>
      </c>
      <c r="AE36" s="1" t="s">
        <v>49</v>
      </c>
    </row>
    <row r="37" spans="1:31" x14ac:dyDescent="0.25">
      <c r="A37" s="41" t="s">
        <v>58</v>
      </c>
      <c r="B37" s="41"/>
      <c r="C37" s="41"/>
      <c r="D37" s="41"/>
      <c r="H37" s="9"/>
      <c r="I37" s="3" t="s">
        <v>18</v>
      </c>
      <c r="J37" s="2">
        <f t="shared" ref="J37:J43" ca="1" si="29">J27/$J$34</f>
        <v>0.65986973959745954</v>
      </c>
      <c r="K37" s="2">
        <f t="shared" ref="K37:K43" ca="1" si="30">K27/$K$34</f>
        <v>0.83888129727279925</v>
      </c>
      <c r="L37" s="2">
        <f t="shared" ref="L37:L43" ca="1" si="31">L27/$L$34</f>
        <v>0</v>
      </c>
      <c r="N37" s="3" t="s">
        <v>18</v>
      </c>
      <c r="O37" s="23">
        <v>0</v>
      </c>
      <c r="P37" s="23">
        <v>0</v>
      </c>
      <c r="Q37" s="23">
        <f ca="1">Q27/Q$34</f>
        <v>0</v>
      </c>
      <c r="R37" s="2">
        <f ca="1">K37</f>
        <v>0.83888129727279925</v>
      </c>
      <c r="S37" s="2">
        <f ca="1">S27/$S$34</f>
        <v>0.84168237013032621</v>
      </c>
      <c r="T37" s="2">
        <f ca="1">T27/$T$34</f>
        <v>0.7948339263547628</v>
      </c>
      <c r="U37" s="2" t="e">
        <f ca="1">U27/$U$34</f>
        <v>#DIV/0!</v>
      </c>
      <c r="W37" s="3" t="s">
        <v>18</v>
      </c>
      <c r="X37" s="2">
        <f t="shared" ref="X37:X44" ca="1" si="32">L37</f>
        <v>0</v>
      </c>
      <c r="Y37" s="2">
        <v>0</v>
      </c>
      <c r="Z37" s="2">
        <v>0</v>
      </c>
      <c r="AB37" s="3" t="s">
        <v>18</v>
      </c>
      <c r="AC37" s="2">
        <f ca="1">AC27/AC$34</f>
        <v>0</v>
      </c>
      <c r="AD37" s="2">
        <f ca="1">AD27/AD$34</f>
        <v>0</v>
      </c>
      <c r="AE37" s="2">
        <f ca="1">AE27/AE$34</f>
        <v>0</v>
      </c>
    </row>
    <row r="38" spans="1:31" x14ac:dyDescent="0.25">
      <c r="A38" s="44">
        <v>0.995</v>
      </c>
      <c r="B38" s="49"/>
      <c r="C38" s="49"/>
      <c r="D38" s="45"/>
      <c r="H38" s="9"/>
      <c r="I38" s="3" t="s">
        <v>22</v>
      </c>
      <c r="J38" s="2">
        <f t="shared" ca="1" si="29"/>
        <v>0.12236996524907193</v>
      </c>
      <c r="K38" s="2">
        <f t="shared" ca="1" si="30"/>
        <v>0.15556687787803511</v>
      </c>
      <c r="L38" s="2">
        <f t="shared" ca="1" si="31"/>
        <v>0</v>
      </c>
      <c r="N38" s="3" t="s">
        <v>22</v>
      </c>
      <c r="O38" s="23">
        <v>0</v>
      </c>
      <c r="P38" s="23">
        <v>0</v>
      </c>
      <c r="Q38" s="23">
        <f ca="1">Q28/Q$34</f>
        <v>0</v>
      </c>
      <c r="R38" s="2">
        <f t="shared" ref="R38:R44" ca="1" si="33">K38</f>
        <v>0.15556687787803511</v>
      </c>
      <c r="S38" s="2">
        <f t="shared" ref="S38:S43" ca="1" si="34">S28/$S$34</f>
        <v>0.15608632462284991</v>
      </c>
      <c r="T38" s="2">
        <f t="shared" ref="T38:T43" ca="1" si="35">T28/$T$34</f>
        <v>0.14739848504971537</v>
      </c>
      <c r="U38" s="2" t="e">
        <f t="shared" ref="U38:U43" ca="1" si="36">U28/$U$34</f>
        <v>#DIV/0!</v>
      </c>
      <c r="W38" s="3" t="s">
        <v>22</v>
      </c>
      <c r="X38" s="2">
        <f t="shared" ca="1" si="32"/>
        <v>0</v>
      </c>
      <c r="Y38" s="2">
        <v>0</v>
      </c>
      <c r="Z38" s="2">
        <v>0</v>
      </c>
      <c r="AB38" s="3" t="s">
        <v>22</v>
      </c>
      <c r="AC38" s="2">
        <f t="shared" ref="AC38:AD43" ca="1" si="37">AC28/AC$34</f>
        <v>0</v>
      </c>
      <c r="AD38" s="2">
        <f t="shared" ca="1" si="37"/>
        <v>0</v>
      </c>
      <c r="AE38" s="2">
        <f t="shared" ref="AE38:AE43" ca="1" si="38">AE28/AE$34</f>
        <v>0</v>
      </c>
    </row>
    <row r="39" spans="1:31" x14ac:dyDescent="0.25">
      <c r="A39" s="41" t="s">
        <v>59</v>
      </c>
      <c r="B39" s="41"/>
      <c r="C39" s="41"/>
      <c r="D39" s="41"/>
      <c r="H39" s="9"/>
      <c r="I39" s="3" t="s">
        <v>24</v>
      </c>
      <c r="J39" s="2">
        <f t="shared" ca="1" si="29"/>
        <v>2.5715751691099504E-3</v>
      </c>
      <c r="K39" s="2">
        <f t="shared" ca="1" si="30"/>
        <v>3.2692002442989104E-3</v>
      </c>
      <c r="L39" s="2">
        <f t="shared" ca="1" si="31"/>
        <v>0</v>
      </c>
      <c r="N39" s="3" t="s">
        <v>24</v>
      </c>
      <c r="O39" s="23">
        <v>0</v>
      </c>
      <c r="P39" s="23">
        <v>0</v>
      </c>
      <c r="Q39" s="23">
        <f ca="1">Q29/Q$34</f>
        <v>0</v>
      </c>
      <c r="R39" s="2">
        <f t="shared" ca="1" si="33"/>
        <v>3.2692002442989104E-3</v>
      </c>
      <c r="S39" s="2">
        <f t="shared" ca="1" si="34"/>
        <v>0</v>
      </c>
      <c r="T39" s="2">
        <f t="shared" ca="1" si="35"/>
        <v>0</v>
      </c>
      <c r="U39" s="2" t="e">
        <f t="shared" ca="1" si="36"/>
        <v>#DIV/0!</v>
      </c>
      <c r="W39" s="3" t="s">
        <v>24</v>
      </c>
      <c r="X39" s="2">
        <f t="shared" ca="1" si="32"/>
        <v>0</v>
      </c>
      <c r="Y39" s="2">
        <v>0</v>
      </c>
      <c r="Z39" s="2">
        <v>0</v>
      </c>
      <c r="AB39" s="3" t="s">
        <v>24</v>
      </c>
      <c r="AC39" s="2">
        <f t="shared" ca="1" si="37"/>
        <v>0</v>
      </c>
      <c r="AD39" s="2">
        <f t="shared" ca="1" si="37"/>
        <v>0</v>
      </c>
      <c r="AE39" s="2">
        <f t="shared" ca="1" si="38"/>
        <v>0</v>
      </c>
    </row>
    <row r="40" spans="1:31" x14ac:dyDescent="0.25">
      <c r="A40" s="44">
        <f>2/100</f>
        <v>0.02</v>
      </c>
      <c r="B40" s="49"/>
      <c r="C40" s="49"/>
      <c r="D40" s="45"/>
      <c r="H40" s="9"/>
      <c r="I40" s="3" t="s">
        <v>27</v>
      </c>
      <c r="J40" s="2">
        <f t="shared" ca="1" si="29"/>
        <v>4.6209232492674217E-2</v>
      </c>
      <c r="K40" s="2">
        <f t="shared" ca="1" si="30"/>
        <v>5.8745019771754066E-5</v>
      </c>
      <c r="L40" s="2">
        <f t="shared" ca="1" si="31"/>
        <v>0.21632847277936543</v>
      </c>
      <c r="N40" s="3" t="s">
        <v>27</v>
      </c>
      <c r="O40" s="23">
        <v>0</v>
      </c>
      <c r="P40" s="23">
        <v>0</v>
      </c>
      <c r="Q40" s="23">
        <f ca="1">Q30/Q$34</f>
        <v>0</v>
      </c>
      <c r="R40" s="2">
        <f t="shared" ca="1" si="33"/>
        <v>5.8745019771754066E-5</v>
      </c>
      <c r="S40" s="2">
        <f t="shared" ca="1" si="34"/>
        <v>0</v>
      </c>
      <c r="T40" s="2">
        <f t="shared" ca="1" si="35"/>
        <v>5.5660478867235158E-2</v>
      </c>
      <c r="U40" s="2" t="e">
        <f t="shared" ca="1" si="36"/>
        <v>#DIV/0!</v>
      </c>
      <c r="W40" s="3" t="s">
        <v>27</v>
      </c>
      <c r="X40" s="2">
        <f t="shared" ca="1" si="32"/>
        <v>0.21632847277936543</v>
      </c>
      <c r="Y40" s="2">
        <f ca="1">Y30/Y34</f>
        <v>0.99199999999999999</v>
      </c>
      <c r="Z40" s="2">
        <v>0</v>
      </c>
      <c r="AB40" s="3" t="s">
        <v>27</v>
      </c>
      <c r="AC40" s="2">
        <f t="shared" ca="1" si="37"/>
        <v>0.99199999999999999</v>
      </c>
      <c r="AD40" s="2">
        <f t="shared" ca="1" si="37"/>
        <v>0.99199999999999977</v>
      </c>
      <c r="AE40" s="2">
        <f ca="1">AE30/AE$34</f>
        <v>0.99199999999999988</v>
      </c>
    </row>
    <row r="41" spans="1:31" x14ac:dyDescent="0.25">
      <c r="A41" s="41" t="s">
        <v>60</v>
      </c>
      <c r="B41" s="41"/>
      <c r="C41" s="41"/>
      <c r="D41" s="41"/>
      <c r="H41" s="9"/>
      <c r="I41" s="3" t="s">
        <v>20</v>
      </c>
      <c r="J41" s="2">
        <f t="shared" ca="1" si="29"/>
        <v>5.6350200305391185E-4</v>
      </c>
      <c r="K41" s="2">
        <f t="shared" ca="1" si="30"/>
        <v>0</v>
      </c>
      <c r="L41" s="2">
        <f t="shared" ca="1" si="31"/>
        <v>2.6406747028181244E-3</v>
      </c>
      <c r="N41" s="3" t="s">
        <v>20</v>
      </c>
      <c r="O41" s="23">
        <v>0</v>
      </c>
      <c r="P41" s="23">
        <v>0</v>
      </c>
      <c r="Q41" s="23">
        <f ca="1">Q31/Q$34</f>
        <v>0</v>
      </c>
      <c r="R41" s="2">
        <f t="shared" ca="1" si="33"/>
        <v>0</v>
      </c>
      <c r="S41" s="2">
        <f t="shared" ca="1" si="34"/>
        <v>0</v>
      </c>
      <c r="T41" s="2">
        <f t="shared" ca="1" si="35"/>
        <v>0</v>
      </c>
      <c r="U41" s="2" t="e">
        <f t="shared" ca="1" si="36"/>
        <v>#DIV/0!</v>
      </c>
      <c r="W41" s="3" t="s">
        <v>20</v>
      </c>
      <c r="X41" s="2">
        <f t="shared" ca="1" si="32"/>
        <v>2.6406747028181244E-3</v>
      </c>
      <c r="Y41" s="2">
        <v>8.0000000000000002E-3</v>
      </c>
      <c r="Z41" s="2">
        <f ca="1">Z31/Z34</f>
        <v>1.1460025175164233E-3</v>
      </c>
      <c r="AB41" s="3" t="s">
        <v>20</v>
      </c>
      <c r="AC41" s="2">
        <f t="shared" ca="1" si="37"/>
        <v>7.9999999999999984E-3</v>
      </c>
      <c r="AD41" s="2">
        <f t="shared" ca="1" si="37"/>
        <v>8.0000000000000591E-3</v>
      </c>
      <c r="AE41" s="2">
        <f ca="1">AE31/AE$34</f>
        <v>7.9999999999999984E-3</v>
      </c>
    </row>
    <row r="42" spans="1:31" x14ac:dyDescent="0.25">
      <c r="A42" s="44">
        <f>7/100</f>
        <v>7.0000000000000007E-2</v>
      </c>
      <c r="B42" s="49"/>
      <c r="C42" s="49"/>
      <c r="D42" s="45"/>
      <c r="H42" s="9"/>
      <c r="I42" s="3" t="s">
        <v>30</v>
      </c>
      <c r="J42" s="2">
        <f t="shared" ca="1" si="29"/>
        <v>0.16666666642847247</v>
      </c>
      <c r="K42" s="2">
        <f t="shared" ca="1" si="30"/>
        <v>0</v>
      </c>
      <c r="L42" s="2">
        <f t="shared" ca="1" si="31"/>
        <v>0.78103085251781657</v>
      </c>
      <c r="N42" s="3" t="s">
        <v>30</v>
      </c>
      <c r="O42" s="23">
        <v>1</v>
      </c>
      <c r="P42" s="23">
        <v>1</v>
      </c>
      <c r="Q42" s="23">
        <f ca="1">Q32/Q$34</f>
        <v>1</v>
      </c>
      <c r="R42" s="2">
        <f t="shared" ca="1" si="33"/>
        <v>0</v>
      </c>
      <c r="S42" s="2">
        <f t="shared" ca="1" si="34"/>
        <v>0</v>
      </c>
      <c r="T42" s="2">
        <f t="shared" ca="1" si="35"/>
        <v>0</v>
      </c>
      <c r="U42" s="2" t="e">
        <f t="shared" ca="1" si="36"/>
        <v>#DIV/0!</v>
      </c>
      <c r="W42" s="3" t="s">
        <v>30</v>
      </c>
      <c r="X42" s="2">
        <f t="shared" ca="1" si="32"/>
        <v>0.78103085251781657</v>
      </c>
      <c r="Y42" s="2">
        <v>0</v>
      </c>
      <c r="Z42" s="2">
        <f ca="1">Z32/Z34</f>
        <v>0.9988539974824836</v>
      </c>
      <c r="AB42" s="3" t="s">
        <v>30</v>
      </c>
      <c r="AC42" s="2">
        <f t="shared" ca="1" si="37"/>
        <v>0</v>
      </c>
      <c r="AD42" s="2">
        <f t="shared" ca="1" si="37"/>
        <v>0</v>
      </c>
      <c r="AE42" s="2">
        <f t="shared" ca="1" si="38"/>
        <v>0</v>
      </c>
    </row>
    <row r="43" spans="1:31" x14ac:dyDescent="0.25">
      <c r="A43" s="41" t="s">
        <v>61</v>
      </c>
      <c r="B43" s="41"/>
      <c r="C43" s="41"/>
      <c r="D43" s="41"/>
      <c r="H43" s="9"/>
      <c r="I43" s="3" t="s">
        <v>31</v>
      </c>
      <c r="J43" s="2">
        <f t="shared" ca="1" si="29"/>
        <v>1.7493188219637943E-3</v>
      </c>
      <c r="K43" s="2">
        <f t="shared" ca="1" si="30"/>
        <v>2.2238795850949523E-3</v>
      </c>
      <c r="L43" s="2">
        <f t="shared" ca="1" si="31"/>
        <v>0</v>
      </c>
      <c r="N43" s="3" t="s">
        <v>31</v>
      </c>
      <c r="O43" s="23">
        <v>0</v>
      </c>
      <c r="P43" s="23">
        <v>0</v>
      </c>
      <c r="Q43" s="23">
        <f ca="1">Q33/Q$34</f>
        <v>0</v>
      </c>
      <c r="R43" s="2">
        <f t="shared" ca="1" si="33"/>
        <v>2.2238795850949523E-3</v>
      </c>
      <c r="S43" s="2">
        <f t="shared" ca="1" si="34"/>
        <v>2.2313052468238156E-3</v>
      </c>
      <c r="T43" s="2">
        <f t="shared" ca="1" si="35"/>
        <v>2.1071097282866279E-3</v>
      </c>
      <c r="U43" s="2" t="e">
        <f t="shared" ca="1" si="36"/>
        <v>#DIV/0!</v>
      </c>
      <c r="W43" s="3" t="s">
        <v>31</v>
      </c>
      <c r="X43" s="2">
        <f t="shared" ca="1" si="32"/>
        <v>0</v>
      </c>
      <c r="Y43" s="2">
        <v>0</v>
      </c>
      <c r="Z43" s="2">
        <v>0</v>
      </c>
      <c r="AB43" s="3" t="s">
        <v>31</v>
      </c>
      <c r="AC43" s="2">
        <f t="shared" ca="1" si="37"/>
        <v>0</v>
      </c>
      <c r="AD43" s="2">
        <f t="shared" ca="1" si="37"/>
        <v>0</v>
      </c>
      <c r="AE43" s="2">
        <f t="shared" ca="1" si="38"/>
        <v>0</v>
      </c>
    </row>
    <row r="44" spans="1:31" x14ac:dyDescent="0.25">
      <c r="A44" s="44">
        <v>1.5E-3</v>
      </c>
      <c r="B44" s="49"/>
      <c r="C44" s="49"/>
      <c r="D44" s="45"/>
      <c r="I44" s="3" t="s">
        <v>32</v>
      </c>
      <c r="J44" s="3">
        <f ca="1">SUM(J37:J43)</f>
        <v>0.99999999976180587</v>
      </c>
      <c r="K44" s="3">
        <f ca="1">SUM(K37:K43)</f>
        <v>1</v>
      </c>
      <c r="L44" s="3">
        <f ca="1">SUM(L37:L43)</f>
        <v>1</v>
      </c>
      <c r="N44" s="3" t="s">
        <v>32</v>
      </c>
      <c r="O44" s="23">
        <f>SUM(O37:O43)</f>
        <v>1</v>
      </c>
      <c r="P44" s="23">
        <f>SUM(P37:P43)</f>
        <v>1</v>
      </c>
      <c r="Q44" s="23">
        <f ca="1">SUM(Q37:Q43)</f>
        <v>1</v>
      </c>
      <c r="R44" s="3">
        <f t="shared" ca="1" si="33"/>
        <v>1</v>
      </c>
      <c r="S44" s="3">
        <f ca="1">SUM(S37:S43)</f>
        <v>0.99999999999999989</v>
      </c>
      <c r="T44" s="3">
        <f ca="1">SUM(T37:T43)</f>
        <v>1</v>
      </c>
      <c r="U44" s="3" t="e">
        <f ca="1">SUM(U37:U43)</f>
        <v>#DIV/0!</v>
      </c>
      <c r="W44" s="3" t="s">
        <v>32</v>
      </c>
      <c r="X44" s="3">
        <f t="shared" ca="1" si="32"/>
        <v>1</v>
      </c>
      <c r="Y44" s="3">
        <f ca="1">SUM(Y37:Y43)</f>
        <v>1</v>
      </c>
      <c r="Z44" s="3">
        <f ca="1">SUM(Z37:Z43)</f>
        <v>1</v>
      </c>
      <c r="AB44" s="3" t="s">
        <v>32</v>
      </c>
      <c r="AC44" s="3">
        <f ca="1">SUM(AC37:AC43)</f>
        <v>1</v>
      </c>
      <c r="AD44" s="3">
        <f ca="1">SUM(AD37:AD43)</f>
        <v>0.99999999999999978</v>
      </c>
      <c r="AE44" s="3">
        <f ca="1">SUM(AE37:AE43)</f>
        <v>0.99999999999999989</v>
      </c>
    </row>
    <row r="45" spans="1:31" x14ac:dyDescent="0.25">
      <c r="A45" s="41" t="s">
        <v>62</v>
      </c>
      <c r="B45" s="41"/>
      <c r="C45" s="41"/>
      <c r="D45" s="41"/>
      <c r="J45" t="s">
        <v>63</v>
      </c>
      <c r="K45" t="s">
        <v>64</v>
      </c>
    </row>
    <row r="46" spans="1:31" x14ac:dyDescent="0.25">
      <c r="A46" s="44">
        <f>0.5/100</f>
        <v>5.0000000000000001E-3</v>
      </c>
      <c r="B46" s="49"/>
      <c r="C46" s="49"/>
      <c r="D46" s="45"/>
      <c r="I46" t="str">
        <f t="shared" ref="I46:I52" si="39">I37</f>
        <v>N2</v>
      </c>
      <c r="J46">
        <f t="shared" ref="J46:J52" si="40">1-K46</f>
        <v>1</v>
      </c>
      <c r="K46">
        <v>0</v>
      </c>
    </row>
    <row r="47" spans="1:31" ht="15.75" thickBot="1" x14ac:dyDescent="0.3">
      <c r="A47" s="41" t="s">
        <v>65</v>
      </c>
      <c r="B47" s="41"/>
      <c r="C47" s="41"/>
      <c r="D47" s="41"/>
      <c r="I47" t="str">
        <f t="shared" si="39"/>
        <v>O2</v>
      </c>
      <c r="J47">
        <f t="shared" si="40"/>
        <v>1</v>
      </c>
      <c r="K47">
        <v>0</v>
      </c>
    </row>
    <row r="48" spans="1:31" x14ac:dyDescent="0.25">
      <c r="A48" s="44">
        <v>43</v>
      </c>
      <c r="B48" s="49"/>
      <c r="C48" s="49"/>
      <c r="D48" s="45"/>
      <c r="I48" t="str">
        <f t="shared" si="39"/>
        <v>C2H4</v>
      </c>
      <c r="J48">
        <f t="shared" si="40"/>
        <v>1</v>
      </c>
      <c r="K48">
        <v>0</v>
      </c>
      <c r="W48" s="35" t="s">
        <v>66</v>
      </c>
      <c r="X48" s="36"/>
      <c r="Y48" s="36"/>
      <c r="Z48" s="36"/>
      <c r="AA48" s="36"/>
      <c r="AB48" s="36"/>
      <c r="AC48" s="36"/>
      <c r="AD48" s="36"/>
      <c r="AE48" s="37"/>
    </row>
    <row r="49" spans="1:31" x14ac:dyDescent="0.25">
      <c r="A49" s="50" t="s">
        <v>67</v>
      </c>
      <c r="B49" s="50"/>
      <c r="C49" s="50"/>
      <c r="D49" s="50"/>
      <c r="I49" t="str">
        <f t="shared" si="39"/>
        <v>C2H4O</v>
      </c>
      <c r="J49">
        <f t="shared" si="40"/>
        <v>1.0000000000000009E-3</v>
      </c>
      <c r="K49">
        <v>0.999</v>
      </c>
      <c r="W49" s="38"/>
      <c r="X49" s="39"/>
      <c r="Y49" s="39"/>
      <c r="Z49" s="39"/>
      <c r="AA49" s="39"/>
      <c r="AB49" s="39"/>
      <c r="AC49" s="39"/>
      <c r="AD49" s="39"/>
      <c r="AE49" s="40"/>
    </row>
    <row r="50" spans="1:31" x14ac:dyDescent="0.25">
      <c r="A50" s="41" t="s">
        <v>68</v>
      </c>
      <c r="B50" s="41"/>
      <c r="C50" s="41"/>
      <c r="D50" s="41"/>
      <c r="I50" t="str">
        <f t="shared" si="39"/>
        <v>CH3CHO</v>
      </c>
      <c r="J50">
        <f t="shared" si="40"/>
        <v>0</v>
      </c>
      <c r="K50">
        <v>1</v>
      </c>
      <c r="W50" s="25" t="s">
        <v>40</v>
      </c>
      <c r="X50" s="26"/>
      <c r="Y50" s="26"/>
      <c r="Z50" s="27"/>
      <c r="AB50" s="28" t="s">
        <v>41</v>
      </c>
      <c r="AC50" s="26"/>
      <c r="AD50" s="26"/>
      <c r="AE50" s="29"/>
    </row>
    <row r="51" spans="1:31" x14ac:dyDescent="0.25">
      <c r="A51" s="44" t="s">
        <v>69</v>
      </c>
      <c r="B51" s="49"/>
      <c r="C51" s="49"/>
      <c r="D51" s="45"/>
      <c r="I51" t="str">
        <f t="shared" si="39"/>
        <v>H2O</v>
      </c>
      <c r="J51">
        <f t="shared" si="40"/>
        <v>0</v>
      </c>
      <c r="K51">
        <v>1</v>
      </c>
      <c r="W51" s="30" t="s">
        <v>8</v>
      </c>
      <c r="X51" s="31"/>
      <c r="Y51" s="31"/>
      <c r="Z51" s="32"/>
      <c r="AB51" s="33" t="s">
        <v>8</v>
      </c>
      <c r="AC51" s="31"/>
      <c r="AD51" s="31"/>
      <c r="AE51" s="34"/>
    </row>
    <row r="52" spans="1:31" x14ac:dyDescent="0.25">
      <c r="A52" s="50" t="s">
        <v>70</v>
      </c>
      <c r="B52" s="50"/>
      <c r="C52" s="50"/>
      <c r="D52" s="50"/>
      <c r="I52" t="str">
        <f t="shared" si="39"/>
        <v>CO2</v>
      </c>
      <c r="J52">
        <f t="shared" si="40"/>
        <v>1</v>
      </c>
      <c r="K52">
        <v>0</v>
      </c>
      <c r="W52" s="13"/>
      <c r="X52" s="1">
        <v>12</v>
      </c>
      <c r="Y52" s="1">
        <v>15</v>
      </c>
      <c r="Z52" s="1">
        <v>16</v>
      </c>
      <c r="AB52" s="3"/>
      <c r="AC52" s="1">
        <v>15</v>
      </c>
      <c r="AD52" s="1" t="s">
        <v>48</v>
      </c>
      <c r="AE52" s="14" t="s">
        <v>49</v>
      </c>
    </row>
    <row r="53" spans="1:31" x14ac:dyDescent="0.25">
      <c r="A53" s="41" t="s">
        <v>71</v>
      </c>
      <c r="B53" s="41"/>
      <c r="C53" s="41"/>
      <c r="D53" s="41"/>
      <c r="W53" s="13" t="s">
        <v>18</v>
      </c>
      <c r="X53" s="2"/>
      <c r="Y53" s="2">
        <f t="shared" ref="Y53:Y60" si="41">AC53</f>
        <v>0</v>
      </c>
      <c r="Z53" s="2">
        <v>0</v>
      </c>
      <c r="AB53" s="3" t="s">
        <v>18</v>
      </c>
      <c r="AC53" s="2">
        <f t="shared" ref="AC53:AC59" si="42">SUM(AD53:AE53)</f>
        <v>0</v>
      </c>
      <c r="AD53" s="2">
        <f t="shared" ref="AD53:AD59" si="43">$A$74*AE53</f>
        <v>0</v>
      </c>
      <c r="AE53" s="15">
        <v>0</v>
      </c>
    </row>
    <row r="54" spans="1:31" x14ac:dyDescent="0.25">
      <c r="A54" s="44" t="s">
        <v>72</v>
      </c>
      <c r="B54" s="49"/>
      <c r="C54" s="49"/>
      <c r="D54" s="45"/>
      <c r="W54" s="13" t="s">
        <v>22</v>
      </c>
      <c r="X54" s="2"/>
      <c r="Y54" s="2">
        <f t="shared" si="41"/>
        <v>0</v>
      </c>
      <c r="Z54" s="2">
        <v>0</v>
      </c>
      <c r="AB54" s="3" t="s">
        <v>22</v>
      </c>
      <c r="AC54" s="2">
        <f t="shared" si="42"/>
        <v>0</v>
      </c>
      <c r="AD54" s="2">
        <f t="shared" si="43"/>
        <v>0</v>
      </c>
      <c r="AE54" s="15">
        <v>0</v>
      </c>
    </row>
    <row r="55" spans="1:31" x14ac:dyDescent="0.25">
      <c r="A55" s="41" t="s">
        <v>73</v>
      </c>
      <c r="B55" s="41"/>
      <c r="C55" s="41"/>
      <c r="D55" s="41"/>
      <c r="W55" s="13" t="s">
        <v>24</v>
      </c>
      <c r="X55" s="2"/>
      <c r="Y55" s="2">
        <f t="shared" si="41"/>
        <v>0</v>
      </c>
      <c r="Z55" s="2">
        <v>0</v>
      </c>
      <c r="AB55" s="3" t="s">
        <v>24</v>
      </c>
      <c r="AC55" s="2">
        <f t="shared" si="42"/>
        <v>0</v>
      </c>
      <c r="AD55" s="2">
        <f t="shared" si="43"/>
        <v>0</v>
      </c>
      <c r="AE55" s="15">
        <v>0</v>
      </c>
    </row>
    <row r="56" spans="1:31" x14ac:dyDescent="0.25">
      <c r="A56" s="44" t="s">
        <v>74</v>
      </c>
      <c r="B56" s="49"/>
      <c r="C56" s="49"/>
      <c r="D56" s="45"/>
      <c r="W56" s="13" t="s">
        <v>27</v>
      </c>
      <c r="X56" s="2">
        <f>Y56</f>
        <v>675.54990579529203</v>
      </c>
      <c r="Y56" s="2">
        <f t="shared" si="41"/>
        <v>675.54990579529203</v>
      </c>
      <c r="Z56" s="2">
        <v>0</v>
      </c>
      <c r="AB56" s="3" t="s">
        <v>27</v>
      </c>
      <c r="AC56" s="2">
        <f t="shared" si="42"/>
        <v>675.54990579529203</v>
      </c>
      <c r="AD56" s="2">
        <f t="shared" si="43"/>
        <v>450.36660386352804</v>
      </c>
      <c r="AE56" s="15">
        <f>B6</f>
        <v>225.18330193176402</v>
      </c>
    </row>
    <row r="57" spans="1:31" x14ac:dyDescent="0.25">
      <c r="A57" s="41" t="s">
        <v>75</v>
      </c>
      <c r="B57" s="41"/>
      <c r="C57" s="41"/>
      <c r="D57" s="41"/>
      <c r="W57" s="13" t="s">
        <v>20</v>
      </c>
      <c r="X57" s="2"/>
      <c r="Y57" s="2">
        <f t="shared" si="41"/>
        <v>5.4479831112523556</v>
      </c>
      <c r="Z57" s="2">
        <f>X57-Y57</f>
        <v>-5.4479831112523556</v>
      </c>
      <c r="AB57" s="3" t="s">
        <v>20</v>
      </c>
      <c r="AC57" s="2">
        <f t="shared" si="42"/>
        <v>5.4479831112523556</v>
      </c>
      <c r="AD57" s="2">
        <f t="shared" si="43"/>
        <v>3.6319887408349039</v>
      </c>
      <c r="AE57" s="15">
        <f>D6</f>
        <v>1.8159943704174519</v>
      </c>
    </row>
    <row r="58" spans="1:31" x14ac:dyDescent="0.25">
      <c r="A58" s="44">
        <v>0.999</v>
      </c>
      <c r="B58" s="49"/>
      <c r="C58" s="49"/>
      <c r="D58" s="45"/>
      <c r="W58" s="13" t="s">
        <v>30</v>
      </c>
      <c r="X58" s="2"/>
      <c r="Y58" s="2">
        <f t="shared" si="41"/>
        <v>0</v>
      </c>
      <c r="Z58" s="2">
        <f>X58</f>
        <v>0</v>
      </c>
      <c r="AB58" s="3" t="s">
        <v>30</v>
      </c>
      <c r="AC58" s="2">
        <f t="shared" si="42"/>
        <v>0</v>
      </c>
      <c r="AD58" s="2">
        <f t="shared" si="43"/>
        <v>0</v>
      </c>
      <c r="AE58" s="15">
        <v>0</v>
      </c>
    </row>
    <row r="59" spans="1:31" x14ac:dyDescent="0.25">
      <c r="A59" s="50" t="s">
        <v>76</v>
      </c>
      <c r="B59" s="50"/>
      <c r="C59" s="50"/>
      <c r="D59" s="50"/>
      <c r="W59" s="13" t="s">
        <v>31</v>
      </c>
      <c r="X59" s="2"/>
      <c r="Y59" s="2">
        <f t="shared" si="41"/>
        <v>0</v>
      </c>
      <c r="Z59" s="2">
        <v>0</v>
      </c>
      <c r="AB59" s="3" t="s">
        <v>31</v>
      </c>
      <c r="AC59" s="2">
        <f t="shared" si="42"/>
        <v>0</v>
      </c>
      <c r="AD59" s="2">
        <f t="shared" si="43"/>
        <v>0</v>
      </c>
      <c r="AE59" s="15">
        <v>0</v>
      </c>
    </row>
    <row r="60" spans="1:31" x14ac:dyDescent="0.25">
      <c r="A60" s="42" t="s">
        <v>77</v>
      </c>
      <c r="B60" s="47"/>
      <c r="C60" s="42" t="s">
        <v>78</v>
      </c>
      <c r="D60" s="47"/>
      <c r="W60" s="13" t="s">
        <v>32</v>
      </c>
      <c r="X60" s="3"/>
      <c r="Y60" s="3">
        <f t="shared" si="41"/>
        <v>680.9978889065444</v>
      </c>
      <c r="Z60" s="3">
        <f>SUM(Z53:Z59)</f>
        <v>-5.4479831112523556</v>
      </c>
      <c r="AB60" s="3" t="s">
        <v>32</v>
      </c>
      <c r="AC60" s="3">
        <f>SUM(AC53:AC59)</f>
        <v>680.9978889065444</v>
      </c>
      <c r="AD60" s="3">
        <f>SUM(AD53:AD59)</f>
        <v>453.99859260436295</v>
      </c>
      <c r="AE60" s="16">
        <f>SUM(AE53:AE59)</f>
        <v>226.99929630218148</v>
      </c>
    </row>
    <row r="61" spans="1:31" x14ac:dyDescent="0.25">
      <c r="A61" s="44" t="s">
        <v>19</v>
      </c>
      <c r="B61" s="45"/>
      <c r="C61" s="44">
        <v>1</v>
      </c>
      <c r="D61" s="45"/>
      <c r="W61" s="30" t="s">
        <v>33</v>
      </c>
      <c r="X61" s="31"/>
      <c r="Y61" s="31"/>
      <c r="Z61" s="32"/>
      <c r="AB61" s="33" t="s">
        <v>33</v>
      </c>
      <c r="AC61" s="31"/>
      <c r="AD61" s="31"/>
      <c r="AE61" s="34"/>
    </row>
    <row r="62" spans="1:31" x14ac:dyDescent="0.25">
      <c r="A62" s="42" t="s">
        <v>71</v>
      </c>
      <c r="B62" s="47"/>
      <c r="C62" s="42" t="s">
        <v>78</v>
      </c>
      <c r="D62" s="47"/>
      <c r="W62" s="13"/>
      <c r="X62" s="1">
        <v>15</v>
      </c>
      <c r="Y62" s="1" t="s">
        <v>48</v>
      </c>
      <c r="Z62" s="1">
        <v>16</v>
      </c>
      <c r="AB62" s="3"/>
      <c r="AC62" s="1">
        <v>15</v>
      </c>
      <c r="AD62" s="1" t="s">
        <v>48</v>
      </c>
      <c r="AE62" s="14" t="s">
        <v>49</v>
      </c>
    </row>
    <row r="63" spans="1:31" x14ac:dyDescent="0.25">
      <c r="A63" s="44" t="s">
        <v>79</v>
      </c>
      <c r="B63" s="45"/>
      <c r="C63" s="44">
        <v>0.999</v>
      </c>
      <c r="D63" s="45"/>
      <c r="W63" s="13" t="s">
        <v>18</v>
      </c>
      <c r="X63" s="2">
        <f t="shared" ref="X63:X70" ca="1" si="44">AC63</f>
        <v>0</v>
      </c>
      <c r="Y63" s="2"/>
      <c r="Z63" s="2"/>
      <c r="AB63" s="3" t="s">
        <v>18</v>
      </c>
      <c r="AC63" s="2">
        <f t="shared" ref="AC63:AE65" ca="1" si="45">AC53/AC$34</f>
        <v>0</v>
      </c>
      <c r="AD63" s="2">
        <f t="shared" ca="1" si="45"/>
        <v>0</v>
      </c>
      <c r="AE63" s="15">
        <f t="shared" ca="1" si="45"/>
        <v>0</v>
      </c>
    </row>
    <row r="64" spans="1:31" x14ac:dyDescent="0.25">
      <c r="A64" s="41" t="s">
        <v>80</v>
      </c>
      <c r="B64" s="41"/>
      <c r="C64" s="41"/>
      <c r="D64" s="41"/>
      <c r="W64" s="13" t="s">
        <v>22</v>
      </c>
      <c r="X64" s="2">
        <f t="shared" ca="1" si="44"/>
        <v>0</v>
      </c>
      <c r="Y64" s="2"/>
      <c r="Z64" s="2"/>
      <c r="AB64" s="3" t="s">
        <v>22</v>
      </c>
      <c r="AC64" s="2">
        <f t="shared" ca="1" si="45"/>
        <v>0</v>
      </c>
      <c r="AD64" s="2">
        <f t="shared" ca="1" si="45"/>
        <v>0</v>
      </c>
      <c r="AE64" s="15">
        <f t="shared" ca="1" si="45"/>
        <v>0</v>
      </c>
    </row>
    <row r="65" spans="1:31" x14ac:dyDescent="0.25">
      <c r="A65" s="44">
        <v>2</v>
      </c>
      <c r="B65" s="49"/>
      <c r="C65" s="49"/>
      <c r="D65" s="45"/>
      <c r="W65" s="13" t="s">
        <v>24</v>
      </c>
      <c r="X65" s="2">
        <f t="shared" ca="1" si="44"/>
        <v>0</v>
      </c>
      <c r="Y65" s="2"/>
      <c r="Z65" s="2"/>
      <c r="AB65" s="3" t="s">
        <v>24</v>
      </c>
      <c r="AC65" s="2">
        <f t="shared" ca="1" si="45"/>
        <v>0</v>
      </c>
      <c r="AD65" s="2">
        <f t="shared" ca="1" si="45"/>
        <v>0</v>
      </c>
      <c r="AE65" s="15">
        <f t="shared" ca="1" si="45"/>
        <v>0</v>
      </c>
    </row>
    <row r="66" spans="1:31" x14ac:dyDescent="0.25">
      <c r="A66" s="50" t="s">
        <v>81</v>
      </c>
      <c r="B66" s="50"/>
      <c r="C66" s="50"/>
      <c r="D66" s="50"/>
      <c r="W66" s="13" t="s">
        <v>27</v>
      </c>
      <c r="X66" s="2">
        <f t="shared" ca="1" si="44"/>
        <v>1.5966980438520277</v>
      </c>
      <c r="Y66" s="2"/>
      <c r="Z66" s="2"/>
      <c r="AB66" s="3" t="s">
        <v>27</v>
      </c>
      <c r="AC66" s="2">
        <f ca="1">AC56/AC$34</f>
        <v>1.5966980438520275</v>
      </c>
      <c r="AD66" s="2">
        <f>AD56/AD$60</f>
        <v>0.99199999999999999</v>
      </c>
      <c r="AE66" s="15">
        <f>AE56/AE$60</f>
        <v>0.99199999999999999</v>
      </c>
    </row>
    <row r="67" spans="1:31" x14ac:dyDescent="0.25">
      <c r="A67" s="42" t="s">
        <v>77</v>
      </c>
      <c r="B67" s="47"/>
      <c r="C67" s="42" t="s">
        <v>78</v>
      </c>
      <c r="D67" s="47"/>
      <c r="W67" s="13" t="s">
        <v>20</v>
      </c>
      <c r="X67" s="2">
        <f t="shared" ca="1" si="44"/>
        <v>1.2876597127838934E-2</v>
      </c>
      <c r="Y67" s="2"/>
      <c r="Z67" s="2"/>
      <c r="AB67" s="3" t="s">
        <v>20</v>
      </c>
      <c r="AC67" s="2">
        <f ca="1">AC57/AC$34</f>
        <v>1.2876597127838932E-2</v>
      </c>
      <c r="AD67" s="2">
        <f>AD57/AD$60</f>
        <v>8.0000000000000002E-3</v>
      </c>
      <c r="AE67" s="15">
        <f>AE57/AE$60</f>
        <v>8.0000000000000002E-3</v>
      </c>
    </row>
    <row r="68" spans="1:31" x14ac:dyDescent="0.25">
      <c r="A68" s="43" t="s">
        <v>82</v>
      </c>
      <c r="B68" s="43"/>
      <c r="C68" s="49">
        <v>1</v>
      </c>
      <c r="D68" s="45"/>
      <c r="W68" s="13" t="s">
        <v>30</v>
      </c>
      <c r="X68" s="2">
        <f t="shared" ca="1" si="44"/>
        <v>0</v>
      </c>
      <c r="Y68" s="2"/>
      <c r="Z68" s="2"/>
      <c r="AB68" s="3" t="s">
        <v>30</v>
      </c>
      <c r="AC68" s="2">
        <f ca="1">AC58/AC$34</f>
        <v>0</v>
      </c>
      <c r="AD68" s="2">
        <f ca="1">AD58/AD$34</f>
        <v>0</v>
      </c>
      <c r="AE68" s="15">
        <f ca="1">AE58/AE$34</f>
        <v>0</v>
      </c>
    </row>
    <row r="69" spans="1:31" x14ac:dyDescent="0.25">
      <c r="A69" s="42" t="s">
        <v>71</v>
      </c>
      <c r="B69" s="47"/>
      <c r="C69" s="42" t="s">
        <v>78</v>
      </c>
      <c r="D69" s="47"/>
      <c r="W69" s="13" t="s">
        <v>31</v>
      </c>
      <c r="X69" s="2">
        <f t="shared" ca="1" si="44"/>
        <v>0</v>
      </c>
      <c r="Y69" s="2"/>
      <c r="Z69" s="2"/>
      <c r="AB69" s="3" t="s">
        <v>31</v>
      </c>
      <c r="AC69" s="2">
        <f ca="1">AC59/AC$34</f>
        <v>0</v>
      </c>
      <c r="AD69" s="2">
        <f ca="1">AD59/AD$34</f>
        <v>0</v>
      </c>
      <c r="AE69" s="15">
        <f ca="1">AE59/AE$34</f>
        <v>0</v>
      </c>
    </row>
    <row r="70" spans="1:31" x14ac:dyDescent="0.25">
      <c r="A70" s="43" t="s">
        <v>19</v>
      </c>
      <c r="B70" s="43"/>
      <c r="C70" s="49">
        <v>1</v>
      </c>
      <c r="D70" s="45"/>
      <c r="W70" s="17" t="s">
        <v>32</v>
      </c>
      <c r="X70" s="18">
        <f t="shared" ca="1" si="44"/>
        <v>1.6095746409798666</v>
      </c>
      <c r="Y70" s="18"/>
      <c r="Z70" s="18"/>
      <c r="AA70" s="19"/>
      <c r="AB70" s="18" t="s">
        <v>32</v>
      </c>
      <c r="AC70" s="18">
        <f ca="1">SUM(AC63:AC69)</f>
        <v>1.6095746409798664</v>
      </c>
      <c r="AD70" s="18">
        <f ca="1">SUM(AD63:AD69)</f>
        <v>1</v>
      </c>
      <c r="AE70" s="20">
        <f ca="1">SUM(AE63:AE69)</f>
        <v>1</v>
      </c>
    </row>
    <row r="71" spans="1:31" x14ac:dyDescent="0.25">
      <c r="A71" s="41" t="s">
        <v>83</v>
      </c>
      <c r="B71" s="41"/>
      <c r="C71" s="41"/>
      <c r="D71" s="41"/>
    </row>
    <row r="72" spans="1:31" x14ac:dyDescent="0.25">
      <c r="A72" s="44">
        <f>C7</f>
        <v>8.0000000000000002E-3</v>
      </c>
      <c r="B72" s="49"/>
      <c r="C72" s="49"/>
      <c r="D72" s="45"/>
    </row>
    <row r="73" spans="1:31" x14ac:dyDescent="0.25">
      <c r="A73" s="41" t="s">
        <v>84</v>
      </c>
      <c r="B73" s="41"/>
      <c r="C73" s="41"/>
      <c r="D73" s="41"/>
    </row>
    <row r="74" spans="1:31" x14ac:dyDescent="0.25">
      <c r="A74" s="44">
        <v>2</v>
      </c>
      <c r="B74" s="49"/>
      <c r="C74" s="49"/>
      <c r="D74" s="45"/>
    </row>
    <row r="75" spans="1:31" x14ac:dyDescent="0.25">
      <c r="A75" s="41" t="s">
        <v>87</v>
      </c>
      <c r="B75" s="41"/>
      <c r="C75" s="41"/>
      <c r="D75" s="41"/>
    </row>
    <row r="76" spans="1:31" x14ac:dyDescent="0.25">
      <c r="A76" s="44">
        <v>1</v>
      </c>
      <c r="B76" s="49"/>
      <c r="C76" s="49"/>
      <c r="D76" s="45"/>
    </row>
  </sheetData>
  <mergeCells count="147">
    <mergeCell ref="F8:G8"/>
    <mergeCell ref="A75:D75"/>
    <mergeCell ref="A76:D76"/>
    <mergeCell ref="F13:H13"/>
    <mergeCell ref="F2:H2"/>
    <mergeCell ref="F3:G3"/>
    <mergeCell ref="F16:G16"/>
    <mergeCell ref="F17:G17"/>
    <mergeCell ref="F7:G7"/>
    <mergeCell ref="F6:G6"/>
    <mergeCell ref="F14:G14"/>
    <mergeCell ref="F5:G5"/>
    <mergeCell ref="F4:G4"/>
    <mergeCell ref="F1:H1"/>
    <mergeCell ref="A73:D73"/>
    <mergeCell ref="C21:D21"/>
    <mergeCell ref="A22:B22"/>
    <mergeCell ref="C22:D22"/>
    <mergeCell ref="F15:G15"/>
    <mergeCell ref="C15:D15"/>
    <mergeCell ref="A16:D16"/>
    <mergeCell ref="A17:D17"/>
    <mergeCell ref="A18:B18"/>
    <mergeCell ref="C18:D18"/>
    <mergeCell ref="A19:B19"/>
    <mergeCell ref="C19:D19"/>
    <mergeCell ref="A64:D64"/>
    <mergeCell ref="A65:D65"/>
    <mergeCell ref="A61:B61"/>
    <mergeCell ref="C61:D61"/>
    <mergeCell ref="A74:D74"/>
    <mergeCell ref="E26:F26"/>
    <mergeCell ref="E27:F27"/>
    <mergeCell ref="E24:F24"/>
    <mergeCell ref="E25:F25"/>
    <mergeCell ref="A71:D71"/>
    <mergeCell ref="A72:D72"/>
    <mergeCell ref="A60:B60"/>
    <mergeCell ref="C60:D60"/>
    <mergeCell ref="A62:B62"/>
    <mergeCell ref="C62:D62"/>
    <mergeCell ref="A67:B67"/>
    <mergeCell ref="C67:D67"/>
    <mergeCell ref="A69:B69"/>
    <mergeCell ref="C69:D69"/>
    <mergeCell ref="A66:D66"/>
    <mergeCell ref="A68:B68"/>
    <mergeCell ref="C68:D68"/>
    <mergeCell ref="A70:B70"/>
    <mergeCell ref="C70:D70"/>
    <mergeCell ref="A24:D24"/>
    <mergeCell ref="A25:D25"/>
    <mergeCell ref="A44:D44"/>
    <mergeCell ref="A26:D26"/>
    <mergeCell ref="AB35:AE35"/>
    <mergeCell ref="I35:L35"/>
    <mergeCell ref="X13:AC13"/>
    <mergeCell ref="X2:AC2"/>
    <mergeCell ref="AB24:AE24"/>
    <mergeCell ref="I24:L24"/>
    <mergeCell ref="I25:L25"/>
    <mergeCell ref="Q13:V13"/>
    <mergeCell ref="X3:AC3"/>
    <mergeCell ref="J2:O2"/>
    <mergeCell ref="J3:O3"/>
    <mergeCell ref="J13:O13"/>
    <mergeCell ref="Q3:V3"/>
    <mergeCell ref="W25:Z25"/>
    <mergeCell ref="W35:Z35"/>
    <mergeCell ref="W24:Z24"/>
    <mergeCell ref="Q2:V2"/>
    <mergeCell ref="AB25:AE25"/>
    <mergeCell ref="N24:U24"/>
    <mergeCell ref="N25:U25"/>
    <mergeCell ref="N35:U35"/>
    <mergeCell ref="A63:B63"/>
    <mergeCell ref="C63:D63"/>
    <mergeCell ref="A57:D57"/>
    <mergeCell ref="A58:D58"/>
    <mergeCell ref="A59:D59"/>
    <mergeCell ref="A51:D51"/>
    <mergeCell ref="A52:D52"/>
    <mergeCell ref="A53:D53"/>
    <mergeCell ref="A54:D54"/>
    <mergeCell ref="A55:D55"/>
    <mergeCell ref="A56:D56"/>
    <mergeCell ref="A20:D20"/>
    <mergeCell ref="A5:D5"/>
    <mergeCell ref="A7:B7"/>
    <mergeCell ref="C7:D7"/>
    <mergeCell ref="A14:B14"/>
    <mergeCell ref="A45:D45"/>
    <mergeCell ref="A46:D46"/>
    <mergeCell ref="A47:D47"/>
    <mergeCell ref="A38:D38"/>
    <mergeCell ref="A30:D30"/>
    <mergeCell ref="A31:D31"/>
    <mergeCell ref="A32:D32"/>
    <mergeCell ref="A33:D33"/>
    <mergeCell ref="A34:D34"/>
    <mergeCell ref="A35:D35"/>
    <mergeCell ref="A36:D36"/>
    <mergeCell ref="A37:D37"/>
    <mergeCell ref="C14:D14"/>
    <mergeCell ref="A15:B15"/>
    <mergeCell ref="A21:B21"/>
    <mergeCell ref="A27:D27"/>
    <mergeCell ref="A23:B23"/>
    <mergeCell ref="C23:D23"/>
    <mergeCell ref="E28:F28"/>
    <mergeCell ref="E29:F29"/>
    <mergeCell ref="E30:F30"/>
    <mergeCell ref="A50:D50"/>
    <mergeCell ref="A39:D39"/>
    <mergeCell ref="A40:D40"/>
    <mergeCell ref="A41:D41"/>
    <mergeCell ref="A42:D42"/>
    <mergeCell ref="A43:D43"/>
    <mergeCell ref="E31:F31"/>
    <mergeCell ref="A28:D28"/>
    <mergeCell ref="A29:D29"/>
    <mergeCell ref="A48:D48"/>
    <mergeCell ref="A49:D49"/>
    <mergeCell ref="W50:Z50"/>
    <mergeCell ref="AB50:AE50"/>
    <mergeCell ref="W51:Z51"/>
    <mergeCell ref="AB51:AE51"/>
    <mergeCell ref="W61:Z61"/>
    <mergeCell ref="AB61:AE61"/>
    <mergeCell ref="W48:AE49"/>
    <mergeCell ref="A1:D1"/>
    <mergeCell ref="A2:D2"/>
    <mergeCell ref="A3:B3"/>
    <mergeCell ref="C3:D3"/>
    <mergeCell ref="A13:B13"/>
    <mergeCell ref="C13:D13"/>
    <mergeCell ref="A9:B9"/>
    <mergeCell ref="C9:D9"/>
    <mergeCell ref="A10:B10"/>
    <mergeCell ref="C10:D10"/>
    <mergeCell ref="A11:B11"/>
    <mergeCell ref="C11:D11"/>
    <mergeCell ref="A4:B4"/>
    <mergeCell ref="C4:D4"/>
    <mergeCell ref="A12:B12"/>
    <mergeCell ref="C12:D12"/>
    <mergeCell ref="A8:D8"/>
  </mergeCells>
  <conditionalFormatting sqref="I13:XFD13 A1:XFD1 A2:E12 J2:XFD12 F3:I3 A13:F13 H4:I5 H14:XFD14 J16:XFD17 F16 H16:I16 F17:I17 I10:I12 A16:E19 I18:XFD19 F8:H8 I7:I8 F4:F7 H6:H7 E15:XFD15 E14:F14 A14:D15 A20:XFD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ignoredErrors>
    <ignoredError sqref="K22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8E91-FB90-4622-A932-8F74C86F94DA}">
  <dimension ref="A1"/>
  <sheetViews>
    <sheetView topLeftCell="C13" workbookViewId="0">
      <selection activeCell="I60" sqref="I6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4042-751A-4545-A655-2D8FF027CD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52A1-2DEB-40C2-BA07-D683AEA51F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</vt:lpstr>
      <vt:lpstr>Planta</vt:lpstr>
      <vt:lpstr>BM Global</vt:lpstr>
      <vt:lpstr>Teste - reação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Isabelli Krul Vieira</dc:creator>
  <cp:keywords/>
  <dc:description/>
  <cp:lastModifiedBy>Luiz Dembicki</cp:lastModifiedBy>
  <cp:revision/>
  <dcterms:created xsi:type="dcterms:W3CDTF">2023-03-26T06:07:11Z</dcterms:created>
  <dcterms:modified xsi:type="dcterms:W3CDTF">2023-04-27T01:32:47Z</dcterms:modified>
  <cp:category/>
  <cp:contentStatus/>
</cp:coreProperties>
</file>