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ca2dfc1885a742a/Documents/2021-2/Engenharia Econômica/Trabalho Final - Luiz Mario (170121941)/"/>
    </mc:Choice>
  </mc:AlternateContent>
  <xr:revisionPtr revIDLastSave="1481" documentId="8_{C024228A-D7A9-4B3F-B120-D24DBEA2ADAC}" xr6:coauthVersionLast="47" xr6:coauthVersionMax="47" xr10:uidLastSave="{72CFBC01-3988-4AD3-868F-B6EB35111B9D}"/>
  <bookViews>
    <workbookView xWindow="-108" yWindow="-108" windowWidth="23256" windowHeight="12456" xr2:uid="{62CBEAF8-8027-4242-9BC2-1D261B695FD8}"/>
  </bookViews>
  <sheets>
    <sheet name="Questão 1 - Fluxo de Caixa" sheetId="1" r:id="rId1"/>
    <sheet name="Questão 2 - Opções Reais" sheetId="8" r:id="rId2"/>
  </sheets>
  <calcPr calcId="191029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5" i="8" l="1"/>
  <c r="B5" i="8"/>
  <c r="I3" i="8"/>
  <c r="I2" i="8"/>
  <c r="B7" i="8"/>
  <c r="B9" i="8" s="1"/>
  <c r="I40" i="1"/>
  <c r="N31" i="1"/>
  <c r="N32" i="1" s="1"/>
  <c r="N33" i="1" s="1"/>
  <c r="N34" i="1" s="1"/>
  <c r="N35" i="1" s="1"/>
  <c r="N36" i="1" s="1"/>
  <c r="N37" i="1" s="1"/>
  <c r="N38" i="1" s="1"/>
  <c r="N39" i="1" s="1"/>
  <c r="N40" i="1" s="1"/>
  <c r="N41" i="1" s="1"/>
  <c r="N42" i="1" s="1"/>
  <c r="N43" i="1" s="1"/>
  <c r="N44" i="1" s="1"/>
  <c r="N45" i="1" s="1"/>
  <c r="N46" i="1" s="1"/>
  <c r="N47" i="1" s="1"/>
  <c r="N48" i="1" s="1"/>
  <c r="N49" i="1" s="1"/>
  <c r="N50" i="1" s="1"/>
  <c r="P30" i="1"/>
  <c r="P31" i="1" s="1"/>
  <c r="P32" i="1" s="1"/>
  <c r="P33" i="1" s="1"/>
  <c r="P34" i="1" s="1"/>
  <c r="P35" i="1" s="1"/>
  <c r="P36" i="1" s="1"/>
  <c r="P37" i="1" s="1"/>
  <c r="P38" i="1" s="1"/>
  <c r="P39" i="1" s="1"/>
  <c r="P40" i="1" s="1"/>
  <c r="P41" i="1" s="1"/>
  <c r="P42" i="1" s="1"/>
  <c r="P43" i="1" s="1"/>
  <c r="P44" i="1" s="1"/>
  <c r="P45" i="1" s="1"/>
  <c r="P46" i="1" s="1"/>
  <c r="P47" i="1" s="1"/>
  <c r="P48" i="1" s="1"/>
  <c r="P49" i="1" s="1"/>
  <c r="P50" i="1" s="1"/>
  <c r="O30" i="1"/>
  <c r="N30" i="1"/>
  <c r="D15" i="1"/>
  <c r="E15" i="1"/>
  <c r="F15" i="1"/>
  <c r="G15" i="1"/>
  <c r="H15" i="1"/>
  <c r="I15" i="1"/>
  <c r="J15" i="1"/>
  <c r="K15" i="1"/>
  <c r="L15" i="1"/>
  <c r="M15" i="1"/>
  <c r="N15" i="1"/>
  <c r="O15" i="1"/>
  <c r="P15" i="1"/>
  <c r="Q15" i="1"/>
  <c r="R15" i="1"/>
  <c r="S15" i="1"/>
  <c r="T15" i="1"/>
  <c r="U15" i="1"/>
  <c r="V15" i="1"/>
  <c r="C15" i="1"/>
  <c r="B23" i="1"/>
  <c r="B20" i="1"/>
  <c r="B3" i="1"/>
  <c r="J33" i="1"/>
  <c r="L31" i="1"/>
  <c r="I39" i="1" s="1"/>
  <c r="K30" i="1"/>
  <c r="L30" i="1"/>
  <c r="J30" i="1"/>
  <c r="J31" i="1"/>
  <c r="J32" i="1" s="1"/>
  <c r="J34" i="1" s="1"/>
  <c r="J35" i="1" s="1"/>
  <c r="J36" i="1" s="1"/>
  <c r="J37" i="1" s="1"/>
  <c r="J38" i="1" s="1"/>
  <c r="J39" i="1" s="1"/>
  <c r="J40" i="1" s="1"/>
  <c r="J41" i="1" s="1"/>
  <c r="J42" i="1" s="1"/>
  <c r="J43" i="1" s="1"/>
  <c r="J44" i="1" s="1"/>
  <c r="J45" i="1" s="1"/>
  <c r="J46" i="1" s="1"/>
  <c r="J47" i="1" s="1"/>
  <c r="J48" i="1" s="1"/>
  <c r="J49" i="1" s="1"/>
  <c r="J50" i="1" s="1"/>
  <c r="V22" i="1"/>
  <c r="U22" i="1"/>
  <c r="T22" i="1"/>
  <c r="S22" i="1"/>
  <c r="R22" i="1"/>
  <c r="Q22" i="1"/>
  <c r="P22" i="1"/>
  <c r="O22" i="1"/>
  <c r="N22" i="1"/>
  <c r="M22" i="1"/>
  <c r="L22" i="1"/>
  <c r="K22" i="1"/>
  <c r="J22" i="1"/>
  <c r="I22" i="1"/>
  <c r="H22" i="1"/>
  <c r="G22" i="1"/>
  <c r="F22" i="1"/>
  <c r="E22" i="1"/>
  <c r="D22" i="1"/>
  <c r="C22" i="1"/>
  <c r="B11" i="8" l="1"/>
  <c r="B8" i="8"/>
  <c r="L32" i="1"/>
  <c r="L33" i="1" s="1"/>
  <c r="L34" i="1" s="1"/>
  <c r="L35" i="1" s="1"/>
  <c r="L36" i="1" s="1"/>
  <c r="L37" i="1" s="1"/>
  <c r="L38" i="1" s="1"/>
  <c r="L39" i="1" s="1"/>
  <c r="L40" i="1" s="1"/>
  <c r="L41" i="1" s="1"/>
  <c r="L42" i="1" s="1"/>
  <c r="L43" i="1" s="1"/>
  <c r="L44" i="1" s="1"/>
  <c r="L45" i="1" s="1"/>
  <c r="L46" i="1" s="1"/>
  <c r="L47" i="1" s="1"/>
  <c r="L48" i="1" s="1"/>
  <c r="L49" i="1" s="1"/>
  <c r="L50" i="1" s="1"/>
  <c r="B12" i="8" l="1"/>
  <c r="B13" i="8" s="1"/>
  <c r="B14" i="8" s="1"/>
  <c r="B10" i="8"/>
  <c r="I32" i="1"/>
  <c r="W20" i="1" l="1"/>
  <c r="C19" i="1"/>
  <c r="B30" i="1"/>
  <c r="D31" i="1" s="1"/>
  <c r="B4" i="1"/>
  <c r="C37" i="1" s="1"/>
  <c r="A31" i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D19" i="1"/>
  <c r="E19" i="1"/>
  <c r="F19" i="1"/>
  <c r="G19" i="1"/>
  <c r="H19" i="1"/>
  <c r="I19" i="1"/>
  <c r="J19" i="1"/>
  <c r="K19" i="1"/>
  <c r="L19" i="1"/>
  <c r="M19" i="1"/>
  <c r="N19" i="1"/>
  <c r="O19" i="1"/>
  <c r="P19" i="1"/>
  <c r="Q19" i="1"/>
  <c r="R19" i="1"/>
  <c r="S19" i="1"/>
  <c r="T19" i="1"/>
  <c r="U19" i="1"/>
  <c r="V19" i="1"/>
  <c r="D16" i="1"/>
  <c r="E16" i="1"/>
  <c r="F16" i="1"/>
  <c r="G16" i="1"/>
  <c r="H16" i="1"/>
  <c r="I16" i="1"/>
  <c r="J16" i="1"/>
  <c r="K16" i="1"/>
  <c r="L16" i="1"/>
  <c r="M16" i="1"/>
  <c r="N16" i="1"/>
  <c r="O16" i="1"/>
  <c r="P16" i="1"/>
  <c r="Q16" i="1"/>
  <c r="R16" i="1"/>
  <c r="S16" i="1"/>
  <c r="T16" i="1"/>
  <c r="U16" i="1"/>
  <c r="V16" i="1"/>
  <c r="C16" i="1"/>
  <c r="C42" i="1" l="1"/>
  <c r="C41" i="1"/>
  <c r="C40" i="1"/>
  <c r="C36" i="1"/>
  <c r="C35" i="1"/>
  <c r="C49" i="1"/>
  <c r="C48" i="1"/>
  <c r="C34" i="1"/>
  <c r="C47" i="1"/>
  <c r="C33" i="1"/>
  <c r="C46" i="1"/>
  <c r="C50" i="1"/>
  <c r="C32" i="1"/>
  <c r="C45" i="1"/>
  <c r="C39" i="1"/>
  <c r="C31" i="1"/>
  <c r="C44" i="1"/>
  <c r="C38" i="1"/>
  <c r="C43" i="1"/>
  <c r="F8" i="1"/>
  <c r="G8" i="1" s="1"/>
  <c r="H8" i="1" s="1"/>
  <c r="I8" i="1" s="1"/>
  <c r="J8" i="1" s="1"/>
  <c r="K8" i="1" s="1"/>
  <c r="L8" i="1" s="1"/>
  <c r="M8" i="1" s="1"/>
  <c r="N8" i="1" s="1"/>
  <c r="O8" i="1" s="1"/>
  <c r="P8" i="1" s="1"/>
  <c r="Q8" i="1" s="1"/>
  <c r="R8" i="1" s="1"/>
  <c r="S8" i="1" s="1"/>
  <c r="T8" i="1" s="1"/>
  <c r="U8" i="1" s="1"/>
  <c r="V8" i="1" s="1"/>
  <c r="E8" i="1"/>
  <c r="D8" i="1"/>
  <c r="V9" i="1"/>
  <c r="D9" i="1"/>
  <c r="D17" i="1" s="1"/>
  <c r="E9" i="1"/>
  <c r="F9" i="1"/>
  <c r="F17" i="1" s="1"/>
  <c r="G9" i="1"/>
  <c r="H9" i="1"/>
  <c r="H17" i="1" s="1"/>
  <c r="I9" i="1"/>
  <c r="J9" i="1"/>
  <c r="J17" i="1" s="1"/>
  <c r="K9" i="1"/>
  <c r="K17" i="1" s="1"/>
  <c r="K18" i="1" s="1"/>
  <c r="K20" i="1" s="1"/>
  <c r="K23" i="1" s="1"/>
  <c r="L9" i="1"/>
  <c r="L17" i="1" s="1"/>
  <c r="M9" i="1"/>
  <c r="M17" i="1" s="1"/>
  <c r="M18" i="1" s="1"/>
  <c r="M20" i="1" s="1"/>
  <c r="M23" i="1" s="1"/>
  <c r="N9" i="1"/>
  <c r="N17" i="1" s="1"/>
  <c r="N18" i="1" s="1"/>
  <c r="N20" i="1" s="1"/>
  <c r="N23" i="1" s="1"/>
  <c r="O9" i="1"/>
  <c r="O17" i="1" s="1"/>
  <c r="O18" i="1" s="1"/>
  <c r="O20" i="1" s="1"/>
  <c r="O23" i="1" s="1"/>
  <c r="P9" i="1"/>
  <c r="P17" i="1" s="1"/>
  <c r="Q9" i="1"/>
  <c r="Q17" i="1" s="1"/>
  <c r="Q18" i="1" s="1"/>
  <c r="Q20" i="1" s="1"/>
  <c r="Q23" i="1" s="1"/>
  <c r="R9" i="1"/>
  <c r="R17" i="1" s="1"/>
  <c r="S9" i="1"/>
  <c r="S17" i="1" s="1"/>
  <c r="S18" i="1" s="1"/>
  <c r="S20" i="1" s="1"/>
  <c r="S23" i="1" s="1"/>
  <c r="T9" i="1"/>
  <c r="T17" i="1" s="1"/>
  <c r="T18" i="1" s="1"/>
  <c r="T20" i="1" s="1"/>
  <c r="T23" i="1" s="1"/>
  <c r="U9" i="1"/>
  <c r="U17" i="1" s="1"/>
  <c r="U18" i="1" s="1"/>
  <c r="U20" i="1" s="1"/>
  <c r="U23" i="1" s="1"/>
  <c r="C9" i="1"/>
  <c r="G17" i="1" l="1"/>
  <c r="G18" i="1" s="1"/>
  <c r="G20" i="1" s="1"/>
  <c r="G23" i="1" s="1"/>
  <c r="C17" i="1"/>
  <c r="V17" i="1"/>
  <c r="V18" i="1" s="1"/>
  <c r="V20" i="1" s="1"/>
  <c r="V23" i="1" s="1"/>
  <c r="E17" i="1"/>
  <c r="E18" i="1" s="1"/>
  <c r="E20" i="1" s="1"/>
  <c r="E23" i="1" s="1"/>
  <c r="I17" i="1"/>
  <c r="I18" i="1" s="1"/>
  <c r="I20" i="1" s="1"/>
  <c r="I23" i="1" s="1"/>
  <c r="D18" i="1"/>
  <c r="D20" i="1" s="1"/>
  <c r="D23" i="1" s="1"/>
  <c r="P18" i="1"/>
  <c r="P20" i="1"/>
  <c r="P23" i="1" s="1"/>
  <c r="L18" i="1"/>
  <c r="L20" i="1" s="1"/>
  <c r="L23" i="1" s="1"/>
  <c r="R18" i="1"/>
  <c r="R20" i="1" s="1"/>
  <c r="R23" i="1" s="1"/>
  <c r="H18" i="1"/>
  <c r="H20" i="1" s="1"/>
  <c r="H23" i="1" s="1"/>
  <c r="J18" i="1"/>
  <c r="J20" i="1" s="1"/>
  <c r="J23" i="1" s="1"/>
  <c r="C18" i="1"/>
  <c r="C20" i="1" s="1"/>
  <c r="F18" i="1"/>
  <c r="F20" i="1" s="1"/>
  <c r="F23" i="1" s="1"/>
  <c r="B31" i="1"/>
  <c r="E31" i="1"/>
  <c r="I33" i="1"/>
  <c r="I37" i="1" l="1"/>
  <c r="I35" i="1"/>
  <c r="C23" i="1"/>
  <c r="I36" i="1" s="1"/>
  <c r="B32" i="1"/>
  <c r="D32" i="1"/>
  <c r="E32" i="1" s="1"/>
  <c r="I38" i="1" l="1"/>
  <c r="D33" i="1"/>
  <c r="E33" i="1" s="1"/>
  <c r="B33" i="1"/>
  <c r="B34" i="1" l="1"/>
  <c r="D34" i="1"/>
  <c r="E34" i="1" s="1"/>
  <c r="D35" i="1" l="1"/>
  <c r="E35" i="1" s="1"/>
  <c r="B35" i="1"/>
  <c r="D36" i="1" l="1"/>
  <c r="E36" i="1" s="1"/>
  <c r="B36" i="1"/>
  <c r="D37" i="1" l="1"/>
  <c r="E37" i="1" s="1"/>
  <c r="B37" i="1"/>
  <c r="B38" i="1" l="1"/>
  <c r="D38" i="1"/>
  <c r="E38" i="1" s="1"/>
  <c r="B39" i="1" l="1"/>
  <c r="D39" i="1"/>
  <c r="E39" i="1" s="1"/>
  <c r="B40" i="1" l="1"/>
  <c r="D40" i="1"/>
  <c r="E40" i="1" s="1"/>
  <c r="B41" i="1" l="1"/>
  <c r="D41" i="1"/>
  <c r="E41" i="1" s="1"/>
  <c r="B42" i="1" l="1"/>
  <c r="D42" i="1"/>
  <c r="E42" i="1" s="1"/>
  <c r="B43" i="1" l="1"/>
  <c r="D43" i="1"/>
  <c r="E43" i="1" s="1"/>
  <c r="B44" i="1" l="1"/>
  <c r="D44" i="1"/>
  <c r="E44" i="1" s="1"/>
  <c r="B45" i="1" l="1"/>
  <c r="D45" i="1"/>
  <c r="E45" i="1" s="1"/>
  <c r="B46" i="1" l="1"/>
  <c r="D46" i="1"/>
  <c r="E46" i="1" s="1"/>
  <c r="D47" i="1" l="1"/>
  <c r="E47" i="1" s="1"/>
  <c r="B47" i="1"/>
  <c r="B48" i="1" l="1"/>
  <c r="D48" i="1"/>
  <c r="E48" i="1" s="1"/>
  <c r="B49" i="1" l="1"/>
  <c r="D49" i="1"/>
  <c r="E49" i="1" s="1"/>
  <c r="B50" i="1" l="1"/>
  <c r="D50" i="1"/>
  <c r="E50" i="1" s="1"/>
  <c r="K1" i="1" l="1"/>
  <c r="K1" i="1" a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22FFE24-E8F8-4577-A9B2-BEF5427D9C61}" keepAlive="1" name="Consulta - ^BVSP (1)" description="Conexão com a consulta '^BVSP (1)' na pasta de trabalho." type="5" refreshedVersion="8" background="1" saveData="1">
    <dbPr connection="Provider=Microsoft.Mashup.OleDb.1;Data Source=$Workbook$;Location=&quot;^BVSP (1)&quot;;Extended Properties=&quot;&quot;" command="SELECT * FROM [^BVSP (1)]"/>
  </connection>
  <connection id="2" xr16:uid="{EE1EAFE2-42EF-4EB3-B34F-A265EF166601}" keepAlive="1" name="Consulta - ITUB4 SA" description="Conexão com a consulta 'ITUB4 SA' na pasta de trabalho." type="5" refreshedVersion="0" background="1" saveData="1">
    <dbPr connection="Provider=Microsoft.Mashup.OleDb.1;Data Source=$Workbook$;Location=&quot;ITUB4 SA&quot;;Extended Properties=&quot;&quot;" command="SELECT * FROM [ITUB4 SA]"/>
  </connection>
  <connection id="3" xr16:uid="{70595884-2012-43BC-8D98-6026728FC02A}" keepAlive="1" name="Consulta - ITUB4 SA (1)" description="Conexão com a consulta 'ITUB4 SA (1)' na pasta de trabalho." type="5" refreshedVersion="8" background="1" saveData="1">
    <dbPr connection="Provider=Microsoft.Mashup.OleDb.1;Data Source=$Workbook$;Location=&quot;ITUB4 SA (1)&quot;;Extended Properties=&quot;&quot;" command="SELECT * FROM [ITUB4 SA (1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<sst xmlns="http://schemas.openxmlformats.org/spreadsheetml/2006/main" count="71" uniqueCount="68">
  <si>
    <t xml:space="preserve">Dados Iniciais </t>
  </si>
  <si>
    <t>Investimento Inicial (R$)</t>
  </si>
  <si>
    <t>Capital Próprio</t>
  </si>
  <si>
    <t xml:space="preserve">Capital de Terceiros </t>
  </si>
  <si>
    <t>Custo de Capital de Terceiros (Sistema SAC)</t>
  </si>
  <si>
    <t xml:space="preserve">Variáveis do Fluxo de Caixa </t>
  </si>
  <si>
    <t xml:space="preserve">Fixos </t>
  </si>
  <si>
    <t xml:space="preserve"> </t>
  </si>
  <si>
    <t>ANOS</t>
  </si>
  <si>
    <t>LAJIR</t>
  </si>
  <si>
    <t xml:space="preserve">Fluxo de Caixa Livre (FCL) </t>
  </si>
  <si>
    <t xml:space="preserve">Fluxo de Caixa dos Acionistas </t>
  </si>
  <si>
    <t xml:space="preserve">TABELA SAC </t>
  </si>
  <si>
    <t>Ano</t>
  </si>
  <si>
    <t xml:space="preserve">Saldo Devedor </t>
  </si>
  <si>
    <t>Amortização</t>
  </si>
  <si>
    <t>Juros</t>
  </si>
  <si>
    <t>Prestação</t>
  </si>
  <si>
    <t>-</t>
  </si>
  <si>
    <t>CAPM</t>
  </si>
  <si>
    <t>Beta</t>
  </si>
  <si>
    <t>Taxa Livre de Risco (Anual)</t>
  </si>
  <si>
    <t>Retorno Esperado do Ativo (Anual)</t>
  </si>
  <si>
    <t>Retorno Médio de Mercado (Anual)</t>
  </si>
  <si>
    <t>VPL do FCL</t>
  </si>
  <si>
    <t>VPL do FDA</t>
  </si>
  <si>
    <t xml:space="preserve">Valor Residual </t>
  </si>
  <si>
    <t>Custo de Capital pelo WACC</t>
  </si>
  <si>
    <t>Depreciação (-)</t>
  </si>
  <si>
    <t>Depreciação (+)</t>
  </si>
  <si>
    <t>Imposto (-)</t>
  </si>
  <si>
    <t>Prestações (-)</t>
  </si>
  <si>
    <t>Benefícios Fiscais dos Juros (+)</t>
  </si>
  <si>
    <r>
      <rPr>
        <b/>
        <sz val="11"/>
        <rFont val="Calibri"/>
        <family val="2"/>
        <scheme val="minor"/>
      </rPr>
      <t>Receita</t>
    </r>
    <r>
      <rPr>
        <sz val="11"/>
        <color theme="1"/>
        <rFont val="Calibri"/>
        <family val="2"/>
        <scheme val="minor"/>
      </rPr>
      <t xml:space="preserve"> (+)</t>
    </r>
  </si>
  <si>
    <t>Custos (-)</t>
  </si>
  <si>
    <t>Custo de Capital Próprio Estimado pelo CAPM</t>
  </si>
  <si>
    <t xml:space="preserve">TIR do FCL </t>
  </si>
  <si>
    <t>TIR do FDA</t>
  </si>
  <si>
    <t>Xo</t>
  </si>
  <si>
    <t xml:space="preserve">Desvio Padrão </t>
  </si>
  <si>
    <t xml:space="preserve">Taxa Livre de Risco </t>
  </si>
  <si>
    <t>VPL,TIR e Payback</t>
  </si>
  <si>
    <t>Payback do FCL</t>
  </si>
  <si>
    <t>Payback do FDA</t>
  </si>
  <si>
    <t>Saldo</t>
  </si>
  <si>
    <t>Fluxo de Caixa Livre</t>
  </si>
  <si>
    <t>Fluxo de Caixa dos Acionistas</t>
  </si>
  <si>
    <t>CÁLCULO DO PAYBACK DO FLUXO DE CAIXA LIVRE</t>
  </si>
  <si>
    <t>CÁLCULO DO PAYBACK DO FLUXO DE CAIXA DOS ACIONISTAS</t>
  </si>
  <si>
    <t>Quantidade - Poisson(40000)</t>
  </si>
  <si>
    <t>Preço - Normal (10000,1000)</t>
  </si>
  <si>
    <t xml:space="preserve">Ano 0 </t>
  </si>
  <si>
    <t>Unitários - Uniforme (2000,4000)</t>
  </si>
  <si>
    <t>Variáveis - Custo Unitário x Quantidade</t>
  </si>
  <si>
    <t>FAZENDO OS CÁLCULOS PELO MODELO BLACK E SCHOLES</t>
  </si>
  <si>
    <t xml:space="preserve">Vida útil </t>
  </si>
  <si>
    <t>d1</t>
  </si>
  <si>
    <t>d2</t>
  </si>
  <si>
    <t>N(d1)</t>
  </si>
  <si>
    <t>N(d2)</t>
  </si>
  <si>
    <t xml:space="preserve">Valor Presente </t>
  </si>
  <si>
    <t>Valor do PUT</t>
  </si>
  <si>
    <t>N(-d1)</t>
  </si>
  <si>
    <t>N(-d2)</t>
  </si>
  <si>
    <t>VPL Expandido (Com OR)</t>
  </si>
  <si>
    <t xml:space="preserve">VPL Estratégico </t>
  </si>
  <si>
    <t xml:space="preserve">VPL no Ano 10 </t>
  </si>
  <si>
    <t>VP no ano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</si>
</sst>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R$&quot;\ #,##0.00;[Red]\-&quot;R$&quot;\ #,##0.00"/>
    <numFmt numFmtId="164" formatCode="&quot;R$&quot;\ #,##0.0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name val="Calibri"/>
      <family val="2"/>
      <scheme val="minor"/>
    </font>
    <font>
      <b/>
      <sz val="10"/>
      <name val="Arial"/>
      <family val="2"/>
    </font>
    <font>
      <sz val="12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0" borderId="0" xfId="0" applyFont="1"/>
    <xf numFmtId="0" fontId="3" fillId="0" borderId="0" xfId="0" applyFont="1" applyFill="1"/>
    <xf numFmtId="0" fontId="5" fillId="2" borderId="0" xfId="0" applyFont="1" applyFill="1" applyAlignment="1">
      <alignment horizontal="right"/>
    </xf>
    <xf numFmtId="0" fontId="3" fillId="2" borderId="0" xfId="0" applyFont="1" applyFill="1" applyAlignment="1">
      <alignment horizontal="left"/>
    </xf>
    <xf numFmtId="0" fontId="0" fillId="3" borderId="0" xfId="0" applyFill="1"/>
    <xf numFmtId="0" fontId="0" fillId="4" borderId="0" xfId="0" applyFill="1"/>
    <xf numFmtId="0" fontId="8" fillId="4" borderId="0" xfId="0" applyFont="1" applyFill="1" applyAlignment="1">
      <alignment horizontal="center"/>
    </xf>
    <xf numFmtId="0" fontId="0" fillId="0" borderId="0" xfId="0" applyFill="1"/>
    <xf numFmtId="0" fontId="1" fillId="0" borderId="0" xfId="0" applyFont="1"/>
    <xf numFmtId="0" fontId="0" fillId="5" borderId="0" xfId="0" applyFill="1"/>
    <xf numFmtId="0" fontId="1" fillId="5" borderId="0" xfId="0" applyFont="1" applyFill="1"/>
    <xf numFmtId="0" fontId="1" fillId="6" borderId="0" xfId="0" applyFont="1" applyFill="1"/>
    <xf numFmtId="0" fontId="0" fillId="7" borderId="0" xfId="0" applyFill="1"/>
    <xf numFmtId="0" fontId="1" fillId="7" borderId="0" xfId="0" applyFont="1" applyFill="1"/>
    <xf numFmtId="0" fontId="1" fillId="8" borderId="0" xfId="0" applyFont="1" applyFill="1"/>
    <xf numFmtId="0" fontId="3" fillId="0" borderId="0" xfId="0" applyFont="1"/>
    <xf numFmtId="8" fontId="0" fillId="0" borderId="0" xfId="0" applyNumberFormat="1"/>
    <xf numFmtId="0" fontId="1" fillId="9" borderId="0" xfId="0" applyFont="1" applyFill="1" applyAlignment="1">
      <alignment horizontal="center"/>
    </xf>
    <xf numFmtId="0" fontId="1" fillId="10" borderId="0" xfId="0" applyFont="1" applyFill="1"/>
    <xf numFmtId="2" fontId="0" fillId="0" borderId="0" xfId="0" applyNumberFormat="1"/>
    <xf numFmtId="9" fontId="0" fillId="0" borderId="0" xfId="0" applyNumberFormat="1"/>
    <xf numFmtId="1" fontId="0" fillId="0" borderId="0" xfId="0" applyNumberFormat="1"/>
    <xf numFmtId="1" fontId="9" fillId="0" borderId="0" xfId="0" applyNumberFormat="1" applyFont="1"/>
    <xf numFmtId="2" fontId="4" fillId="0" borderId="0" xfId="0" applyNumberFormat="1" applyFont="1"/>
    <xf numFmtId="0" fontId="1" fillId="0" borderId="0" xfId="0" applyNumberFormat="1" applyFont="1"/>
    <xf numFmtId="164" fontId="0" fillId="0" borderId="0" xfId="0" applyNumberFormat="1"/>
    <xf numFmtId="164" fontId="1" fillId="0" borderId="0" xfId="0" applyNumberFormat="1" applyFont="1"/>
    <xf numFmtId="2" fontId="1" fillId="0" borderId="0" xfId="0" applyNumberFormat="1" applyFont="1"/>
    <xf numFmtId="2" fontId="1" fillId="0" borderId="0" xfId="0" applyNumberFormat="1" applyFont="1" applyFill="1"/>
    <xf numFmtId="2" fontId="0" fillId="0" borderId="0" xfId="0" applyNumberFormat="1" applyFont="1"/>
    <xf numFmtId="0" fontId="0" fillId="10" borderId="0" xfId="0" applyFill="1"/>
    <xf numFmtId="0" fontId="0" fillId="11" borderId="0" xfId="0" applyFill="1"/>
    <xf numFmtId="0" fontId="1" fillId="11" borderId="0" xfId="0" applyFont="1" applyFill="1"/>
    <xf numFmtId="0" fontId="0" fillId="3" borderId="0" xfId="0" applyFill="1" applyAlignment="1">
      <alignment horizontal="center" vertical="center"/>
    </xf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F1B24-8F27-4CA7-9979-AD34E831F646}">
  <dimension ref="A1:W50"/>
  <sheetViews>
    <sheetView tabSelected="1" workbookViewId="0">
      <selection activeCell="E1" sqref="E1"/>
    </sheetView>
  </sheetViews>
  <sheetFormatPr defaultRowHeight="14.4" x14ac:dyDescent="0.3"/>
  <cols>
    <col min="1" max="1" width="41.44140625" customWidth="1"/>
    <col min="2" max="2" width="29.33203125" customWidth="1"/>
    <col min="3" max="3" width="22.21875" customWidth="1"/>
    <col min="4" max="4" width="25.6640625" customWidth="1"/>
    <col min="5" max="5" width="26.109375" customWidth="1"/>
    <col min="6" max="6" width="23.77734375" customWidth="1"/>
    <col min="7" max="7" width="20.109375" customWidth="1"/>
    <col min="8" max="8" width="31.109375" customWidth="1"/>
    <col min="9" max="9" width="26.88671875" customWidth="1"/>
    <col min="10" max="10" width="23.21875" customWidth="1"/>
    <col min="11" max="11" width="18.5546875" customWidth="1"/>
    <col min="12" max="12" width="17.77734375" customWidth="1"/>
    <col min="13" max="13" width="16.109375" customWidth="1"/>
    <col min="14" max="14" width="16.6640625" customWidth="1"/>
    <col min="15" max="15" width="26.88671875" customWidth="1"/>
    <col min="16" max="16" width="16.88671875" customWidth="1"/>
    <col min="17" max="18" width="17.33203125" customWidth="1"/>
    <col min="19" max="19" width="17.44140625" customWidth="1"/>
    <col min="20" max="20" width="16.5546875" customWidth="1"/>
    <col min="21" max="21" width="16.21875" customWidth="1"/>
    <col min="22" max="22" width="17.77734375" customWidth="1"/>
    <col min="23" max="23" width="14" customWidth="1"/>
  </cols>
  <sheetData>
    <row r="1" spans="1:23" ht="15.6" x14ac:dyDescent="0.3">
      <c r="A1" s="3"/>
      <c r="B1" s="4" t="s">
        <v>0</v>
      </c>
      <c r="C1" s="1"/>
      <c r="D1" s="1"/>
      <c r="K1" cm="1">
        <f t="array" aca="1" ref="K1" ca="1">G1:K3</f>
        <v>0</v>
      </c>
    </row>
    <row r="2" spans="1:23" x14ac:dyDescent="0.3">
      <c r="A2" t="s">
        <v>1</v>
      </c>
      <c r="B2" s="24">
        <v>200000000</v>
      </c>
      <c r="C2" s="2"/>
      <c r="D2" s="2"/>
    </row>
    <row r="3" spans="1:23" x14ac:dyDescent="0.3">
      <c r="A3" t="s">
        <v>2</v>
      </c>
      <c r="B3" s="20">
        <f>0.6*B2</f>
        <v>120000000</v>
      </c>
    </row>
    <row r="4" spans="1:23" x14ac:dyDescent="0.3">
      <c r="A4" t="s">
        <v>3</v>
      </c>
      <c r="B4" s="20">
        <f>0.4*B2</f>
        <v>80000000</v>
      </c>
    </row>
    <row r="5" spans="1:23" x14ac:dyDescent="0.3">
      <c r="A5" t="s">
        <v>4</v>
      </c>
      <c r="B5">
        <v>0.8</v>
      </c>
    </row>
    <row r="6" spans="1:23" x14ac:dyDescent="0.3">
      <c r="A6" t="s">
        <v>35</v>
      </c>
      <c r="B6" s="16">
        <v>0.814932366757527</v>
      </c>
    </row>
    <row r="7" spans="1:23" ht="21" x14ac:dyDescent="0.4">
      <c r="C7" s="6"/>
      <c r="D7" s="6" t="s">
        <v>7</v>
      </c>
      <c r="E7" s="6"/>
      <c r="F7" s="6"/>
      <c r="G7" s="6"/>
      <c r="H7" s="6"/>
      <c r="I7" s="6"/>
      <c r="J7" s="6"/>
      <c r="K7" s="7" t="s">
        <v>8</v>
      </c>
      <c r="L7" s="6"/>
      <c r="M7" s="6"/>
      <c r="N7" s="6"/>
      <c r="O7" s="6"/>
      <c r="P7" s="6"/>
      <c r="Q7" s="6"/>
      <c r="R7" s="6"/>
      <c r="S7" s="6"/>
      <c r="T7" s="6"/>
      <c r="U7" s="6"/>
      <c r="V7" s="6"/>
    </row>
    <row r="8" spans="1:23" x14ac:dyDescent="0.3">
      <c r="A8" s="5" t="s">
        <v>5</v>
      </c>
      <c r="B8" s="34" t="s">
        <v>51</v>
      </c>
      <c r="C8" s="34">
        <v>1</v>
      </c>
      <c r="D8" s="34">
        <f>C8 + 1</f>
        <v>2</v>
      </c>
      <c r="E8" s="34">
        <f>D8 + 1</f>
        <v>3</v>
      </c>
      <c r="F8" s="34">
        <f t="shared" ref="F8:V8" si="0">E8 + 1</f>
        <v>4</v>
      </c>
      <c r="G8" s="34">
        <f t="shared" si="0"/>
        <v>5</v>
      </c>
      <c r="H8" s="34">
        <f t="shared" si="0"/>
        <v>6</v>
      </c>
      <c r="I8" s="34">
        <f t="shared" si="0"/>
        <v>7</v>
      </c>
      <c r="J8" s="34">
        <f t="shared" si="0"/>
        <v>8</v>
      </c>
      <c r="K8" s="34">
        <f t="shared" si="0"/>
        <v>9</v>
      </c>
      <c r="L8" s="34">
        <f t="shared" si="0"/>
        <v>10</v>
      </c>
      <c r="M8" s="34">
        <f t="shared" si="0"/>
        <v>11</v>
      </c>
      <c r="N8" s="34">
        <f t="shared" si="0"/>
        <v>12</v>
      </c>
      <c r="O8" s="34">
        <f t="shared" si="0"/>
        <v>13</v>
      </c>
      <c r="P8" s="34">
        <f t="shared" si="0"/>
        <v>14</v>
      </c>
      <c r="Q8" s="34">
        <f t="shared" si="0"/>
        <v>15</v>
      </c>
      <c r="R8" s="34">
        <f t="shared" si="0"/>
        <v>16</v>
      </c>
      <c r="S8" s="34">
        <f t="shared" si="0"/>
        <v>17</v>
      </c>
      <c r="T8" s="34">
        <f t="shared" si="0"/>
        <v>18</v>
      </c>
      <c r="U8" s="34">
        <f t="shared" si="0"/>
        <v>19</v>
      </c>
      <c r="V8" s="34">
        <f t="shared" si="0"/>
        <v>20</v>
      </c>
      <c r="W8" s="34" t="s">
        <v>26</v>
      </c>
    </row>
    <row r="9" spans="1:23" x14ac:dyDescent="0.3">
      <c r="A9" s="10" t="s">
        <v>33</v>
      </c>
      <c r="B9" s="8"/>
      <c r="C9" s="28">
        <f>C10*C11</f>
        <v>398424422.40934467</v>
      </c>
      <c r="D9" s="28">
        <f t="shared" ref="D9:U9" si="1">D10*D11</f>
        <v>312144203.89213598</v>
      </c>
      <c r="E9" s="28">
        <f t="shared" si="1"/>
        <v>464142531.6859799</v>
      </c>
      <c r="F9" s="28">
        <f t="shared" si="1"/>
        <v>431558993.95056534</v>
      </c>
      <c r="G9" s="28">
        <f t="shared" si="1"/>
        <v>341347150.81645232</v>
      </c>
      <c r="H9" s="28">
        <f t="shared" si="1"/>
        <v>455877785.53960031</v>
      </c>
      <c r="I9" s="28">
        <f t="shared" si="1"/>
        <v>417349552.18156278</v>
      </c>
      <c r="J9" s="28">
        <f t="shared" si="1"/>
        <v>374696281.60550261</v>
      </c>
      <c r="K9" s="28">
        <f t="shared" si="1"/>
        <v>467052458.31304955</v>
      </c>
      <c r="L9" s="28">
        <f t="shared" si="1"/>
        <v>407925636.6459772</v>
      </c>
      <c r="M9" s="28">
        <f t="shared" si="1"/>
        <v>470714084.44880855</v>
      </c>
      <c r="N9" s="28">
        <f t="shared" si="1"/>
        <v>421026624.50680101</v>
      </c>
      <c r="O9" s="28">
        <f t="shared" si="1"/>
        <v>387401153.54949665</v>
      </c>
      <c r="P9" s="28">
        <f t="shared" si="1"/>
        <v>371491288.17839259</v>
      </c>
      <c r="Q9" s="28">
        <f t="shared" si="1"/>
        <v>455791737.7999658</v>
      </c>
      <c r="R9" s="28">
        <f t="shared" si="1"/>
        <v>437578540.98411089</v>
      </c>
      <c r="S9" s="28">
        <f t="shared" si="1"/>
        <v>450018521.60891926</v>
      </c>
      <c r="T9" s="28">
        <f t="shared" si="1"/>
        <v>401866097.28239709</v>
      </c>
      <c r="U9" s="28">
        <f t="shared" si="1"/>
        <v>461044333.99509406</v>
      </c>
      <c r="V9" s="28">
        <f>V10*V11</f>
        <v>413174014.35839945</v>
      </c>
    </row>
    <row r="10" spans="1:23" x14ac:dyDescent="0.3">
      <c r="A10" t="s">
        <v>50</v>
      </c>
      <c r="C10" s="20">
        <v>9961.8557922076434</v>
      </c>
      <c r="D10" s="20">
        <v>7772.9021338745952</v>
      </c>
      <c r="E10" s="20">
        <v>11656.308086239733</v>
      </c>
      <c r="F10" s="20">
        <v>10842.101144371554</v>
      </c>
      <c r="G10" s="20">
        <v>8501.161826425232</v>
      </c>
      <c r="H10" s="20">
        <v>11356.911525363103</v>
      </c>
      <c r="I10" s="20">
        <v>10454.12434701575</v>
      </c>
      <c r="J10" s="20">
        <v>9405.2632246166468</v>
      </c>
      <c r="K10" s="20">
        <v>11624.871401872952</v>
      </c>
      <c r="L10" s="20">
        <v>10223.187726078322</v>
      </c>
      <c r="M10" s="20">
        <v>11751.986928866245</v>
      </c>
      <c r="N10" s="20">
        <v>10472.778083349112</v>
      </c>
      <c r="O10" s="20">
        <v>9632.0525497139897</v>
      </c>
      <c r="P10" s="20">
        <v>9356.9917933200486</v>
      </c>
      <c r="Q10" s="20">
        <v>11447.451722924598</v>
      </c>
      <c r="R10" s="20">
        <v>10908.646597963525</v>
      </c>
      <c r="S10" s="20">
        <v>11332.909960183315</v>
      </c>
      <c r="T10" s="20">
        <v>10064.264895627275</v>
      </c>
      <c r="U10" s="20">
        <v>11578.791852807626</v>
      </c>
      <c r="V10" s="20">
        <v>10223.030838242266</v>
      </c>
    </row>
    <row r="11" spans="1:23" x14ac:dyDescent="0.3">
      <c r="A11" t="s">
        <v>49</v>
      </c>
      <c r="C11">
        <v>39995</v>
      </c>
      <c r="D11">
        <v>40158</v>
      </c>
      <c r="E11">
        <v>39819</v>
      </c>
      <c r="F11">
        <v>39804</v>
      </c>
      <c r="G11">
        <v>40153</v>
      </c>
      <c r="H11">
        <v>40141</v>
      </c>
      <c r="I11">
        <v>39922</v>
      </c>
      <c r="J11">
        <v>39839</v>
      </c>
      <c r="K11">
        <v>40177</v>
      </c>
      <c r="L11">
        <v>39902</v>
      </c>
      <c r="M11">
        <v>40054</v>
      </c>
      <c r="N11">
        <v>40202</v>
      </c>
      <c r="O11">
        <v>40220</v>
      </c>
      <c r="P11">
        <v>39702</v>
      </c>
      <c r="Q11">
        <v>39816</v>
      </c>
      <c r="R11">
        <v>40113</v>
      </c>
      <c r="S11">
        <v>39709</v>
      </c>
      <c r="T11">
        <v>39930</v>
      </c>
      <c r="U11">
        <v>39818</v>
      </c>
      <c r="V11">
        <v>40416</v>
      </c>
    </row>
    <row r="12" spans="1:23" x14ac:dyDescent="0.3">
      <c r="A12" s="11" t="s">
        <v>34</v>
      </c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</row>
    <row r="13" spans="1:23" x14ac:dyDescent="0.3">
      <c r="A13" t="s">
        <v>6</v>
      </c>
      <c r="C13" s="28">
        <v>20000000</v>
      </c>
      <c r="D13" s="28">
        <v>20000000</v>
      </c>
      <c r="E13" s="28">
        <v>20000000</v>
      </c>
      <c r="F13" s="28">
        <v>20000000</v>
      </c>
      <c r="G13" s="28">
        <v>20000000</v>
      </c>
      <c r="H13" s="28">
        <v>20000000</v>
      </c>
      <c r="I13" s="28">
        <v>20000000</v>
      </c>
      <c r="J13" s="28">
        <v>20000000</v>
      </c>
      <c r="K13" s="28">
        <v>20000000</v>
      </c>
      <c r="L13" s="28">
        <v>20000000</v>
      </c>
      <c r="M13" s="28">
        <v>20000000</v>
      </c>
      <c r="N13" s="28">
        <v>20000000</v>
      </c>
      <c r="O13" s="28">
        <v>20000000</v>
      </c>
      <c r="P13" s="28">
        <v>20000000</v>
      </c>
      <c r="Q13" s="28">
        <v>20000000</v>
      </c>
      <c r="R13" s="28">
        <v>20000000</v>
      </c>
      <c r="S13" s="28">
        <v>20000000</v>
      </c>
      <c r="T13" s="28">
        <v>20000000</v>
      </c>
      <c r="U13" s="28">
        <v>20000000</v>
      </c>
      <c r="V13" s="28">
        <v>20000000</v>
      </c>
    </row>
    <row r="14" spans="1:23" x14ac:dyDescent="0.3">
      <c r="A14" t="s">
        <v>52</v>
      </c>
      <c r="C14" s="23">
        <v>3600.8178960539567</v>
      </c>
      <c r="D14" s="23">
        <v>2091.0061952574238</v>
      </c>
      <c r="E14" s="23">
        <v>2152.9587694936981</v>
      </c>
      <c r="F14" s="23">
        <v>2543.656727805414</v>
      </c>
      <c r="G14" s="23">
        <v>3117.8930021057772</v>
      </c>
      <c r="H14" s="23">
        <v>2729.819635608997</v>
      </c>
      <c r="I14" s="23">
        <v>3170.2017273476363</v>
      </c>
      <c r="J14" s="23">
        <v>3179.8455763420516</v>
      </c>
      <c r="K14" s="23">
        <v>2681.417279580065</v>
      </c>
      <c r="L14" s="23">
        <v>2017.8228095339823</v>
      </c>
      <c r="M14" s="23">
        <v>2187.0174260689109</v>
      </c>
      <c r="N14" s="23">
        <v>3037.4462111270486</v>
      </c>
      <c r="O14" s="23">
        <v>3731.4981536301766</v>
      </c>
      <c r="P14" s="23">
        <v>2955.7786797692802</v>
      </c>
      <c r="Q14" s="23">
        <v>3237.525559251686</v>
      </c>
      <c r="R14" s="23">
        <v>3906.4912869655445</v>
      </c>
      <c r="S14" s="23">
        <v>2223.3954893642995</v>
      </c>
      <c r="T14" s="23">
        <v>2702.2919400616474</v>
      </c>
      <c r="U14" s="23">
        <v>2772.4234748374888</v>
      </c>
      <c r="V14" s="23">
        <v>3653.8590655232401</v>
      </c>
    </row>
    <row r="15" spans="1:23" x14ac:dyDescent="0.3">
      <c r="A15" t="s">
        <v>53</v>
      </c>
      <c r="C15" s="28">
        <f>C14*C11</f>
        <v>144014711.75267801</v>
      </c>
      <c r="D15" s="28">
        <f t="shared" ref="D15:V15" si="2">D14*D11</f>
        <v>83970626.78914763</v>
      </c>
      <c r="E15" s="28">
        <f t="shared" si="2"/>
        <v>85728665.242469564</v>
      </c>
      <c r="F15" s="28">
        <f t="shared" si="2"/>
        <v>101247712.3935667</v>
      </c>
      <c r="G15" s="28">
        <f t="shared" si="2"/>
        <v>125192757.71355328</v>
      </c>
      <c r="H15" s="28">
        <f t="shared" si="2"/>
        <v>109577689.99298075</v>
      </c>
      <c r="I15" s="28">
        <f t="shared" si="2"/>
        <v>126560793.35917233</v>
      </c>
      <c r="J15" s="28">
        <f t="shared" si="2"/>
        <v>126681867.91589099</v>
      </c>
      <c r="K15" s="28">
        <f t="shared" si="2"/>
        <v>107731302.04168828</v>
      </c>
      <c r="L15" s="28">
        <f t="shared" si="2"/>
        <v>80515165.746024966</v>
      </c>
      <c r="M15" s="28">
        <f t="shared" si="2"/>
        <v>87598795.983764157</v>
      </c>
      <c r="N15" s="28">
        <f t="shared" si="2"/>
        <v>122111412.5797296</v>
      </c>
      <c r="O15" s="28">
        <f t="shared" si="2"/>
        <v>150080855.73900571</v>
      </c>
      <c r="P15" s="28">
        <f t="shared" si="2"/>
        <v>117350325.14419997</v>
      </c>
      <c r="Q15" s="28">
        <f t="shared" si="2"/>
        <v>128905317.66716513</v>
      </c>
      <c r="R15" s="28">
        <f t="shared" si="2"/>
        <v>156701084.99404889</v>
      </c>
      <c r="S15" s="28">
        <f t="shared" si="2"/>
        <v>88288811.487166971</v>
      </c>
      <c r="T15" s="28">
        <f t="shared" si="2"/>
        <v>107902517.16666158</v>
      </c>
      <c r="U15" s="28">
        <f t="shared" si="2"/>
        <v>110392357.92107913</v>
      </c>
      <c r="V15" s="28">
        <f t="shared" si="2"/>
        <v>147674367.99218726</v>
      </c>
    </row>
    <row r="16" spans="1:23" x14ac:dyDescent="0.3">
      <c r="A16" s="11" t="s">
        <v>28</v>
      </c>
      <c r="B16" s="26"/>
      <c r="C16" s="28">
        <f t="shared" ref="C16:V16" si="3">$B$2/25</f>
        <v>8000000</v>
      </c>
      <c r="D16" s="28">
        <f t="shared" si="3"/>
        <v>8000000</v>
      </c>
      <c r="E16" s="28">
        <f t="shared" si="3"/>
        <v>8000000</v>
      </c>
      <c r="F16" s="28">
        <f t="shared" si="3"/>
        <v>8000000</v>
      </c>
      <c r="G16" s="28">
        <f t="shared" si="3"/>
        <v>8000000</v>
      </c>
      <c r="H16" s="28">
        <f t="shared" si="3"/>
        <v>8000000</v>
      </c>
      <c r="I16" s="28">
        <f t="shared" si="3"/>
        <v>8000000</v>
      </c>
      <c r="J16" s="28">
        <f t="shared" si="3"/>
        <v>8000000</v>
      </c>
      <c r="K16" s="28">
        <f t="shared" si="3"/>
        <v>8000000</v>
      </c>
      <c r="L16" s="28">
        <f t="shared" si="3"/>
        <v>8000000</v>
      </c>
      <c r="M16" s="28">
        <f t="shared" si="3"/>
        <v>8000000</v>
      </c>
      <c r="N16" s="28">
        <f t="shared" si="3"/>
        <v>8000000</v>
      </c>
      <c r="O16" s="28">
        <f t="shared" si="3"/>
        <v>8000000</v>
      </c>
      <c r="P16" s="28">
        <f t="shared" si="3"/>
        <v>8000000</v>
      </c>
      <c r="Q16" s="28">
        <f t="shared" si="3"/>
        <v>8000000</v>
      </c>
      <c r="R16" s="28">
        <f t="shared" si="3"/>
        <v>8000000</v>
      </c>
      <c r="S16" s="28">
        <f t="shared" si="3"/>
        <v>8000000</v>
      </c>
      <c r="T16" s="28">
        <f t="shared" si="3"/>
        <v>8000000</v>
      </c>
      <c r="U16" s="28">
        <f t="shared" si="3"/>
        <v>8000000</v>
      </c>
      <c r="V16" s="28">
        <f t="shared" si="3"/>
        <v>8000000</v>
      </c>
    </row>
    <row r="17" spans="1:23" x14ac:dyDescent="0.3">
      <c r="A17" s="12" t="s">
        <v>9</v>
      </c>
      <c r="B17" s="26"/>
      <c r="C17" s="29">
        <f>C9-C13-C15-C16</f>
        <v>226409710.65666667</v>
      </c>
      <c r="D17" s="29">
        <f t="shared" ref="D17:V17" si="4">D9-D13-D15-D16</f>
        <v>200173577.10298836</v>
      </c>
      <c r="E17" s="29">
        <f t="shared" si="4"/>
        <v>350413866.44351035</v>
      </c>
      <c r="F17" s="29">
        <f t="shared" si="4"/>
        <v>302311281.55699861</v>
      </c>
      <c r="G17" s="29">
        <f t="shared" si="4"/>
        <v>188154393.10289904</v>
      </c>
      <c r="H17" s="29">
        <f t="shared" si="4"/>
        <v>318300095.54661953</v>
      </c>
      <c r="I17" s="29">
        <f>I9-I13-I15-I16</f>
        <v>262788758.82239044</v>
      </c>
      <c r="J17" s="29">
        <f t="shared" si="4"/>
        <v>220014413.68961161</v>
      </c>
      <c r="K17" s="29">
        <f t="shared" si="4"/>
        <v>331321156.27136129</v>
      </c>
      <c r="L17" s="29">
        <f t="shared" si="4"/>
        <v>299410470.89995223</v>
      </c>
      <c r="M17" s="29">
        <f t="shared" si="4"/>
        <v>355115288.46504438</v>
      </c>
      <c r="N17" s="29">
        <f t="shared" si="4"/>
        <v>270915211.92707139</v>
      </c>
      <c r="O17" s="29">
        <f t="shared" si="4"/>
        <v>209320297.81049094</v>
      </c>
      <c r="P17" s="29">
        <f t="shared" si="4"/>
        <v>226140963.03419262</v>
      </c>
      <c r="Q17" s="29">
        <f t="shared" si="4"/>
        <v>298886420.1328007</v>
      </c>
      <c r="R17" s="29">
        <f t="shared" si="4"/>
        <v>252877455.990062</v>
      </c>
      <c r="S17" s="29">
        <f t="shared" si="4"/>
        <v>333729710.12175226</v>
      </c>
      <c r="T17" s="29">
        <f t="shared" si="4"/>
        <v>265963580.11573553</v>
      </c>
      <c r="U17" s="29">
        <f t="shared" si="4"/>
        <v>322651976.0740149</v>
      </c>
      <c r="V17" s="29">
        <f t="shared" si="4"/>
        <v>237499646.36621219</v>
      </c>
    </row>
    <row r="18" spans="1:23" x14ac:dyDescent="0.3">
      <c r="A18" s="11" t="s">
        <v>30</v>
      </c>
      <c r="B18" s="26"/>
      <c r="C18" s="20">
        <f>0.3*C17</f>
        <v>67922913.196999997</v>
      </c>
      <c r="D18" s="20">
        <f t="shared" ref="D18:V18" si="5">0.3*D17</f>
        <v>60052073.130896509</v>
      </c>
      <c r="E18" s="20">
        <f t="shared" si="5"/>
        <v>105124159.93305311</v>
      </c>
      <c r="F18" s="20">
        <f t="shared" si="5"/>
        <v>90693384.467099577</v>
      </c>
      <c r="G18" s="20">
        <f t="shared" si="5"/>
        <v>56446317.930869713</v>
      </c>
      <c r="H18" s="20">
        <f t="shared" si="5"/>
        <v>95490028.663985863</v>
      </c>
      <c r="I18" s="20">
        <f t="shared" si="5"/>
        <v>78836627.646717131</v>
      </c>
      <c r="J18" s="20">
        <f t="shared" si="5"/>
        <v>66004324.106883481</v>
      </c>
      <c r="K18" s="20">
        <f t="shared" si="5"/>
        <v>99396346.881408378</v>
      </c>
      <c r="L18" s="20">
        <f t="shared" si="5"/>
        <v>89823141.269985661</v>
      </c>
      <c r="M18" s="20">
        <f t="shared" si="5"/>
        <v>106534586.5395133</v>
      </c>
      <c r="N18" s="20">
        <f t="shared" si="5"/>
        <v>81274563.578121409</v>
      </c>
      <c r="O18" s="20">
        <f t="shared" si="5"/>
        <v>62796089.343147278</v>
      </c>
      <c r="P18" s="20">
        <f t="shared" si="5"/>
        <v>67842288.910257787</v>
      </c>
      <c r="Q18" s="20">
        <f t="shared" si="5"/>
        <v>89665926.039840207</v>
      </c>
      <c r="R18" s="20">
        <f t="shared" si="5"/>
        <v>75863236.797018602</v>
      </c>
      <c r="S18" s="20">
        <f t="shared" si="5"/>
        <v>100118913.03652568</v>
      </c>
      <c r="T18" s="20">
        <f t="shared" si="5"/>
        <v>79789074.034720659</v>
      </c>
      <c r="U18" s="20">
        <f t="shared" si="5"/>
        <v>96795592.822204471</v>
      </c>
      <c r="V18" s="20">
        <f t="shared" si="5"/>
        <v>71249893.909863651</v>
      </c>
    </row>
    <row r="19" spans="1:23" x14ac:dyDescent="0.3">
      <c r="A19" s="11" t="s">
        <v>29</v>
      </c>
      <c r="B19" s="26"/>
      <c r="C19" s="30">
        <f>$B$2/25</f>
        <v>8000000</v>
      </c>
      <c r="D19" s="30">
        <f t="shared" ref="D19:V19" si="6">$B$2/25</f>
        <v>8000000</v>
      </c>
      <c r="E19" s="30">
        <f t="shared" si="6"/>
        <v>8000000</v>
      </c>
      <c r="F19" s="30">
        <f t="shared" si="6"/>
        <v>8000000</v>
      </c>
      <c r="G19" s="30">
        <f t="shared" si="6"/>
        <v>8000000</v>
      </c>
      <c r="H19" s="30">
        <f t="shared" si="6"/>
        <v>8000000</v>
      </c>
      <c r="I19" s="30">
        <f t="shared" si="6"/>
        <v>8000000</v>
      </c>
      <c r="J19" s="30">
        <f t="shared" si="6"/>
        <v>8000000</v>
      </c>
      <c r="K19" s="30">
        <f t="shared" si="6"/>
        <v>8000000</v>
      </c>
      <c r="L19" s="30">
        <f t="shared" si="6"/>
        <v>8000000</v>
      </c>
      <c r="M19" s="30">
        <f t="shared" si="6"/>
        <v>8000000</v>
      </c>
      <c r="N19" s="30">
        <f t="shared" si="6"/>
        <v>8000000</v>
      </c>
      <c r="O19" s="30">
        <f t="shared" si="6"/>
        <v>8000000</v>
      </c>
      <c r="P19" s="30">
        <f t="shared" si="6"/>
        <v>8000000</v>
      </c>
      <c r="Q19" s="30">
        <f t="shared" si="6"/>
        <v>8000000</v>
      </c>
      <c r="R19" s="30">
        <f t="shared" si="6"/>
        <v>8000000</v>
      </c>
      <c r="S19" s="30">
        <f t="shared" si="6"/>
        <v>8000000</v>
      </c>
      <c r="T19" s="30">
        <f t="shared" si="6"/>
        <v>8000000</v>
      </c>
      <c r="U19" s="30">
        <f t="shared" si="6"/>
        <v>8000000</v>
      </c>
      <c r="V19" s="30">
        <f t="shared" si="6"/>
        <v>8000000</v>
      </c>
    </row>
    <row r="20" spans="1:23" x14ac:dyDescent="0.3">
      <c r="A20" s="12" t="s">
        <v>10</v>
      </c>
      <c r="B20" s="28">
        <f>-B2</f>
        <v>-200000000</v>
      </c>
      <c r="C20" s="28">
        <f>C17 - C18 + C19</f>
        <v>166486797.45966667</v>
      </c>
      <c r="D20" s="28">
        <f>D17 - D18 +D19</f>
        <v>148121503.97209185</v>
      </c>
      <c r="E20" s="28">
        <f t="shared" ref="E20:U20" si="7">E17 - E18 +E19</f>
        <v>253289706.51045725</v>
      </c>
      <c r="F20" s="28">
        <f t="shared" si="7"/>
        <v>219617897.08989903</v>
      </c>
      <c r="G20" s="28">
        <f t="shared" si="7"/>
        <v>139708075.17202932</v>
      </c>
      <c r="H20" s="28">
        <f t="shared" si="7"/>
        <v>230810066.88263369</v>
      </c>
      <c r="I20" s="28">
        <f t="shared" si="7"/>
        <v>191952131.17567331</v>
      </c>
      <c r="J20" s="28">
        <f t="shared" si="7"/>
        <v>162010089.58272815</v>
      </c>
      <c r="K20" s="28">
        <f t="shared" si="7"/>
        <v>239924809.3899529</v>
      </c>
      <c r="L20" s="28">
        <f t="shared" si="7"/>
        <v>217587329.62996656</v>
      </c>
      <c r="M20" s="28">
        <f t="shared" si="7"/>
        <v>256580701.92553109</v>
      </c>
      <c r="N20" s="28">
        <f t="shared" si="7"/>
        <v>197640648.34894997</v>
      </c>
      <c r="O20" s="28">
        <f t="shared" si="7"/>
        <v>154524208.46734366</v>
      </c>
      <c r="P20" s="28">
        <f t="shared" si="7"/>
        <v>166298674.12393484</v>
      </c>
      <c r="Q20" s="28">
        <f t="shared" si="7"/>
        <v>217220494.09296048</v>
      </c>
      <c r="R20" s="28">
        <f t="shared" si="7"/>
        <v>185014219.19304341</v>
      </c>
      <c r="S20" s="28">
        <f t="shared" si="7"/>
        <v>241610797.0852266</v>
      </c>
      <c r="T20" s="28">
        <f t="shared" si="7"/>
        <v>194174506.08101487</v>
      </c>
      <c r="U20" s="28">
        <f t="shared" si="7"/>
        <v>233856383.25181043</v>
      </c>
      <c r="V20" s="28">
        <f>V17 - V18 +V19 + W20</f>
        <v>182249752.45634854</v>
      </c>
      <c r="W20" s="25">
        <f>$B$2/25</f>
        <v>8000000</v>
      </c>
    </row>
    <row r="21" spans="1:23" x14ac:dyDescent="0.3">
      <c r="A21" s="11" t="s">
        <v>31</v>
      </c>
      <c r="B21" s="20"/>
      <c r="C21" s="20">
        <v>68000000</v>
      </c>
      <c r="D21" s="20">
        <v>64800000</v>
      </c>
      <c r="E21" s="20">
        <v>61600000</v>
      </c>
      <c r="F21" s="20">
        <v>58400000</v>
      </c>
      <c r="G21" s="20">
        <v>55200000</v>
      </c>
      <c r="H21" s="20">
        <v>52000000</v>
      </c>
      <c r="I21" s="20">
        <v>48800000</v>
      </c>
      <c r="J21" s="20">
        <v>45600000</v>
      </c>
      <c r="K21" s="20">
        <v>42400000</v>
      </c>
      <c r="L21" s="20">
        <v>39200000</v>
      </c>
      <c r="M21" s="20">
        <v>36000000</v>
      </c>
      <c r="N21" s="20">
        <v>32800000</v>
      </c>
      <c r="O21" s="20">
        <v>29600000</v>
      </c>
      <c r="P21" s="20">
        <v>26400000</v>
      </c>
      <c r="Q21" s="20">
        <v>23200000</v>
      </c>
      <c r="R21" s="20">
        <v>20000000</v>
      </c>
      <c r="S21" s="20">
        <v>16800000</v>
      </c>
      <c r="T21" s="20">
        <v>13600000</v>
      </c>
      <c r="U21" s="20">
        <v>10400000</v>
      </c>
      <c r="V21" s="20">
        <v>7200000</v>
      </c>
    </row>
    <row r="22" spans="1:23" x14ac:dyDescent="0.3">
      <c r="A22" s="11" t="s">
        <v>32</v>
      </c>
      <c r="B22" s="20"/>
      <c r="C22" s="20">
        <f>0.3*D31</f>
        <v>19200000</v>
      </c>
      <c r="D22" s="20">
        <f>0.3*D32</f>
        <v>18240000</v>
      </c>
      <c r="E22" s="20">
        <f>0.3*D33</f>
        <v>17280000</v>
      </c>
      <c r="F22" s="20">
        <f>0.3*D34</f>
        <v>16320000</v>
      </c>
      <c r="G22" s="20">
        <f>0.3*D35</f>
        <v>15360000</v>
      </c>
      <c r="H22" s="20">
        <f>0.3*D36</f>
        <v>14400000</v>
      </c>
      <c r="I22" s="20">
        <f>0.3*D37</f>
        <v>13440000</v>
      </c>
      <c r="J22" s="20">
        <f>0.3*D38</f>
        <v>12480000</v>
      </c>
      <c r="K22" s="20">
        <f>0.3*D39</f>
        <v>11520000</v>
      </c>
      <c r="L22" s="20">
        <f>0.3*D40</f>
        <v>10560000</v>
      </c>
      <c r="M22" s="20">
        <f>0.3*D41</f>
        <v>9600000</v>
      </c>
      <c r="N22" s="20">
        <f>0.3*D42</f>
        <v>8640000</v>
      </c>
      <c r="O22" s="20">
        <f>0.3*D43</f>
        <v>7680000</v>
      </c>
      <c r="P22" s="20">
        <f>0.3*D44</f>
        <v>6720000</v>
      </c>
      <c r="Q22" s="20">
        <f>0.3*D45</f>
        <v>5760000</v>
      </c>
      <c r="R22" s="20">
        <f>0.3*D46</f>
        <v>4800000</v>
      </c>
      <c r="S22" s="20">
        <f>0.3*D47</f>
        <v>3840000</v>
      </c>
      <c r="T22" s="20">
        <f>0.3*D48</f>
        <v>2880000</v>
      </c>
      <c r="U22" s="20">
        <f>0.3*D49</f>
        <v>1920000</v>
      </c>
      <c r="V22" s="20">
        <f>0.3*D50</f>
        <v>960000</v>
      </c>
    </row>
    <row r="23" spans="1:23" x14ac:dyDescent="0.3">
      <c r="A23" s="12" t="s">
        <v>11</v>
      </c>
      <c r="B23" s="28">
        <f>-B2</f>
        <v>-200000000</v>
      </c>
      <c r="C23" s="28">
        <f>C20 - C21 +C22</f>
        <v>117686797.45966667</v>
      </c>
      <c r="D23" s="28">
        <f>D20 - D21 +D22</f>
        <v>101561503.97209185</v>
      </c>
      <c r="E23" s="28">
        <f t="shared" ref="E23:V23" si="8">E20 - E21 +E22</f>
        <v>208969706.51045725</v>
      </c>
      <c r="F23" s="28">
        <f t="shared" si="8"/>
        <v>177537897.08989903</v>
      </c>
      <c r="G23" s="28">
        <f t="shared" si="8"/>
        <v>99868075.172029316</v>
      </c>
      <c r="H23" s="28">
        <f t="shared" si="8"/>
        <v>193210066.88263369</v>
      </c>
      <c r="I23" s="28">
        <f t="shared" si="8"/>
        <v>156592131.17567331</v>
      </c>
      <c r="J23" s="28">
        <f t="shared" si="8"/>
        <v>128890089.58272815</v>
      </c>
      <c r="K23" s="28">
        <f t="shared" si="8"/>
        <v>209044809.3899529</v>
      </c>
      <c r="L23" s="28">
        <f t="shared" si="8"/>
        <v>188947329.62996656</v>
      </c>
      <c r="M23" s="28">
        <f t="shared" si="8"/>
        <v>230180701.92553109</v>
      </c>
      <c r="N23" s="28">
        <f t="shared" si="8"/>
        <v>173480648.34894997</v>
      </c>
      <c r="O23" s="28">
        <f t="shared" si="8"/>
        <v>132604208.46734366</v>
      </c>
      <c r="P23" s="28">
        <f t="shared" si="8"/>
        <v>146618674.12393484</v>
      </c>
      <c r="Q23" s="28">
        <f t="shared" si="8"/>
        <v>199780494.09296048</v>
      </c>
      <c r="R23" s="28">
        <f t="shared" si="8"/>
        <v>169814219.19304341</v>
      </c>
      <c r="S23" s="28">
        <f t="shared" si="8"/>
        <v>228650797.0852266</v>
      </c>
      <c r="T23" s="28">
        <f t="shared" si="8"/>
        <v>183454506.08101487</v>
      </c>
      <c r="U23" s="28">
        <f t="shared" si="8"/>
        <v>225376383.25181043</v>
      </c>
      <c r="V23" s="28">
        <f t="shared" si="8"/>
        <v>176009752.45634854</v>
      </c>
      <c r="W23" s="9"/>
    </row>
    <row r="28" spans="1:23" x14ac:dyDescent="0.3">
      <c r="A28" s="13"/>
      <c r="B28" s="14" t="s">
        <v>12</v>
      </c>
      <c r="C28" s="13"/>
      <c r="D28" s="13"/>
      <c r="E28" s="13"/>
      <c r="G28" s="17"/>
      <c r="H28" s="18" t="s">
        <v>19</v>
      </c>
      <c r="I28" s="18"/>
      <c r="J28" s="8"/>
      <c r="K28" s="19" t="s">
        <v>47</v>
      </c>
      <c r="L28" s="19"/>
      <c r="M28" s="31"/>
      <c r="N28" s="8"/>
      <c r="O28" s="19" t="s">
        <v>48</v>
      </c>
      <c r="P28" s="19"/>
      <c r="Q28" s="31"/>
    </row>
    <row r="29" spans="1:23" x14ac:dyDescent="0.3">
      <c r="A29" s="15" t="s">
        <v>13</v>
      </c>
      <c r="B29" s="15" t="s">
        <v>14</v>
      </c>
      <c r="C29" s="15" t="s">
        <v>15</v>
      </c>
      <c r="D29" s="15" t="s">
        <v>16</v>
      </c>
      <c r="E29" s="15" t="s">
        <v>17</v>
      </c>
      <c r="H29" s="19" t="s">
        <v>20</v>
      </c>
      <c r="I29">
        <v>0.79620000000000002</v>
      </c>
      <c r="K29" t="s">
        <v>45</v>
      </c>
      <c r="L29" t="s">
        <v>44</v>
      </c>
      <c r="O29" t="s">
        <v>46</v>
      </c>
      <c r="P29" t="s">
        <v>44</v>
      </c>
    </row>
    <row r="30" spans="1:23" x14ac:dyDescent="0.3">
      <c r="A30">
        <v>0</v>
      </c>
      <c r="B30" s="20">
        <f>0.4*B2</f>
        <v>80000000</v>
      </c>
      <c r="C30" s="20" t="s">
        <v>18</v>
      </c>
      <c r="D30" s="20" t="s">
        <v>18</v>
      </c>
      <c r="E30" s="20" t="s">
        <v>18</v>
      </c>
      <c r="H30" s="19" t="s">
        <v>23</v>
      </c>
      <c r="I30">
        <v>1.0160959381375774</v>
      </c>
      <c r="J30">
        <f>0</f>
        <v>0</v>
      </c>
      <c r="K30" s="20">
        <f>-200000000</f>
        <v>-200000000</v>
      </c>
      <c r="L30" s="20">
        <f>-200000000</f>
        <v>-200000000</v>
      </c>
      <c r="N30">
        <f>0</f>
        <v>0</v>
      </c>
      <c r="O30" s="20">
        <f>-200000000</f>
        <v>-200000000</v>
      </c>
      <c r="P30" s="20">
        <f>-200000000</f>
        <v>-200000000</v>
      </c>
      <c r="Q30" s="27"/>
    </row>
    <row r="31" spans="1:23" x14ac:dyDescent="0.3">
      <c r="A31">
        <f>1 +A30</f>
        <v>1</v>
      </c>
      <c r="B31" s="20">
        <f>B30 - C31</f>
        <v>76000000</v>
      </c>
      <c r="C31" s="20">
        <f t="shared" ref="C31:C50" si="9">$B$4/20</f>
        <v>4000000</v>
      </c>
      <c r="D31" s="20">
        <f t="shared" ref="D31:D50" si="10">$B$5*B30</f>
        <v>64000000</v>
      </c>
      <c r="E31" s="20">
        <f xml:space="preserve"> C31 +D31</f>
        <v>68000000</v>
      </c>
      <c r="H31" s="19" t="s">
        <v>21</v>
      </c>
      <c r="I31">
        <v>0.03</v>
      </c>
      <c r="J31">
        <f>1 + J30</f>
        <v>1</v>
      </c>
      <c r="K31" s="20">
        <v>166486797.45966667</v>
      </c>
      <c r="L31" s="20">
        <f>L30 +K31</f>
        <v>-33513202.540333331</v>
      </c>
      <c r="N31">
        <f>1 + N30</f>
        <v>1</v>
      </c>
      <c r="O31">
        <v>117686797.45966667</v>
      </c>
      <c r="P31" s="20">
        <f>P30 +O31</f>
        <v>-82313202.540333331</v>
      </c>
      <c r="Q31" s="27"/>
    </row>
    <row r="32" spans="1:23" x14ac:dyDescent="0.3">
      <c r="A32">
        <f t="shared" ref="A32:A50" si="11">1 +A31</f>
        <v>2</v>
      </c>
      <c r="B32" s="20">
        <f t="shared" ref="B32:B50" si="12">B31 - C32</f>
        <v>72000000</v>
      </c>
      <c r="C32" s="20">
        <f t="shared" si="9"/>
        <v>4000000</v>
      </c>
      <c r="D32" s="20">
        <f t="shared" si="10"/>
        <v>60800000</v>
      </c>
      <c r="E32" s="20">
        <f t="shared" ref="E32:E50" si="13" xml:space="preserve"> C32 +D32</f>
        <v>64800000</v>
      </c>
      <c r="H32" s="19" t="s">
        <v>22</v>
      </c>
      <c r="I32">
        <f>I31 +I29*(I30-I31)</f>
        <v>0.81512958594513918</v>
      </c>
      <c r="J32">
        <f t="shared" ref="J32:J48" si="14">1 + J31</f>
        <v>2</v>
      </c>
      <c r="K32" s="20">
        <v>148121503.97209185</v>
      </c>
      <c r="L32" s="20">
        <f>L31 +K32</f>
        <v>114608301.43175852</v>
      </c>
      <c r="N32">
        <f t="shared" ref="N32" si="15">1 + N31</f>
        <v>2</v>
      </c>
      <c r="O32">
        <v>101561503.97209185</v>
      </c>
      <c r="P32" s="20">
        <f>P31 +O32</f>
        <v>19248301.431758523</v>
      </c>
      <c r="Q32" s="27"/>
    </row>
    <row r="33" spans="1:17" x14ac:dyDescent="0.3">
      <c r="A33">
        <f t="shared" si="11"/>
        <v>3</v>
      </c>
      <c r="B33" s="20">
        <f t="shared" si="12"/>
        <v>68000000</v>
      </c>
      <c r="C33" s="20">
        <f t="shared" si="9"/>
        <v>4000000</v>
      </c>
      <c r="D33" s="20">
        <f t="shared" si="10"/>
        <v>57600000</v>
      </c>
      <c r="E33" s="20">
        <f t="shared" si="13"/>
        <v>61600000</v>
      </c>
      <c r="H33" s="19" t="s">
        <v>27</v>
      </c>
      <c r="I33">
        <f>I32*(B3/B2) + (1-0.3)*(B5)*(B4/B2)</f>
        <v>0.71307775156708342</v>
      </c>
      <c r="J33">
        <f>1 + J32</f>
        <v>3</v>
      </c>
      <c r="K33" s="20">
        <v>253289706.51045725</v>
      </c>
      <c r="L33" s="20">
        <f t="shared" ref="L33:L50" si="16">L32 +K33</f>
        <v>367898007.9422158</v>
      </c>
      <c r="N33">
        <f>1 + N32</f>
        <v>3</v>
      </c>
      <c r="O33">
        <v>208969706.51045725</v>
      </c>
      <c r="P33" s="20">
        <f t="shared" ref="P33:P50" si="17">P32 +O33</f>
        <v>228218007.94221577</v>
      </c>
      <c r="Q33" s="27"/>
    </row>
    <row r="34" spans="1:17" x14ac:dyDescent="0.3">
      <c r="A34">
        <f t="shared" si="11"/>
        <v>4</v>
      </c>
      <c r="B34" s="20">
        <f t="shared" si="12"/>
        <v>64000000</v>
      </c>
      <c r="C34" s="20">
        <f t="shared" si="9"/>
        <v>4000000</v>
      </c>
      <c r="D34" s="20">
        <f t="shared" si="10"/>
        <v>54400000</v>
      </c>
      <c r="E34" s="20">
        <f t="shared" si="13"/>
        <v>58400000</v>
      </c>
      <c r="H34" s="18" t="s">
        <v>41</v>
      </c>
      <c r="I34" s="18"/>
      <c r="J34">
        <f t="shared" si="14"/>
        <v>4</v>
      </c>
      <c r="K34" s="28">
        <v>219617897.08989903</v>
      </c>
      <c r="L34" s="20">
        <f t="shared" si="16"/>
        <v>587515905.03211486</v>
      </c>
      <c r="N34">
        <f t="shared" ref="N34:N44" si="18">1 + N33</f>
        <v>4</v>
      </c>
      <c r="O34">
        <v>177537897.08989903</v>
      </c>
      <c r="P34" s="20">
        <f t="shared" si="17"/>
        <v>405755905.0321148</v>
      </c>
      <c r="Q34" s="27"/>
    </row>
    <row r="35" spans="1:17" x14ac:dyDescent="0.3">
      <c r="A35">
        <f t="shared" si="11"/>
        <v>5</v>
      </c>
      <c r="B35" s="20">
        <f t="shared" si="12"/>
        <v>60000000</v>
      </c>
      <c r="C35" s="20">
        <f t="shared" si="9"/>
        <v>4000000</v>
      </c>
      <c r="D35" s="20">
        <f t="shared" si="10"/>
        <v>51200000</v>
      </c>
      <c r="E35" s="20">
        <f t="shared" si="13"/>
        <v>55200000</v>
      </c>
      <c r="H35" s="19" t="s">
        <v>24</v>
      </c>
      <c r="I35" s="20">
        <f>NPV(I33,C20:V20) +B20</f>
        <v>53030706.135981649</v>
      </c>
      <c r="J35">
        <f t="shared" si="14"/>
        <v>5</v>
      </c>
      <c r="K35" s="20">
        <v>139708075.17202932</v>
      </c>
      <c r="L35" s="20">
        <f t="shared" si="16"/>
        <v>727223980.20414424</v>
      </c>
      <c r="N35">
        <f t="shared" si="18"/>
        <v>5</v>
      </c>
      <c r="O35">
        <v>99868075.172029316</v>
      </c>
      <c r="P35" s="20">
        <f t="shared" si="17"/>
        <v>505623980.20414412</v>
      </c>
      <c r="Q35" s="27"/>
    </row>
    <row r="36" spans="1:17" x14ac:dyDescent="0.3">
      <c r="A36">
        <f t="shared" si="11"/>
        <v>6</v>
      </c>
      <c r="B36" s="20">
        <f t="shared" si="12"/>
        <v>56000000</v>
      </c>
      <c r="C36" s="20">
        <f t="shared" si="9"/>
        <v>4000000</v>
      </c>
      <c r="D36" s="20">
        <f t="shared" si="10"/>
        <v>48000000</v>
      </c>
      <c r="E36" s="20">
        <f t="shared" si="13"/>
        <v>52000000</v>
      </c>
      <c r="H36" s="19" t="s">
        <v>25</v>
      </c>
      <c r="I36" s="20">
        <f>NPV(I33,C23:V23) + B23</f>
        <v>-10999716.00296694</v>
      </c>
      <c r="J36">
        <f t="shared" si="14"/>
        <v>6</v>
      </c>
      <c r="K36" s="20">
        <v>230810066.88263369</v>
      </c>
      <c r="L36" s="20">
        <f t="shared" si="16"/>
        <v>958034047.08677793</v>
      </c>
      <c r="N36">
        <f t="shared" si="18"/>
        <v>6</v>
      </c>
      <c r="O36">
        <v>193210066.88263369</v>
      </c>
      <c r="P36" s="20">
        <f t="shared" si="17"/>
        <v>698834047.08677781</v>
      </c>
      <c r="Q36" s="27"/>
    </row>
    <row r="37" spans="1:17" x14ac:dyDescent="0.3">
      <c r="A37">
        <f t="shared" si="11"/>
        <v>7</v>
      </c>
      <c r="B37" s="20">
        <f t="shared" si="12"/>
        <v>52000000</v>
      </c>
      <c r="C37" s="20">
        <f t="shared" si="9"/>
        <v>4000000</v>
      </c>
      <c r="D37" s="20">
        <f t="shared" si="10"/>
        <v>44800000</v>
      </c>
      <c r="E37" s="20">
        <f t="shared" si="13"/>
        <v>48800000</v>
      </c>
      <c r="H37" s="19" t="s">
        <v>36</v>
      </c>
      <c r="I37" s="21">
        <f>IRR(B20:V20)</f>
        <v>0.88974452778682944</v>
      </c>
      <c r="J37">
        <f t="shared" si="14"/>
        <v>7</v>
      </c>
      <c r="K37" s="20">
        <v>191952131.17567331</v>
      </c>
      <c r="L37" s="20">
        <f t="shared" si="16"/>
        <v>1149986178.2624512</v>
      </c>
      <c r="N37">
        <f t="shared" si="18"/>
        <v>7</v>
      </c>
      <c r="O37">
        <v>156592131.17567331</v>
      </c>
      <c r="P37" s="20">
        <f t="shared" si="17"/>
        <v>855426178.26245117</v>
      </c>
      <c r="Q37" s="27"/>
    </row>
    <row r="38" spans="1:17" x14ac:dyDescent="0.3">
      <c r="A38">
        <f t="shared" si="11"/>
        <v>8</v>
      </c>
      <c r="B38" s="20">
        <f t="shared" si="12"/>
        <v>48000000</v>
      </c>
      <c r="C38" s="20">
        <f t="shared" si="9"/>
        <v>4000000</v>
      </c>
      <c r="D38" s="20">
        <f t="shared" si="10"/>
        <v>41600000</v>
      </c>
      <c r="E38" s="20">
        <f t="shared" si="13"/>
        <v>45600000</v>
      </c>
      <c r="H38" s="19" t="s">
        <v>37</v>
      </c>
      <c r="I38" s="21">
        <f>IRR(B23:V23)</f>
        <v>0.67755140286410231</v>
      </c>
      <c r="J38">
        <f t="shared" si="14"/>
        <v>8</v>
      </c>
      <c r="K38" s="20">
        <v>162010089.58272815</v>
      </c>
      <c r="L38" s="20">
        <f t="shared" si="16"/>
        <v>1311996267.8451793</v>
      </c>
      <c r="N38">
        <f t="shared" si="18"/>
        <v>8</v>
      </c>
      <c r="O38">
        <v>128890089.58272815</v>
      </c>
      <c r="P38" s="20">
        <f t="shared" si="17"/>
        <v>984316267.84517932</v>
      </c>
      <c r="Q38" s="27"/>
    </row>
    <row r="39" spans="1:17" x14ac:dyDescent="0.3">
      <c r="A39">
        <f t="shared" si="11"/>
        <v>9</v>
      </c>
      <c r="B39" s="20">
        <f t="shared" si="12"/>
        <v>44000000</v>
      </c>
      <c r="C39" s="20">
        <f t="shared" si="9"/>
        <v>4000000</v>
      </c>
      <c r="D39" s="20">
        <f t="shared" si="10"/>
        <v>38400000</v>
      </c>
      <c r="E39" s="20">
        <f t="shared" si="13"/>
        <v>42400000</v>
      </c>
      <c r="H39" s="19" t="s">
        <v>42</v>
      </c>
      <c r="I39">
        <f>(L31*-1)/K32</f>
        <v>0.2262548086647006</v>
      </c>
      <c r="J39">
        <f t="shared" si="14"/>
        <v>9</v>
      </c>
      <c r="K39" s="20">
        <v>239924809.3899529</v>
      </c>
      <c r="L39" s="20">
        <f t="shared" si="16"/>
        <v>1551921077.2351322</v>
      </c>
      <c r="N39">
        <f t="shared" si="18"/>
        <v>9</v>
      </c>
      <c r="O39">
        <v>209044809.3899529</v>
      </c>
      <c r="P39" s="20">
        <f t="shared" si="17"/>
        <v>1193361077.2351322</v>
      </c>
      <c r="Q39" s="27"/>
    </row>
    <row r="40" spans="1:17" x14ac:dyDescent="0.3">
      <c r="A40">
        <f t="shared" si="11"/>
        <v>10</v>
      </c>
      <c r="B40" s="20">
        <f t="shared" si="12"/>
        <v>40000000</v>
      </c>
      <c r="C40" s="20">
        <f t="shared" si="9"/>
        <v>4000000</v>
      </c>
      <c r="D40" s="20">
        <f t="shared" si="10"/>
        <v>35200000</v>
      </c>
      <c r="E40" s="20">
        <f t="shared" si="13"/>
        <v>39200000</v>
      </c>
      <c r="H40" s="19" t="s">
        <v>43</v>
      </c>
      <c r="I40">
        <f>(P31*-1)/O32</f>
        <v>0.81047640415951527</v>
      </c>
      <c r="J40">
        <f t="shared" si="14"/>
        <v>10</v>
      </c>
      <c r="K40" s="20">
        <v>217587329.62996656</v>
      </c>
      <c r="L40" s="20">
        <f t="shared" si="16"/>
        <v>1769508406.8650987</v>
      </c>
      <c r="N40">
        <f t="shared" si="18"/>
        <v>10</v>
      </c>
      <c r="O40">
        <v>188947329.62996656</v>
      </c>
      <c r="P40" s="20">
        <f t="shared" si="17"/>
        <v>1382308406.8650987</v>
      </c>
      <c r="Q40" s="27"/>
    </row>
    <row r="41" spans="1:17" x14ac:dyDescent="0.3">
      <c r="A41">
        <f t="shared" si="11"/>
        <v>11</v>
      </c>
      <c r="B41" s="20">
        <f t="shared" si="12"/>
        <v>36000000</v>
      </c>
      <c r="C41" s="20">
        <f t="shared" si="9"/>
        <v>4000000</v>
      </c>
      <c r="D41" s="20">
        <f t="shared" si="10"/>
        <v>32000000</v>
      </c>
      <c r="E41" s="20">
        <f t="shared" si="13"/>
        <v>36000000</v>
      </c>
      <c r="J41">
        <f t="shared" si="14"/>
        <v>11</v>
      </c>
      <c r="K41" s="20">
        <v>256580701.92553109</v>
      </c>
      <c r="L41" s="20">
        <f t="shared" si="16"/>
        <v>2026089108.7906299</v>
      </c>
      <c r="N41">
        <f t="shared" si="18"/>
        <v>11</v>
      </c>
      <c r="O41">
        <v>230180701.92553109</v>
      </c>
      <c r="P41" s="20">
        <f t="shared" si="17"/>
        <v>1612489108.7906299</v>
      </c>
      <c r="Q41" s="27"/>
    </row>
    <row r="42" spans="1:17" x14ac:dyDescent="0.3">
      <c r="A42">
        <f t="shared" si="11"/>
        <v>12</v>
      </c>
      <c r="B42" s="20">
        <f t="shared" si="12"/>
        <v>32000000</v>
      </c>
      <c r="C42" s="20">
        <f t="shared" si="9"/>
        <v>4000000</v>
      </c>
      <c r="D42" s="20">
        <f t="shared" si="10"/>
        <v>28800000</v>
      </c>
      <c r="E42" s="20">
        <f t="shared" si="13"/>
        <v>32800000</v>
      </c>
      <c r="J42">
        <f t="shared" si="14"/>
        <v>12</v>
      </c>
      <c r="K42" s="20">
        <v>197640648.34894997</v>
      </c>
      <c r="L42" s="20">
        <f t="shared" si="16"/>
        <v>2223729757.1395798</v>
      </c>
      <c r="N42">
        <f t="shared" si="18"/>
        <v>12</v>
      </c>
      <c r="O42">
        <v>173480648.34894997</v>
      </c>
      <c r="P42" s="20">
        <f t="shared" si="17"/>
        <v>1785969757.1395798</v>
      </c>
      <c r="Q42" s="27"/>
    </row>
    <row r="43" spans="1:17" x14ac:dyDescent="0.3">
      <c r="A43">
        <f t="shared" si="11"/>
        <v>13</v>
      </c>
      <c r="B43" s="20">
        <f t="shared" si="12"/>
        <v>28000000</v>
      </c>
      <c r="C43" s="20">
        <f t="shared" si="9"/>
        <v>4000000</v>
      </c>
      <c r="D43" s="20">
        <f t="shared" si="10"/>
        <v>25600000</v>
      </c>
      <c r="E43" s="20">
        <f t="shared" si="13"/>
        <v>29600000</v>
      </c>
      <c r="J43">
        <f t="shared" si="14"/>
        <v>13</v>
      </c>
      <c r="K43" s="20">
        <v>154524208.46734366</v>
      </c>
      <c r="L43" s="20">
        <f t="shared" si="16"/>
        <v>2378253965.6069236</v>
      </c>
      <c r="N43">
        <f t="shared" si="18"/>
        <v>13</v>
      </c>
      <c r="O43">
        <v>132604208.46734366</v>
      </c>
      <c r="P43" s="20">
        <f t="shared" si="17"/>
        <v>1918573965.6069233</v>
      </c>
      <c r="Q43" s="27"/>
    </row>
    <row r="44" spans="1:17" x14ac:dyDescent="0.3">
      <c r="A44">
        <f t="shared" si="11"/>
        <v>14</v>
      </c>
      <c r="B44" s="20">
        <f t="shared" si="12"/>
        <v>24000000</v>
      </c>
      <c r="C44" s="20">
        <f t="shared" si="9"/>
        <v>4000000</v>
      </c>
      <c r="D44" s="20">
        <f t="shared" si="10"/>
        <v>22400000</v>
      </c>
      <c r="E44" s="20">
        <f t="shared" si="13"/>
        <v>26400000</v>
      </c>
      <c r="J44">
        <f t="shared" si="14"/>
        <v>14</v>
      </c>
      <c r="K44" s="20">
        <v>166298674.12393484</v>
      </c>
      <c r="L44" s="20">
        <f t="shared" si="16"/>
        <v>2544552639.7308583</v>
      </c>
      <c r="N44">
        <f t="shared" si="18"/>
        <v>14</v>
      </c>
      <c r="O44">
        <v>146618674.12393484</v>
      </c>
      <c r="P44" s="20">
        <f t="shared" si="17"/>
        <v>2065192639.7308581</v>
      </c>
      <c r="Q44" s="27"/>
    </row>
    <row r="45" spans="1:17" x14ac:dyDescent="0.3">
      <c r="A45">
        <f t="shared" si="11"/>
        <v>15</v>
      </c>
      <c r="B45" s="20">
        <f t="shared" si="12"/>
        <v>20000000</v>
      </c>
      <c r="C45" s="20">
        <f t="shared" si="9"/>
        <v>4000000</v>
      </c>
      <c r="D45" s="20">
        <f t="shared" si="10"/>
        <v>19200000</v>
      </c>
      <c r="E45" s="20">
        <f t="shared" si="13"/>
        <v>23200000</v>
      </c>
      <c r="J45">
        <f>1 + J44</f>
        <v>15</v>
      </c>
      <c r="K45" s="20">
        <v>217220494.09296048</v>
      </c>
      <c r="L45" s="20">
        <f t="shared" si="16"/>
        <v>2761773133.8238187</v>
      </c>
      <c r="N45">
        <f>1 + N44</f>
        <v>15</v>
      </c>
      <c r="O45">
        <v>199780494.09296048</v>
      </c>
      <c r="P45" s="20">
        <f t="shared" si="17"/>
        <v>2264973133.8238187</v>
      </c>
      <c r="Q45" s="27"/>
    </row>
    <row r="46" spans="1:17" x14ac:dyDescent="0.3">
      <c r="A46">
        <f t="shared" si="11"/>
        <v>16</v>
      </c>
      <c r="B46" s="20">
        <f t="shared" si="12"/>
        <v>16000000</v>
      </c>
      <c r="C46" s="20">
        <f t="shared" si="9"/>
        <v>4000000</v>
      </c>
      <c r="D46" s="20">
        <f t="shared" si="10"/>
        <v>16000000</v>
      </c>
      <c r="E46" s="20">
        <f t="shared" si="13"/>
        <v>20000000</v>
      </c>
      <c r="J46">
        <f t="shared" si="14"/>
        <v>16</v>
      </c>
      <c r="K46" s="20">
        <v>185014219.19304341</v>
      </c>
      <c r="L46" s="20">
        <f t="shared" si="16"/>
        <v>2946787353.0168619</v>
      </c>
      <c r="N46">
        <f t="shared" ref="N46" si="19">1 + N45</f>
        <v>16</v>
      </c>
      <c r="O46">
        <v>169814219.19304341</v>
      </c>
      <c r="P46" s="20">
        <f t="shared" si="17"/>
        <v>2434787353.0168619</v>
      </c>
      <c r="Q46" s="27"/>
    </row>
    <row r="47" spans="1:17" x14ac:dyDescent="0.3">
      <c r="A47">
        <f t="shared" si="11"/>
        <v>17</v>
      </c>
      <c r="B47" s="20">
        <f t="shared" si="12"/>
        <v>12000000</v>
      </c>
      <c r="C47" s="20">
        <f t="shared" si="9"/>
        <v>4000000</v>
      </c>
      <c r="D47" s="20">
        <f t="shared" si="10"/>
        <v>12800000</v>
      </c>
      <c r="E47" s="20">
        <f t="shared" si="13"/>
        <v>16800000</v>
      </c>
      <c r="J47">
        <f>1 + J46</f>
        <v>17</v>
      </c>
      <c r="K47" s="20">
        <v>241610797.0852266</v>
      </c>
      <c r="L47" s="20">
        <f t="shared" si="16"/>
        <v>3188398150.1020885</v>
      </c>
      <c r="N47">
        <f>1 + N46</f>
        <v>17</v>
      </c>
      <c r="O47">
        <v>228650797.0852266</v>
      </c>
      <c r="P47" s="20">
        <f t="shared" si="17"/>
        <v>2663438150.1020885</v>
      </c>
      <c r="Q47" s="27"/>
    </row>
    <row r="48" spans="1:17" x14ac:dyDescent="0.3">
      <c r="A48">
        <f t="shared" si="11"/>
        <v>18</v>
      </c>
      <c r="B48" s="20">
        <f t="shared" si="12"/>
        <v>8000000</v>
      </c>
      <c r="C48" s="20">
        <f t="shared" si="9"/>
        <v>4000000</v>
      </c>
      <c r="D48" s="20">
        <f t="shared" si="10"/>
        <v>9600000</v>
      </c>
      <c r="E48" s="20">
        <f t="shared" si="13"/>
        <v>13600000</v>
      </c>
      <c r="J48">
        <f t="shared" si="14"/>
        <v>18</v>
      </c>
      <c r="K48" s="20">
        <v>194174506.08101487</v>
      </c>
      <c r="L48" s="20">
        <f t="shared" si="16"/>
        <v>3382572656.1831036</v>
      </c>
      <c r="N48">
        <f t="shared" ref="N48" si="20">1 + N47</f>
        <v>18</v>
      </c>
      <c r="O48">
        <v>183454506.08101487</v>
      </c>
      <c r="P48" s="20">
        <f t="shared" si="17"/>
        <v>2846892656.1831036</v>
      </c>
      <c r="Q48" s="27"/>
    </row>
    <row r="49" spans="1:17" x14ac:dyDescent="0.3">
      <c r="A49">
        <f t="shared" si="11"/>
        <v>19</v>
      </c>
      <c r="B49" s="20">
        <f t="shared" si="12"/>
        <v>4000000</v>
      </c>
      <c r="C49" s="20">
        <f t="shared" si="9"/>
        <v>4000000</v>
      </c>
      <c r="D49" s="20">
        <f t="shared" si="10"/>
        <v>6400000</v>
      </c>
      <c r="E49" s="20">
        <f t="shared" si="13"/>
        <v>10400000</v>
      </c>
      <c r="J49">
        <f>1 + J48</f>
        <v>19</v>
      </c>
      <c r="K49" s="20">
        <v>233856383.25181043</v>
      </c>
      <c r="L49" s="20">
        <f t="shared" si="16"/>
        <v>3616429039.4349141</v>
      </c>
      <c r="N49">
        <f>1 + N48</f>
        <v>19</v>
      </c>
      <c r="O49">
        <v>225376383.25181043</v>
      </c>
      <c r="P49" s="20">
        <f t="shared" si="17"/>
        <v>3072269039.4349141</v>
      </c>
      <c r="Q49" s="27"/>
    </row>
    <row r="50" spans="1:17" x14ac:dyDescent="0.3">
      <c r="A50">
        <f t="shared" si="11"/>
        <v>20</v>
      </c>
      <c r="B50" s="20">
        <f t="shared" si="12"/>
        <v>0</v>
      </c>
      <c r="C50" s="20">
        <f t="shared" si="9"/>
        <v>4000000</v>
      </c>
      <c r="D50" s="20">
        <f t="shared" si="10"/>
        <v>3200000</v>
      </c>
      <c r="E50" s="20">
        <f t="shared" si="13"/>
        <v>7200000</v>
      </c>
      <c r="J50">
        <f>1 + J49</f>
        <v>20</v>
      </c>
      <c r="K50" s="20">
        <v>182249752.45634854</v>
      </c>
      <c r="L50" s="20">
        <f t="shared" si="16"/>
        <v>3798678791.8912625</v>
      </c>
      <c r="N50">
        <f>1 + N49</f>
        <v>20</v>
      </c>
      <c r="O50">
        <v>176009752.45634854</v>
      </c>
      <c r="P50" s="20">
        <f t="shared" si="17"/>
        <v>3248278791.8912625</v>
      </c>
    </row>
  </sheetData>
  <phoneticPr fontId="6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A3DF9-E433-4F3B-B6FC-E547928A7194}">
  <dimension ref="A1:I15"/>
  <sheetViews>
    <sheetView workbookViewId="0">
      <selection activeCell="A15" sqref="A15"/>
    </sheetView>
  </sheetViews>
  <sheetFormatPr defaultRowHeight="14.4" x14ac:dyDescent="0.3"/>
  <cols>
    <col min="1" max="1" width="33.109375" customWidth="1"/>
    <col min="2" max="2" width="25.109375" customWidth="1"/>
    <col min="8" max="8" width="16.21875" customWidth="1"/>
    <col min="9" max="9" width="16.21875" bestFit="1" customWidth="1"/>
  </cols>
  <sheetData>
    <row r="1" spans="1:9" x14ac:dyDescent="0.3">
      <c r="A1" s="32"/>
      <c r="B1" s="32"/>
      <c r="C1" s="33" t="s">
        <v>54</v>
      </c>
      <c r="D1" s="32"/>
      <c r="E1" s="32"/>
      <c r="F1" s="32"/>
      <c r="G1" s="32"/>
      <c r="H1" s="32"/>
    </row>
    <row r="2" spans="1:9" x14ac:dyDescent="0.3">
      <c r="A2" t="s">
        <v>38</v>
      </c>
      <c r="B2" s="35">
        <v>5000000</v>
      </c>
      <c r="H2" t="s">
        <v>66</v>
      </c>
      <c r="I2" s="20">
        <f>NPV('Questão 1 - Fluxo de Caixa'!I33,'Questão 1 - Fluxo de Caixa'!L20:V20) -'Questão 2 - Opções Reais'!B2</f>
        <v>297193179.87423402</v>
      </c>
    </row>
    <row r="3" spans="1:9" x14ac:dyDescent="0.3">
      <c r="A3" t="s">
        <v>39</v>
      </c>
      <c r="B3" s="20">
        <v>0.2</v>
      </c>
      <c r="H3" t="s">
        <v>67</v>
      </c>
      <c r="I3" s="20">
        <f>NPV('Questão 1 - Fluxo de Caixa'!I33,'Questão 1 - Fluxo de Caixa'!L20:V20)</f>
        <v>302193179.87423402</v>
      </c>
    </row>
    <row r="4" spans="1:9" ht="17.399999999999999" customHeight="1" x14ac:dyDescent="0.3">
      <c r="A4" t="s">
        <v>40</v>
      </c>
      <c r="B4" s="20">
        <v>0.05</v>
      </c>
    </row>
    <row r="5" spans="1:9" x14ac:dyDescent="0.3">
      <c r="A5" t="s">
        <v>60</v>
      </c>
      <c r="B5" s="20">
        <f>I3/(1 +B4)</f>
        <v>287803028.45165145</v>
      </c>
    </row>
    <row r="6" spans="1:9" x14ac:dyDescent="0.3">
      <c r="A6" t="s">
        <v>55</v>
      </c>
      <c r="B6" s="20">
        <v>10</v>
      </c>
    </row>
    <row r="7" spans="1:9" x14ac:dyDescent="0.3">
      <c r="A7" t="s">
        <v>56</v>
      </c>
      <c r="B7" s="20">
        <f>(LN(B5/B2)+(B4+0.5*(POWER(B3,2))*B6/(B3*SQRT(B6))))</f>
        <v>4.4190661707452392</v>
      </c>
    </row>
    <row r="8" spans="1:9" x14ac:dyDescent="0.3">
      <c r="A8" t="s">
        <v>57</v>
      </c>
      <c r="B8" s="20">
        <f>B7 - B3*SQRT(B6)</f>
        <v>3.7866106387115632</v>
      </c>
    </row>
    <row r="9" spans="1:9" x14ac:dyDescent="0.3">
      <c r="A9" t="s">
        <v>58</v>
      </c>
      <c r="B9">
        <f>_xlfn.NORM.DIST(B7,0,1,TRUE)</f>
        <v>0.99999504358522351</v>
      </c>
    </row>
    <row r="10" spans="1:9" x14ac:dyDescent="0.3">
      <c r="A10" t="s">
        <v>59</v>
      </c>
      <c r="B10">
        <f>_xlfn.NORM.DIST(B8,0,1,TRUE)</f>
        <v>0.99992364194263816</v>
      </c>
    </row>
    <row r="11" spans="1:9" x14ac:dyDescent="0.3">
      <c r="A11" t="s">
        <v>62</v>
      </c>
      <c r="B11">
        <f>_xlfn.NORM.DIST(-B7,0,1,TRUE)</f>
        <v>4.9564147764812933E-6</v>
      </c>
    </row>
    <row r="12" spans="1:9" x14ac:dyDescent="0.3">
      <c r="A12" t="s">
        <v>63</v>
      </c>
      <c r="B12">
        <f>_xlfn.NORM.DIST(-B8,0,1,TRUE)</f>
        <v>7.6358057361852616E-5</v>
      </c>
    </row>
    <row r="13" spans="1:9" x14ac:dyDescent="0.3">
      <c r="A13" t="s">
        <v>61</v>
      </c>
      <c r="B13">
        <f>B2*EXP(-B4)*B12-B2*B11</f>
        <v>338.38808091913143</v>
      </c>
    </row>
    <row r="14" spans="1:9" x14ac:dyDescent="0.3">
      <c r="A14" t="s">
        <v>64</v>
      </c>
      <c r="B14" s="20">
        <f>'Questão 1 - Fluxo de Caixa'!I35 +'Questão 2 - Opções Reais'!B13</f>
        <v>53031044.524062566</v>
      </c>
    </row>
    <row r="15" spans="1:9" x14ac:dyDescent="0.3">
      <c r="A15" t="s">
        <v>65</v>
      </c>
      <c r="B15" s="20">
        <f>I2 +B14</f>
        <v>350224224.39829659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7B13C4E-0E2C-4FA7-9364-A3DCC382DFC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Questão 1 - Fluxo de Caixa</vt:lpstr>
      <vt:lpstr>Questão 2 - Opções Reais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Mário Andrade</dc:creator>
  <cp:lastModifiedBy>Luiz Mário Andrade</cp:lastModifiedBy>
  <dcterms:created xsi:type="dcterms:W3CDTF">2022-08-22T04:30:46Z</dcterms:created>
  <dcterms:modified xsi:type="dcterms:W3CDTF">2022-09-21T23:38:02Z</dcterms:modified>
</cp:coreProperties>
</file>