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139.xml" ContentType="application/vnd.openxmlformats-officedocument.spreadsheetml.worksheet+xml"/>
  <Default Extension="xml" ContentType="application/xml"/>
  <Override PartName="/xl/worksheets/sheet128.xml" ContentType="application/vnd.openxmlformats-officedocument.spreadsheetml.worksheet+xml"/>
  <Override PartName="/xl/tables/table10.xml" ContentType="application/vnd.openxmlformats-officedocument.spreadsheetml.table+xml"/>
  <Override PartName="/xl/worksheets/sheet3.xml" ContentType="application/vnd.openxmlformats-officedocument.spreadsheetml.worksheet+xml"/>
  <Override PartName="/xl/worksheets/sheet98.xml" ContentType="application/vnd.openxmlformats-officedocument.spreadsheetml.worksheet+xml"/>
  <Override PartName="/xl/worksheets/sheet117.xml" ContentType="application/vnd.openxmlformats-officedocument.spreadsheetml.worksheet+xml"/>
  <Override PartName="/xl/worksheets/sheet135.xml" ContentType="application/vnd.openxmlformats-officedocument.spreadsheetml.worksheet+xml"/>
  <Override PartName="/xl/worksheets/sheet69.xml" ContentType="application/vnd.openxmlformats-officedocument.spreadsheetml.worksheet+xml"/>
  <Override PartName="/xl/worksheets/sheet87.xml" ContentType="application/vnd.openxmlformats-officedocument.spreadsheetml.worksheet+xml"/>
  <Override PartName="/xl/worksheets/sheet106.xml" ContentType="application/vnd.openxmlformats-officedocument.spreadsheetml.worksheet+xml"/>
  <Override PartName="/xl/worksheets/sheet124.xml" ContentType="application/vnd.openxmlformats-officedocument.spreadsheetml.worksheet+xml"/>
  <Override PartName="/xl/tables/table9.xml" ContentType="application/vnd.openxmlformats-officedocument.spreadsheetml.table+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76.xml" ContentType="application/vnd.openxmlformats-officedocument.spreadsheetml.worksheet+xml"/>
  <Override PartName="/xl/worksheets/sheet94.xml" ContentType="application/vnd.openxmlformats-officedocument.spreadsheetml.worksheet+xml"/>
  <Override PartName="/xl/worksheets/sheet113.xml" ContentType="application/vnd.openxmlformats-officedocument.spreadsheetml.worksheet+xml"/>
  <Override PartName="/xl/worksheets/sheet131.xml" ContentType="application/vnd.openxmlformats-officedocument.spreadsheetml.worksheet+xml"/>
  <Override PartName="/xl/worksheets/sheet142.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worksheets/sheet120.xml" ContentType="application/vnd.openxmlformats-officedocument.spreadsheetml.worksheet+xml"/>
  <Override PartName="/xl/tables/table5.xml" ContentType="application/vnd.openxmlformats-officedocument.spreadsheetml.table+xml"/>
  <Override PartName="/xl/worksheets/sheet25.xml" ContentType="application/vnd.openxmlformats-officedocument.spreadsheetml.worksheet+xml"/>
  <Override PartName="/xl/worksheets/sheet43.xml" ContentType="application/vnd.openxmlformats-officedocument.spreadsheetml.worksheet+xml"/>
  <Override PartName="/xl/worksheets/sheet72.xml" ContentType="application/vnd.openxmlformats-officedocument.spreadsheetml.worksheet+xml"/>
  <Override PartName="/xl/worksheets/sheet90.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32.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tables/table1.xml" ContentType="application/vnd.openxmlformats-officedocument.spreadsheetml.table+xml"/>
  <Override PartName="/xl/worksheets/sheet8.xml" ContentType="application/vnd.openxmlformats-officedocument.spreadsheetml.worksheet+xml"/>
  <Override PartName="/xl/worksheets/sheet21.xml" ContentType="application/vnd.openxmlformats-officedocument.spreadsheetml.worksheet+xml"/>
  <Override PartName="/xl/tables/table11.xml" ContentType="application/vnd.openxmlformats-officedocument.spreadsheetml.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worksheets/sheet129.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99.xml" ContentType="application/vnd.openxmlformats-officedocument.spreadsheetml.worksheet+xml"/>
  <Override PartName="/xl/worksheets/sheet107.xml" ContentType="application/vnd.openxmlformats-officedocument.spreadsheetml.worksheet+xml"/>
  <Override PartName="/xl/worksheets/sheet118.xml" ContentType="application/vnd.openxmlformats-officedocument.spreadsheetml.worksheet+xml"/>
  <Override PartName="/xl/worksheets/sheet136.xml" ContentType="application/vnd.openxmlformats-officedocument.spreadsheetml.worksheet+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worksheets/sheet88.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Override PartName="/xl/worksheets/sheet114.xml" ContentType="application/vnd.openxmlformats-officedocument.spreadsheetml.worksheet+xml"/>
  <Override PartName="/xl/worksheets/sheet125.xml" ContentType="application/vnd.openxmlformats-officedocument.spreadsheetml.worksheet+xml"/>
  <Override PartName="/xl/worksheets/sheet134.xml" ContentType="application/vnd.openxmlformats-officedocument.spreadsheetml.worksheet+xml"/>
  <Override PartName="/xl/worksheets/sheet143.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12.xml" ContentType="application/vnd.openxmlformats-officedocument.spreadsheetml.worksheet+xml"/>
  <Override PartName="/xl/worksheets/sheet123.xml" ContentType="application/vnd.openxmlformats-officedocument.spreadsheetml.worksheet+xml"/>
  <Override PartName="/xl/worksheets/sheet132.xml" ContentType="application/vnd.openxmlformats-officedocument.spreadsheetml.worksheet+xml"/>
  <Override PartName="/xl/worksheets/sheet141.xml" ContentType="application/vnd.openxmlformats-officedocument.spreadsheetml.worksheet+xml"/>
  <Override PartName="/xl/tables/table8.xml" ContentType="application/vnd.openxmlformats-officedocument.spreadsheetml.table+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110.xml" ContentType="application/vnd.openxmlformats-officedocument.spreadsheetml.worksheet+xml"/>
  <Override PartName="/xl/worksheets/sheet121.xml" ContentType="application/vnd.openxmlformats-officedocument.spreadsheetml.worksheet+xml"/>
  <Override PartName="/xl/worksheets/sheet130.xml" ContentType="application/vnd.openxmlformats-officedocument.spreadsheetml.worksheet+xml"/>
  <Override PartName="/xl/tables/table6.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worksheets/sheet11.xml" ContentType="application/vnd.openxmlformats-officedocument.spreadsheetml.worksheet+xml"/>
  <Override PartName="/xl/worksheets/sheet40.xml" ContentType="application/vnd.openxmlformats-officedocument.spreadsheetml.workshee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worksheets/sheet119.xml" ContentType="application/vnd.openxmlformats-officedocument.spreadsheetml.worksheet+xml"/>
  <Override PartName="/xl/worksheets/sheet137.xml" ContentType="application/vnd.openxmlformats-officedocument.spreadsheetml.worksheet+xml"/>
  <Override PartName="/xl/worksheets/sheet89.xml" ContentType="application/vnd.openxmlformats-officedocument.spreadsheetml.worksheet+xml"/>
  <Override PartName="/xl/worksheets/sheet108.xml" ContentType="application/vnd.openxmlformats-officedocument.spreadsheetml.worksheet+xml"/>
  <Override PartName="/xl/worksheets/sheet126.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96.xml" ContentType="application/vnd.openxmlformats-officedocument.spreadsheetml.worksheet+xml"/>
  <Override PartName="/xl/worksheets/sheet115.xml" ContentType="application/vnd.openxmlformats-officedocument.spreadsheetml.worksheet+xml"/>
  <Override PartName="/xl/worksheets/sheet133.xml" ContentType="application/vnd.openxmlformats-officedocument.spreadsheetml.worksheet+xml"/>
  <Override PartName="/xl/worksheets/sheet144.xml" ContentType="application/vnd.openxmlformats-officedocument.spreadsheetml.worksheet+xml"/>
  <Override PartName="/xl/worksheets/sheet38.xml" ContentType="application/vnd.openxmlformats-officedocument.spreadsheetml.worksheet+xml"/>
  <Override PartName="/xl/worksheets/sheet67.xml" ContentType="application/vnd.openxmlformats-officedocument.spreadsheetml.worksheet+xml"/>
  <Override PartName="/xl/worksheets/sheet85.xml" ContentType="application/vnd.openxmlformats-officedocument.spreadsheetml.worksheet+xml"/>
  <Override PartName="/xl/worksheets/sheet104.xml" ContentType="application/vnd.openxmlformats-officedocument.spreadsheetml.worksheet+xml"/>
  <Override PartName="/xl/worksheets/sheet122.xml" ContentType="application/vnd.openxmlformats-officedocument.spreadsheetml.worksheet+xml"/>
  <Override PartName="/xl/tables/table7.xml" ContentType="application/vnd.openxmlformats-officedocument.spreadsheetml.table+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worksheets/sheet92.xml" ContentType="application/vnd.openxmlformats-officedocument.spreadsheetml.worksheet+xml"/>
  <Override PartName="/xl/worksheets/sheet111.xml" ContentType="application/vnd.openxmlformats-officedocument.spreadsheetml.worksheet+xml"/>
  <Override PartName="/xl/worksheets/sheet140.xml" ContentType="application/vnd.openxmlformats-officedocument.spreadsheetml.worksheet+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81.xml" ContentType="application/vnd.openxmlformats-officedocument.spreadsheetml.worksheet+xml"/>
  <Override PartName="/xl/worksheets/sheet100.xml" ContentType="application/vnd.openxmlformats-officedocument.spreadsheetml.worksheet+xml"/>
  <Override PartName="/xl/tables/table3.xml" ContentType="application/vnd.openxmlformats-officedocument.spreadsheetml.table+xml"/>
  <Override PartName="/xl/worksheets/sheet23.xml" ContentType="application/vnd.openxmlformats-officedocument.spreadsheetml.worksheet+xml"/>
  <Override PartName="/xl/worksheets/sheet41.xml" ContentType="application/vnd.openxmlformats-officedocument.spreadsheetml.worksheet+xml"/>
  <Override PartName="/xl/worksheets/sheet70.xml" ContentType="application/vnd.openxmlformats-officedocument.spreadsheetml.worksheet+xml"/>
  <Override PartName="/xl/tables/table13.xml" ContentType="application/vnd.openxmlformats-officedocument.spreadsheetml.table+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worksheets/sheet109.xml" ContentType="application/vnd.openxmlformats-officedocument.spreadsheetml.worksheet+xml"/>
  <Override PartName="/xl/worksheets/sheet138.xml" ContentType="application/vnd.openxmlformats-officedocument.spreadsheetml.worksheet+xml"/>
  <Override PartName="/xl/worksheets/sheet2.xml" ContentType="application/vnd.openxmlformats-officedocument.spreadsheetml.worksheet+xml"/>
  <Override PartName="/xl/worksheets/sheet116.xml" ContentType="application/vnd.openxmlformats-officedocument.spreadsheetml.worksheet+xml"/>
  <Override PartName="/xl/worksheets/sheet127.xml" ContentType="application/vnd.openxmlformats-officedocument.spreadsheetml.worksheet+xml"/>
  <Override PartName="/xl/worksheets/sheet145.xml" ContentType="application/vnd.openxmlformats-officedocument.spreadsheetml.worksheet+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490" windowHeight="7530" tabRatio="594" firstSheet="136" activeTab="142"/>
  </bookViews>
  <sheets>
    <sheet name="Janeiro" sheetId="1" r:id="rId1"/>
    <sheet name="Abril" sheetId="2" r:id="rId2"/>
    <sheet name="Maio" sheetId="3" r:id="rId3"/>
    <sheet name="Junho" sheetId="4" r:id="rId4"/>
    <sheet name="Curso" sheetId="5" r:id="rId5"/>
    <sheet name="Julho" sheetId="6" r:id="rId6"/>
    <sheet name="Agosto" sheetId="7" r:id="rId7"/>
    <sheet name="Setembro" sheetId="8" r:id="rId8"/>
    <sheet name="Outubro" sheetId="9" r:id="rId9"/>
    <sheet name="Novembro" sheetId="10" r:id="rId10"/>
    <sheet name="Dezembro" sheetId="11" r:id="rId11"/>
    <sheet name="Janeiro 07" sheetId="12" r:id="rId12"/>
    <sheet name="Fevereiro 07" sheetId="13" r:id="rId13"/>
    <sheet name="Março 07" sheetId="14" r:id="rId14"/>
    <sheet name="Abril 07" sheetId="15" r:id="rId15"/>
    <sheet name="Maio 07" sheetId="16" r:id="rId16"/>
    <sheet name="Junho 07" sheetId="17" r:id="rId17"/>
    <sheet name="Julho 07" sheetId="18" r:id="rId18"/>
    <sheet name="Agosto 07" sheetId="19" r:id="rId19"/>
    <sheet name="Setembro 07" sheetId="20" r:id="rId20"/>
    <sheet name="Outubro 07" sheetId="21" r:id="rId21"/>
    <sheet name="Novembro 07" sheetId="22" r:id="rId22"/>
    <sheet name="Dezembro 07" sheetId="23" r:id="rId23"/>
    <sheet name="Janeiro 08" sheetId="24" r:id="rId24"/>
    <sheet name="Fevereiro 08" sheetId="25" r:id="rId25"/>
    <sheet name="Março 08" sheetId="26" r:id="rId26"/>
    <sheet name="Abri 08" sheetId="27" r:id="rId27"/>
    <sheet name="Maio 08" sheetId="28" r:id="rId28"/>
    <sheet name="Junho 08" sheetId="29" r:id="rId29"/>
    <sheet name="Julho 08" sheetId="30" r:id="rId30"/>
    <sheet name="Agosto 08" sheetId="31" r:id="rId31"/>
    <sheet name="Setembro 08" sheetId="32" r:id="rId32"/>
    <sheet name="Outubro 08" sheetId="33" r:id="rId33"/>
    <sheet name="Novembro 08" sheetId="34" r:id="rId34"/>
    <sheet name="Dezembro 08" sheetId="35" r:id="rId35"/>
    <sheet name="Janeiro 09" sheetId="36" r:id="rId36"/>
    <sheet name="Fevereiro 09" sheetId="37" r:id="rId37"/>
    <sheet name="Março 09" sheetId="38" r:id="rId38"/>
    <sheet name="Abril 09" sheetId="39" r:id="rId39"/>
    <sheet name="Maio 09" sheetId="40" r:id="rId40"/>
    <sheet name="Junho 09" sheetId="41" r:id="rId41"/>
    <sheet name="Julho 09" sheetId="42" r:id="rId42"/>
    <sheet name="Ago 09" sheetId="43" r:id="rId43"/>
    <sheet name="Set 09" sheetId="44" r:id="rId44"/>
    <sheet name="Out 09" sheetId="45" r:id="rId45"/>
    <sheet name="Nov 09" sheetId="46" r:id="rId46"/>
    <sheet name="Dez 09" sheetId="47" r:id="rId47"/>
    <sheet name="Jan 10" sheetId="48" r:id="rId48"/>
    <sheet name="Fev 10" sheetId="49" r:id="rId49"/>
    <sheet name="Mar 10" sheetId="50" r:id="rId50"/>
    <sheet name="Abr 10" sheetId="51" r:id="rId51"/>
    <sheet name="Mai 10" sheetId="52" r:id="rId52"/>
    <sheet name="Jun10" sheetId="53" r:id="rId53"/>
    <sheet name="Jul10" sheetId="54" r:id="rId54"/>
    <sheet name="Ago10" sheetId="55" r:id="rId55"/>
    <sheet name="Set10" sheetId="56" r:id="rId56"/>
    <sheet name="Out10" sheetId="57" r:id="rId57"/>
    <sheet name="Nov10" sheetId="58" r:id="rId58"/>
    <sheet name="Dez10" sheetId="59" r:id="rId59"/>
    <sheet name="Cotações" sheetId="60" r:id="rId60"/>
    <sheet name="Jan11" sheetId="61" r:id="rId61"/>
    <sheet name="Fev11" sheetId="62" r:id="rId62"/>
    <sheet name="Mar11" sheetId="63" r:id="rId63"/>
    <sheet name="Abr11" sheetId="64" r:id="rId64"/>
    <sheet name="Mai 11" sheetId="65" r:id="rId65"/>
    <sheet name="Jun 11" sheetId="66" r:id="rId66"/>
    <sheet name="Jul 11" sheetId="67" r:id="rId67"/>
    <sheet name="Ago 11" sheetId="68" r:id="rId68"/>
    <sheet name="Set 11" sheetId="69" r:id="rId69"/>
    <sheet name="Out 11" sheetId="70" r:id="rId70"/>
    <sheet name="Nov 11" sheetId="71" r:id="rId71"/>
    <sheet name="Dez 11" sheetId="72" r:id="rId72"/>
    <sheet name="Jan 12" sheetId="73" r:id="rId73"/>
    <sheet name="Fev 12" sheetId="74" r:id="rId74"/>
    <sheet name="Mar 12" sheetId="75" r:id="rId75"/>
    <sheet name="Abr 12" sheetId="76" r:id="rId76"/>
    <sheet name="Mai 12" sheetId="77" r:id="rId77"/>
    <sheet name="Jun 12" sheetId="78" r:id="rId78"/>
    <sheet name="Jul 12" sheetId="79" r:id="rId79"/>
    <sheet name="Ago 12" sheetId="80" r:id="rId80"/>
    <sheet name="Set 12" sheetId="81" r:id="rId81"/>
    <sheet name="Out 12" sheetId="82" r:id="rId82"/>
    <sheet name="Nov 12" sheetId="83" r:id="rId83"/>
    <sheet name="Dez 12" sheetId="84" r:id="rId84"/>
    <sheet name="Jan 13" sheetId="85" r:id="rId85"/>
    <sheet name="Fev13" sheetId="86" r:id="rId86"/>
    <sheet name="Mar13" sheetId="87" r:id="rId87"/>
    <sheet name="Abr 13" sheetId="88" r:id="rId88"/>
    <sheet name="Mai 13" sheetId="89" r:id="rId89"/>
    <sheet name="Jun 13" sheetId="90" r:id="rId90"/>
    <sheet name="Jul 13" sheetId="91" r:id="rId91"/>
    <sheet name="Ago13" sheetId="92" r:id="rId92"/>
    <sheet name="Set 13" sheetId="93" r:id="rId93"/>
    <sheet name="Out13" sheetId="94" r:id="rId94"/>
    <sheet name="Nov13" sheetId="95" r:id="rId95"/>
    <sheet name="Dez13" sheetId="96" r:id="rId96"/>
    <sheet name="Jan14" sheetId="97" r:id="rId97"/>
    <sheet name="Fev14" sheetId="98" r:id="rId98"/>
    <sheet name="Mar14" sheetId="99" r:id="rId99"/>
    <sheet name="Abr14" sheetId="100" r:id="rId100"/>
    <sheet name="Mai14" sheetId="101" r:id="rId101"/>
    <sheet name="Jun14" sheetId="102" r:id="rId102"/>
    <sheet name="Jul14" sheetId="103" r:id="rId103"/>
    <sheet name="Aug14" sheetId="104" r:id="rId104"/>
    <sheet name="Set14" sheetId="105" r:id="rId105"/>
    <sheet name="Out14" sheetId="106" r:id="rId106"/>
    <sheet name="Nov14" sheetId="107" r:id="rId107"/>
    <sheet name="Dez14" sheetId="108" r:id="rId108"/>
    <sheet name="Jan15" sheetId="109" r:id="rId109"/>
    <sheet name="Fev15" sheetId="110" r:id="rId110"/>
    <sheet name="Mar15" sheetId="111" r:id="rId111"/>
    <sheet name="Abr15" sheetId="112" r:id="rId112"/>
    <sheet name="Mai15" sheetId="113" r:id="rId113"/>
    <sheet name="Jun15" sheetId="114" r:id="rId114"/>
    <sheet name="Jul15" sheetId="115" r:id="rId115"/>
    <sheet name="Ago15" sheetId="116" r:id="rId116"/>
    <sheet name="Set15" sheetId="117" r:id="rId117"/>
    <sheet name="Out15" sheetId="118" r:id="rId118"/>
    <sheet name="Nov15" sheetId="119" r:id="rId119"/>
    <sheet name="Dec15" sheetId="120" r:id="rId120"/>
    <sheet name="Jan16" sheetId="121" r:id="rId121"/>
    <sheet name="Feb16" sheetId="122" r:id="rId122"/>
    <sheet name="Mar16" sheetId="123" r:id="rId123"/>
    <sheet name="CardMar16" sheetId="126" r:id="rId124"/>
    <sheet name="Abr16" sheetId="124" r:id="rId125"/>
    <sheet name="CardAbr16" sheetId="127" r:id="rId126"/>
    <sheet name="Mai16" sheetId="125" r:id="rId127"/>
    <sheet name="CardMai16" sheetId="128" r:id="rId128"/>
    <sheet name="Jun16" sheetId="130" r:id="rId129"/>
    <sheet name="CardJun16" sheetId="131" r:id="rId130"/>
    <sheet name="Jul17" sheetId="132" r:id="rId131"/>
    <sheet name="CardJul16" sheetId="133" r:id="rId132"/>
    <sheet name="Ago16" sheetId="134" r:id="rId133"/>
    <sheet name="CardAgo16" sheetId="135" r:id="rId134"/>
    <sheet name="Sep16" sheetId="137" r:id="rId135"/>
    <sheet name="Card Sep16" sheetId="138" r:id="rId136"/>
    <sheet name="Out16" sheetId="140" r:id="rId137"/>
    <sheet name="Card Out16" sheetId="141" r:id="rId138"/>
    <sheet name="Nov16" sheetId="142" r:id="rId139"/>
    <sheet name="Card Nov16" sheetId="143" r:id="rId140"/>
    <sheet name="Dec16" sheetId="144" r:id="rId141"/>
    <sheet name="Card Dez16" sheetId="145" r:id="rId142"/>
    <sheet name="Jan 17" sheetId="146" r:id="rId143"/>
    <sheet name="Card Jan17" sheetId="147" r:id="rId144"/>
    <sheet name="Acoes" sheetId="136" r:id="rId145"/>
  </sheets>
  <definedNames>
    <definedName name="Cotações_do_Câmbio_para_Investidores_do_MSN_MoneyCentral" localSheetId="59">Cotações!$A$1:$I$57</definedName>
    <definedName name="rates" localSheetId="59">Cotações!$A$1:$I$57</definedName>
    <definedName name="rates_1" localSheetId="59">Cotações!$A$1:$I$57</definedName>
    <definedName name="rates_10" localSheetId="59">Cotações!$A$1:$I$71</definedName>
    <definedName name="rates_11" localSheetId="59">Cotações!$A$1:$I$71</definedName>
    <definedName name="rates_12" localSheetId="59">Cotações!$A$1:$I$71</definedName>
    <definedName name="rates_13" localSheetId="59">Cotações!$A$1:$I$71</definedName>
    <definedName name="rates_14" localSheetId="59">Cotações!$A$1:$I$71</definedName>
    <definedName name="rates_15" localSheetId="59">Cotações!$A$1:$I$71</definedName>
    <definedName name="rates_16" localSheetId="59">Cotações!$A$1:$I$71</definedName>
    <definedName name="rates_17" localSheetId="59">Cotações!$A$1:$I$71</definedName>
    <definedName name="rates_18" localSheetId="59">Cotações!$A$1:$I$71</definedName>
    <definedName name="rates_19" localSheetId="59">Cotações!$A$1:$I$71</definedName>
    <definedName name="rates_2" localSheetId="59">Cotações!$A$1:$I$57</definedName>
    <definedName name="rates_20" localSheetId="59">Cotações!$A$1:$I$71</definedName>
    <definedName name="rates_21" localSheetId="59">Cotações!$A$1:$I$71</definedName>
    <definedName name="rates_3" localSheetId="59">Cotações!$A$1:$I$57</definedName>
    <definedName name="rates_4" localSheetId="59">Cotações!$A$1:$I$57</definedName>
    <definedName name="rates_5" localSheetId="59">Cotações!$A$1:$I$57</definedName>
    <definedName name="rates_6" localSheetId="59">Cotações!$A$1:$I$71</definedName>
    <definedName name="rates_7" localSheetId="59">Cotações!$A$1:$I$71</definedName>
    <definedName name="rates_8" localSheetId="59">Cotações!$A$1:$I$71</definedName>
    <definedName name="rates_9" localSheetId="59">Cotações!$A$1:$I$71</definedName>
  </definedNames>
  <calcPr calcId="125725"/>
</workbook>
</file>

<file path=xl/calcChain.xml><?xml version="1.0" encoding="utf-8"?>
<calcChain xmlns="http://schemas.openxmlformats.org/spreadsheetml/2006/main">
  <c r="K7" i="146"/>
  <c r="K6"/>
  <c r="C41" i="147"/>
  <c r="O3" s="1"/>
  <c r="C42"/>
  <c r="P5" i="146"/>
  <c r="F100" i="136"/>
  <c r="P20" i="147"/>
  <c r="O16"/>
  <c r="O11"/>
  <c r="G25" i="146"/>
  <c r="P21" i="147" l="1"/>
  <c r="P22" s="1"/>
  <c r="O17"/>
  <c r="O18"/>
  <c r="C6" i="146"/>
  <c r="P7"/>
  <c r="C7" s="1"/>
  <c r="P6"/>
  <c r="G30"/>
  <c r="G29"/>
  <c r="C29"/>
  <c r="G25" i="144"/>
  <c r="G10" i="146"/>
  <c r="C8" l="1"/>
  <c r="D8" s="1"/>
  <c r="D13" l="1"/>
  <c r="C5"/>
  <c r="D29"/>
  <c r="P23"/>
  <c r="P24" s="1"/>
  <c r="P17"/>
  <c r="C18" s="1"/>
  <c r="T11"/>
  <c r="T12" s="1"/>
  <c r="T25" s="1"/>
  <c r="K8"/>
  <c r="Y7"/>
  <c r="Z7" s="1"/>
  <c r="Y6"/>
  <c r="Z6" s="1"/>
  <c r="T6"/>
  <c r="U5"/>
  <c r="Y4"/>
  <c r="U4"/>
  <c r="P9"/>
  <c r="U6" l="1"/>
  <c r="D32"/>
  <c r="D31"/>
  <c r="D30"/>
  <c r="D28"/>
  <c r="D25"/>
  <c r="D7"/>
  <c r="O11" i="145"/>
  <c r="D36" i="144"/>
  <c r="F98" i="136"/>
  <c r="F94"/>
  <c r="D33" i="146" l="1"/>
  <c r="F101" i="136"/>
  <c r="R3" s="1"/>
  <c r="O82"/>
  <c r="P20" i="145"/>
  <c r="C61"/>
  <c r="O3" s="1"/>
  <c r="C100" i="136"/>
  <c r="C23" i="144"/>
  <c r="P4"/>
  <c r="C5" s="1"/>
  <c r="C98" i="136"/>
  <c r="C94"/>
  <c r="T27" i="144"/>
  <c r="O18" i="145"/>
  <c r="C62"/>
  <c r="O16"/>
  <c r="P21" s="1"/>
  <c r="C6" i="144"/>
  <c r="P23"/>
  <c r="P24" s="1"/>
  <c r="P17"/>
  <c r="T11"/>
  <c r="T12" s="1"/>
  <c r="C8"/>
  <c r="K8"/>
  <c r="Y7"/>
  <c r="Z7" s="1"/>
  <c r="Y6"/>
  <c r="Z6" s="1"/>
  <c r="T6"/>
  <c r="U5"/>
  <c r="Y4"/>
  <c r="U4"/>
  <c r="P4" i="142"/>
  <c r="C101" i="136" l="1"/>
  <c r="O17" i="145"/>
  <c r="P22"/>
  <c r="T25" i="144"/>
  <c r="P9"/>
  <c r="U6"/>
  <c r="O88" i="136"/>
  <c r="D26" i="142"/>
  <c r="O19" i="143"/>
  <c r="C56"/>
  <c r="C55"/>
  <c r="P21"/>
  <c r="C13" i="142"/>
  <c r="C25"/>
  <c r="I68" i="136"/>
  <c r="L86"/>
  <c r="L87" s="1"/>
  <c r="B6" i="142" l="1"/>
  <c r="C6" l="1"/>
  <c r="C10" l="1"/>
  <c r="O3" i="143"/>
  <c r="O17"/>
  <c r="P22" s="1"/>
  <c r="O80" i="136"/>
  <c r="G11" i="146" s="1"/>
  <c r="O76" i="136"/>
  <c r="X84"/>
  <c r="P23" i="142"/>
  <c r="P24" s="1"/>
  <c r="P17"/>
  <c r="C14" s="1"/>
  <c r="T11"/>
  <c r="T12" s="1"/>
  <c r="K8"/>
  <c r="Y7"/>
  <c r="Z7" s="1"/>
  <c r="Y6"/>
  <c r="Z6" s="1"/>
  <c r="T6"/>
  <c r="U5"/>
  <c r="Y4"/>
  <c r="U4"/>
  <c r="P16" i="140"/>
  <c r="G11" i="144" l="1"/>
  <c r="G12" s="1"/>
  <c r="T22" s="1"/>
  <c r="T28" s="1"/>
  <c r="T30" s="1"/>
  <c r="G12" i="146"/>
  <c r="T22" s="1"/>
  <c r="T28" s="1"/>
  <c r="T26" i="142"/>
  <c r="O83" i="136"/>
  <c r="R5" s="1"/>
  <c r="G11" i="142"/>
  <c r="O18" i="143"/>
  <c r="P23"/>
  <c r="U6" i="142"/>
  <c r="P9"/>
  <c r="C12" i="140" l="1"/>
  <c r="C15"/>
  <c r="C33"/>
  <c r="X94" i="136"/>
  <c r="L82" s="1"/>
  <c r="X93"/>
  <c r="I82" s="1"/>
  <c r="L80" l="1"/>
  <c r="L76"/>
  <c r="L83" s="1"/>
  <c r="I80"/>
  <c r="I76"/>
  <c r="I83" s="1"/>
  <c r="U5" i="140" l="1"/>
  <c r="U4"/>
  <c r="P6"/>
  <c r="F82" i="136"/>
  <c r="U90"/>
  <c r="X90"/>
  <c r="F80"/>
  <c r="F76"/>
  <c r="P17" i="140"/>
  <c r="C17" s="1"/>
  <c r="O7" i="141"/>
  <c r="O4"/>
  <c r="C52"/>
  <c r="C51"/>
  <c r="O3" s="1"/>
  <c r="P39"/>
  <c r="P23" i="140"/>
  <c r="P24" s="1"/>
  <c r="T11"/>
  <c r="T29" s="1"/>
  <c r="K8"/>
  <c r="Y7"/>
  <c r="Z7" s="1"/>
  <c r="Y6"/>
  <c r="Z6" s="1"/>
  <c r="T6"/>
  <c r="Y4"/>
  <c r="F83" i="136" l="1"/>
  <c r="P9" i="140"/>
  <c r="C8"/>
  <c r="D37" s="1"/>
  <c r="D33" i="142" s="1"/>
  <c r="U6" i="140"/>
  <c r="P40" i="141"/>
  <c r="P41" s="1"/>
  <c r="O36"/>
  <c r="O17" i="138"/>
  <c r="D6" i="137"/>
  <c r="C5"/>
  <c r="C10"/>
  <c r="D7"/>
  <c r="D5"/>
  <c r="X87" i="136" l="1"/>
  <c r="C82" s="1"/>
  <c r="C80"/>
  <c r="C76"/>
  <c r="C83" l="1"/>
  <c r="O10" i="138"/>
  <c r="X81" i="136"/>
  <c r="O68" s="1"/>
  <c r="O66"/>
  <c r="O62"/>
  <c r="C13" i="137" l="1"/>
  <c r="X78" i="136" l="1"/>
  <c r="L68" s="1"/>
  <c r="L66" l="1"/>
  <c r="L62"/>
  <c r="O8" i="138"/>
  <c r="X75" i="136"/>
  <c r="F66"/>
  <c r="F62"/>
  <c r="I66"/>
  <c r="G12" i="142" s="1"/>
  <c r="I62" i="136"/>
  <c r="D28" i="137"/>
  <c r="P21"/>
  <c r="P22" s="1"/>
  <c r="K8"/>
  <c r="P15"/>
  <c r="C14" s="1"/>
  <c r="T11"/>
  <c r="T14" s="1"/>
  <c r="T29" s="1"/>
  <c r="Y7"/>
  <c r="Z7" s="1"/>
  <c r="Y6"/>
  <c r="Z6" s="1"/>
  <c r="T6"/>
  <c r="P7"/>
  <c r="U5"/>
  <c r="Y4"/>
  <c r="U4"/>
  <c r="X72" i="136"/>
  <c r="C43" i="138"/>
  <c r="C42"/>
  <c r="O3" s="1"/>
  <c r="P39"/>
  <c r="O4"/>
  <c r="F69" i="136" l="1"/>
  <c r="T23" i="142"/>
  <c r="T29" s="1"/>
  <c r="T31" s="1"/>
  <c r="G43" i="140"/>
  <c r="L69" i="136"/>
  <c r="I69"/>
  <c r="G43" i="137"/>
  <c r="G44" i="140"/>
  <c r="T26" s="1"/>
  <c r="P40" i="138"/>
  <c r="P41" s="1"/>
  <c r="O36"/>
  <c r="D34" i="137"/>
  <c r="U6"/>
  <c r="X69" i="136"/>
  <c r="G44" i="137" l="1"/>
  <c r="X66" i="136"/>
  <c r="C68" s="1"/>
  <c r="X63"/>
  <c r="X62"/>
  <c r="X59"/>
  <c r="X58"/>
  <c r="X55"/>
  <c r="X54"/>
  <c r="X53"/>
  <c r="X50"/>
  <c r="X47"/>
  <c r="X46"/>
  <c r="X45"/>
  <c r="X44"/>
  <c r="X41"/>
  <c r="X40"/>
  <c r="X39"/>
  <c r="X38"/>
  <c r="X37"/>
  <c r="X34"/>
  <c r="F40" s="1"/>
  <c r="X33"/>
  <c r="X30"/>
  <c r="X29"/>
  <c r="X28"/>
  <c r="X27"/>
  <c r="X24"/>
  <c r="X23"/>
  <c r="X22"/>
  <c r="F26" s="1"/>
  <c r="X21"/>
  <c r="X20"/>
  <c r="I26" s="1"/>
  <c r="X17"/>
  <c r="X16"/>
  <c r="X15"/>
  <c r="L12" s="1"/>
  <c r="X14"/>
  <c r="X13"/>
  <c r="X12"/>
  <c r="X11"/>
  <c r="O40" l="1"/>
  <c r="O26"/>
  <c r="O12"/>
  <c r="L26"/>
  <c r="F12"/>
  <c r="L40"/>
  <c r="C54"/>
  <c r="L54"/>
  <c r="O54"/>
  <c r="I12"/>
  <c r="C40"/>
  <c r="I40"/>
  <c r="F54"/>
  <c r="I54"/>
  <c r="C26"/>
  <c r="X8"/>
  <c r="X5"/>
  <c r="C12" l="1"/>
  <c r="C66"/>
  <c r="C62"/>
  <c r="O52"/>
  <c r="O48"/>
  <c r="O55" l="1"/>
  <c r="C69"/>
  <c r="L52"/>
  <c r="I52"/>
  <c r="F52"/>
  <c r="L48"/>
  <c r="I48"/>
  <c r="F48"/>
  <c r="F55" l="1"/>
  <c r="L55"/>
  <c r="I55"/>
  <c r="C52" l="1"/>
  <c r="C48"/>
  <c r="L34"/>
  <c r="O38"/>
  <c r="O34"/>
  <c r="L38"/>
  <c r="L41" l="1"/>
  <c r="C55"/>
  <c r="O41"/>
  <c r="G44" i="134"/>
  <c r="I38" i="136"/>
  <c r="I34"/>
  <c r="F38"/>
  <c r="F34"/>
  <c r="I41" l="1"/>
  <c r="F41"/>
  <c r="O24" l="1"/>
  <c r="O20"/>
  <c r="C38"/>
  <c r="C34"/>
  <c r="L24"/>
  <c r="L20"/>
  <c r="C41" l="1"/>
  <c r="L27"/>
  <c r="O27"/>
  <c r="O16" i="135"/>
  <c r="I24" i="136" l="1"/>
  <c r="I20"/>
  <c r="F24"/>
  <c r="F20"/>
  <c r="C24"/>
  <c r="C20"/>
  <c r="I27" l="1"/>
  <c r="F27"/>
  <c r="C27"/>
  <c r="O10"/>
  <c r="O6"/>
  <c r="O13" l="1"/>
  <c r="L10"/>
  <c r="L6"/>
  <c r="I10"/>
  <c r="I6"/>
  <c r="F10"/>
  <c r="F6"/>
  <c r="C10"/>
  <c r="C13" s="1"/>
  <c r="F13" l="1"/>
  <c r="L13"/>
  <c r="I13"/>
  <c r="R7" l="1"/>
  <c r="L15" i="134"/>
  <c r="L16"/>
  <c r="M15" l="1"/>
  <c r="M16"/>
  <c r="O4" i="135" l="1"/>
  <c r="P26" s="1"/>
  <c r="C36" i="134"/>
  <c r="C35"/>
  <c r="R6"/>
  <c r="R20"/>
  <c r="R21" s="1"/>
  <c r="K17"/>
  <c r="R14"/>
  <c r="M14"/>
  <c r="L14"/>
  <c r="V11"/>
  <c r="V14" s="1"/>
  <c r="V29" s="1"/>
  <c r="AA7"/>
  <c r="AB7" s="1"/>
  <c r="AA6"/>
  <c r="AB6" s="1"/>
  <c r="V6"/>
  <c r="W5"/>
  <c r="AA4"/>
  <c r="W4"/>
  <c r="P25" i="135"/>
  <c r="C68"/>
  <c r="C67"/>
  <c r="O3" s="1"/>
  <c r="G27" i="132"/>
  <c r="C55" i="133"/>
  <c r="C14" i="132"/>
  <c r="O4" i="133"/>
  <c r="K15" i="132"/>
  <c r="C32"/>
  <c r="M12"/>
  <c r="M13"/>
  <c r="M14"/>
  <c r="L12"/>
  <c r="L13"/>
  <c r="L14"/>
  <c r="M11"/>
  <c r="L11"/>
  <c r="R19"/>
  <c r="R20" s="1"/>
  <c r="R13"/>
  <c r="C17" s="1"/>
  <c r="V11"/>
  <c r="V14" s="1"/>
  <c r="V28" s="1"/>
  <c r="R5"/>
  <c r="AA7"/>
  <c r="AB7" s="1"/>
  <c r="AA6"/>
  <c r="AB6" s="1"/>
  <c r="V6"/>
  <c r="W5"/>
  <c r="AA4"/>
  <c r="W4"/>
  <c r="C54" i="133"/>
  <c r="O3" s="1"/>
  <c r="C45" i="131"/>
  <c r="C9" i="132"/>
  <c r="C44" i="131"/>
  <c r="P26"/>
  <c r="P27" s="1"/>
  <c r="P25"/>
  <c r="D41" i="130"/>
  <c r="G33"/>
  <c r="G32"/>
  <c r="Q30"/>
  <c r="Q26"/>
  <c r="C23"/>
  <c r="Q18"/>
  <c r="Q11"/>
  <c r="Q14" s="1"/>
  <c r="K9"/>
  <c r="V7"/>
  <c r="W7" s="1"/>
  <c r="V6"/>
  <c r="W6" s="1"/>
  <c r="Q6"/>
  <c r="N6"/>
  <c r="N7" s="1"/>
  <c r="R5"/>
  <c r="V4"/>
  <c r="R4"/>
  <c r="C39" i="128"/>
  <c r="C38"/>
  <c r="P25"/>
  <c r="O3"/>
  <c r="O20" s="1"/>
  <c r="S40" i="125"/>
  <c r="S38"/>
  <c r="D36"/>
  <c r="S30"/>
  <c r="S28"/>
  <c r="X26"/>
  <c r="S26"/>
  <c r="S18"/>
  <c r="X13"/>
  <c r="X21" s="1"/>
  <c r="X12"/>
  <c r="X11"/>
  <c r="S11"/>
  <c r="S14" s="1"/>
  <c r="S39" s="1"/>
  <c r="X10"/>
  <c r="X16" s="1"/>
  <c r="M9"/>
  <c r="X7"/>
  <c r="Y7" s="1"/>
  <c r="D7"/>
  <c r="D35" s="1"/>
  <c r="X6"/>
  <c r="Y6" s="1"/>
  <c r="P6"/>
  <c r="P7" s="1"/>
  <c r="T5"/>
  <c r="X4"/>
  <c r="T4"/>
  <c r="C39" i="127"/>
  <c r="H3"/>
  <c r="H10" s="1"/>
  <c r="D35" i="124"/>
  <c r="D31"/>
  <c r="C28"/>
  <c r="H27"/>
  <c r="L10"/>
  <c r="H10"/>
  <c r="D7"/>
  <c r="D34" s="1"/>
  <c r="D36" s="1"/>
  <c r="L5"/>
  <c r="L6" s="1"/>
  <c r="C63" i="126"/>
  <c r="H3" s="1"/>
  <c r="D33" i="123"/>
  <c r="H27"/>
  <c r="L10"/>
  <c r="H10"/>
  <c r="D9"/>
  <c r="D32"/>
  <c r="C8"/>
  <c r="L5"/>
  <c r="L6" s="1"/>
  <c r="H27" i="122"/>
  <c r="D35" s="1"/>
  <c r="L10"/>
  <c r="H10"/>
  <c r="C10"/>
  <c r="D9"/>
  <c r="D34" s="1"/>
  <c r="D36" s="1"/>
  <c r="L5"/>
  <c r="L6" s="1"/>
  <c r="D43" i="121"/>
  <c r="C40"/>
  <c r="D37"/>
  <c r="H32"/>
  <c r="C22"/>
  <c r="L10"/>
  <c r="H10"/>
  <c r="L5"/>
  <c r="L6" s="1"/>
  <c r="H16" s="1"/>
  <c r="H27" s="1"/>
  <c r="D48" i="120"/>
  <c r="H32"/>
  <c r="D21"/>
  <c r="D12"/>
  <c r="L10"/>
  <c r="H10"/>
  <c r="D10"/>
  <c r="C10"/>
  <c r="L5"/>
  <c r="L6" s="1"/>
  <c r="H16" s="1"/>
  <c r="H27" s="1"/>
  <c r="E56" i="119"/>
  <c r="I27"/>
  <c r="M10"/>
  <c r="M5"/>
  <c r="M6" s="1"/>
  <c r="I11" s="1"/>
  <c r="I22" s="1"/>
  <c r="I27" i="118"/>
  <c r="E16"/>
  <c r="E15"/>
  <c r="E14"/>
  <c r="E51" s="1"/>
  <c r="C12"/>
  <c r="M10"/>
  <c r="M6"/>
  <c r="I11" s="1"/>
  <c r="I22" s="1"/>
  <c r="C6"/>
  <c r="M5"/>
  <c r="C28" i="117"/>
  <c r="M16"/>
  <c r="M12"/>
  <c r="C11"/>
  <c r="E8"/>
  <c r="E39" s="1"/>
  <c r="C6"/>
  <c r="M5"/>
  <c r="M6" s="1"/>
  <c r="I11" s="1"/>
  <c r="I22" s="1"/>
  <c r="E25" i="116"/>
  <c r="M16"/>
  <c r="I15"/>
  <c r="I12"/>
  <c r="E11"/>
  <c r="M10"/>
  <c r="M12" s="1"/>
  <c r="E9"/>
  <c r="M5"/>
  <c r="M6" s="1"/>
  <c r="I11" s="1"/>
  <c r="I21" s="1"/>
  <c r="C35" i="115"/>
  <c r="E31"/>
  <c r="E29"/>
  <c r="E27"/>
  <c r="I15"/>
  <c r="E14"/>
  <c r="I12"/>
  <c r="E12"/>
  <c r="E11"/>
  <c r="M6"/>
  <c r="I11" s="1"/>
  <c r="I21" s="1"/>
  <c r="M5"/>
  <c r="E33" i="114"/>
  <c r="C30"/>
  <c r="N18"/>
  <c r="I15"/>
  <c r="I13"/>
  <c r="I12"/>
  <c r="I10"/>
  <c r="M3"/>
  <c r="M5" s="1"/>
  <c r="M6" s="1"/>
  <c r="I11" s="1"/>
  <c r="I21" s="1"/>
  <c r="C42" i="113"/>
  <c r="E31"/>
  <c r="E43" s="1"/>
  <c r="C28"/>
  <c r="I15"/>
  <c r="I13"/>
  <c r="I12"/>
  <c r="M10"/>
  <c r="M11" s="1"/>
  <c r="I11" s="1"/>
  <c r="I10"/>
  <c r="M8"/>
  <c r="E35" i="112"/>
  <c r="C34"/>
  <c r="C33"/>
  <c r="E27"/>
  <c r="I15"/>
  <c r="I13"/>
  <c r="I12"/>
  <c r="M10"/>
  <c r="M11" s="1"/>
  <c r="I11" s="1"/>
  <c r="I21" s="1"/>
  <c r="E37" i="111"/>
  <c r="C36"/>
  <c r="C35"/>
  <c r="C30"/>
  <c r="I15"/>
  <c r="I13"/>
  <c r="I12"/>
  <c r="M10"/>
  <c r="M11" s="1"/>
  <c r="I11" s="1"/>
  <c r="E35" i="110"/>
  <c r="C34"/>
  <c r="C33"/>
  <c r="C31"/>
  <c r="I15"/>
  <c r="C15"/>
  <c r="I13"/>
  <c r="I12"/>
  <c r="M10"/>
  <c r="M11" s="1"/>
  <c r="I11" s="1"/>
  <c r="C6"/>
  <c r="C38" i="109"/>
  <c r="E34"/>
  <c r="E32"/>
  <c r="C27"/>
  <c r="E26"/>
  <c r="C21"/>
  <c r="E20"/>
  <c r="I15"/>
  <c r="C14"/>
  <c r="I13"/>
  <c r="C13"/>
  <c r="I12"/>
  <c r="M10"/>
  <c r="M11" s="1"/>
  <c r="I11" s="1"/>
  <c r="I21" s="1"/>
  <c r="C8"/>
  <c r="E8" s="1"/>
  <c r="E39" s="1"/>
  <c r="L6"/>
  <c r="E33" i="108"/>
  <c r="M29"/>
  <c r="L10" s="1"/>
  <c r="I29"/>
  <c r="O28"/>
  <c r="M28"/>
  <c r="I28"/>
  <c r="L16" s="1"/>
  <c r="O27"/>
  <c r="L5" s="1"/>
  <c r="I27"/>
  <c r="L19"/>
  <c r="I17"/>
  <c r="I15"/>
  <c r="L14"/>
  <c r="I14"/>
  <c r="I13"/>
  <c r="I21" s="1"/>
  <c r="C13"/>
  <c r="C12"/>
  <c r="E9"/>
  <c r="E8"/>
  <c r="L7"/>
  <c r="L6"/>
  <c r="L4"/>
  <c r="E4"/>
  <c r="E38" s="1"/>
  <c r="N3"/>
  <c r="L3"/>
  <c r="M29" i="107"/>
  <c r="I29"/>
  <c r="I15" s="1"/>
  <c r="O28"/>
  <c r="I14" s="1"/>
  <c r="M28"/>
  <c r="I28"/>
  <c r="L16" s="1"/>
  <c r="O27"/>
  <c r="L5" s="1"/>
  <c r="I27"/>
  <c r="L19"/>
  <c r="I17"/>
  <c r="L15"/>
  <c r="L14"/>
  <c r="I13"/>
  <c r="L10"/>
  <c r="C10"/>
  <c r="L7"/>
  <c r="L6"/>
  <c r="E6"/>
  <c r="E34" s="1"/>
  <c r="L4"/>
  <c r="N3"/>
  <c r="L3"/>
  <c r="E30" i="106"/>
  <c r="M29"/>
  <c r="M30" s="1"/>
  <c r="I29"/>
  <c r="L17"/>
  <c r="I17"/>
  <c r="L16"/>
  <c r="L15"/>
  <c r="I15"/>
  <c r="L13"/>
  <c r="I13"/>
  <c r="I12"/>
  <c r="I11"/>
  <c r="C11"/>
  <c r="I10"/>
  <c r="C10"/>
  <c r="L8"/>
  <c r="L7"/>
  <c r="L6"/>
  <c r="O5"/>
  <c r="I14" s="1"/>
  <c r="O4"/>
  <c r="L5" s="1"/>
  <c r="L4"/>
  <c r="C4"/>
  <c r="L3"/>
  <c r="E31" i="105"/>
  <c r="M29"/>
  <c r="M30" s="1"/>
  <c r="L9" s="1"/>
  <c r="I29"/>
  <c r="I15" s="1"/>
  <c r="C23"/>
  <c r="L17"/>
  <c r="L16"/>
  <c r="L15"/>
  <c r="I14"/>
  <c r="L13"/>
  <c r="I13"/>
  <c r="I12"/>
  <c r="I11"/>
  <c r="C11"/>
  <c r="I10"/>
  <c r="C10"/>
  <c r="L8"/>
  <c r="L7"/>
  <c r="L6"/>
  <c r="O5"/>
  <c r="O4"/>
  <c r="L5" s="1"/>
  <c r="L4"/>
  <c r="L3"/>
  <c r="I29" i="104"/>
  <c r="I15" s="1"/>
  <c r="M28"/>
  <c r="M29" s="1"/>
  <c r="I19"/>
  <c r="L15"/>
  <c r="L14"/>
  <c r="I14"/>
  <c r="I13"/>
  <c r="L12"/>
  <c r="I12"/>
  <c r="I11"/>
  <c r="I10"/>
  <c r="E9"/>
  <c r="E33" s="1"/>
  <c r="L7"/>
  <c r="L6"/>
  <c r="C6"/>
  <c r="O5"/>
  <c r="O4"/>
  <c r="L5" s="1"/>
  <c r="L4"/>
  <c r="L3"/>
  <c r="M31" i="103"/>
  <c r="M32" s="1"/>
  <c r="I29"/>
  <c r="I15" s="1"/>
  <c r="E25"/>
  <c r="L13"/>
  <c r="I13"/>
  <c r="C12"/>
  <c r="L11"/>
  <c r="L6"/>
  <c r="O5"/>
  <c r="I14" s="1"/>
  <c r="L5"/>
  <c r="O4"/>
  <c r="L4"/>
  <c r="L3"/>
  <c r="M32" i="102"/>
  <c r="L7" s="1"/>
  <c r="E32"/>
  <c r="M31"/>
  <c r="I29"/>
  <c r="C18"/>
  <c r="C17"/>
  <c r="I15"/>
  <c r="I21" s="1"/>
  <c r="L13"/>
  <c r="I13"/>
  <c r="L11"/>
  <c r="L6"/>
  <c r="O5"/>
  <c r="I14" s="1"/>
  <c r="O4"/>
  <c r="L5" s="1"/>
  <c r="L4"/>
  <c r="L3"/>
  <c r="E38" i="101"/>
  <c r="M31"/>
  <c r="M32" s="1"/>
  <c r="L7" s="1"/>
  <c r="C24"/>
  <c r="I15"/>
  <c r="L13"/>
  <c r="I13"/>
  <c r="L11"/>
  <c r="L6"/>
  <c r="O5"/>
  <c r="I14" s="1"/>
  <c r="O4"/>
  <c r="L5" s="1"/>
  <c r="L4"/>
  <c r="L3"/>
  <c r="E34" i="100"/>
  <c r="O21"/>
  <c r="C18"/>
  <c r="I15"/>
  <c r="L13"/>
  <c r="I13"/>
  <c r="I21" s="1"/>
  <c r="L11"/>
  <c r="L16" s="1"/>
  <c r="L6"/>
  <c r="O5"/>
  <c r="I14" s="1"/>
  <c r="O4"/>
  <c r="L5" s="1"/>
  <c r="L4"/>
  <c r="L3"/>
  <c r="E29" i="99"/>
  <c r="O21"/>
  <c r="I18"/>
  <c r="I15"/>
  <c r="C14"/>
  <c r="L13"/>
  <c r="I13"/>
  <c r="L11"/>
  <c r="C6"/>
  <c r="O5"/>
  <c r="I14" s="1"/>
  <c r="L5"/>
  <c r="O4"/>
  <c r="L4"/>
  <c r="L3"/>
  <c r="E27" i="98"/>
  <c r="C21"/>
  <c r="L16"/>
  <c r="I16"/>
  <c r="I15"/>
  <c r="I13"/>
  <c r="C13"/>
  <c r="L11"/>
  <c r="C10"/>
  <c r="O5"/>
  <c r="I14" s="1"/>
  <c r="C5"/>
  <c r="O4"/>
  <c r="L5" s="1"/>
  <c r="L3"/>
  <c r="L8" s="1"/>
  <c r="E33" i="97"/>
  <c r="I15"/>
  <c r="I13"/>
  <c r="L11"/>
  <c r="L16" s="1"/>
  <c r="O5"/>
  <c r="I14" s="1"/>
  <c r="O4"/>
  <c r="L5" s="1"/>
  <c r="L3"/>
  <c r="E24" i="96"/>
  <c r="E22"/>
  <c r="M18"/>
  <c r="M17"/>
  <c r="M16"/>
  <c r="M21" s="1"/>
  <c r="C11"/>
  <c r="E9"/>
  <c r="M8"/>
  <c r="E8"/>
  <c r="E7"/>
  <c r="C6"/>
  <c r="E6" s="1"/>
  <c r="R5"/>
  <c r="E5"/>
  <c r="R4"/>
  <c r="E33" i="95"/>
  <c r="M16"/>
  <c r="M19" s="1"/>
  <c r="M8"/>
  <c r="R5"/>
  <c r="R4"/>
  <c r="C22" i="94"/>
  <c r="M16"/>
  <c r="M18" s="1"/>
  <c r="M8"/>
  <c r="E8"/>
  <c r="E29" s="1"/>
  <c r="E7"/>
  <c r="R5"/>
  <c r="R4"/>
  <c r="C4"/>
  <c r="E29" i="93"/>
  <c r="C19"/>
  <c r="M16"/>
  <c r="M18" s="1"/>
  <c r="M8"/>
  <c r="R5"/>
  <c r="R4"/>
  <c r="E25" i="92"/>
  <c r="M16"/>
  <c r="M18" s="1"/>
  <c r="M8"/>
  <c r="C7"/>
  <c r="R5"/>
  <c r="R4"/>
  <c r="M16" i="91"/>
  <c r="M18" s="1"/>
  <c r="M8"/>
  <c r="E6"/>
  <c r="E26" s="1"/>
  <c r="R5"/>
  <c r="R4"/>
  <c r="E27" i="90"/>
  <c r="C25"/>
  <c r="C24"/>
  <c r="M16"/>
  <c r="M18" s="1"/>
  <c r="M8"/>
  <c r="R5"/>
  <c r="R4"/>
  <c r="C4"/>
  <c r="I3"/>
  <c r="M16" i="89"/>
  <c r="M12"/>
  <c r="M17" s="1"/>
  <c r="E9"/>
  <c r="E30" s="1"/>
  <c r="M4"/>
  <c r="M7" s="1"/>
  <c r="C31" i="88"/>
  <c r="E31" s="1"/>
  <c r="E30"/>
  <c r="E33" s="1"/>
  <c r="C20"/>
  <c r="M16"/>
  <c r="M6"/>
  <c r="M4"/>
  <c r="M7" s="1"/>
  <c r="E26" i="87"/>
  <c r="M12"/>
  <c r="M11"/>
  <c r="M6"/>
  <c r="M4"/>
  <c r="C4"/>
  <c r="M3"/>
  <c r="E27" i="86"/>
  <c r="C23"/>
  <c r="M12"/>
  <c r="M11"/>
  <c r="M16" s="1"/>
  <c r="C11"/>
  <c r="M6"/>
  <c r="M4"/>
  <c r="C4"/>
  <c r="M3"/>
  <c r="M7" s="1"/>
  <c r="E31" i="85"/>
  <c r="M12"/>
  <c r="M11"/>
  <c r="M16" s="1"/>
  <c r="M6"/>
  <c r="M4"/>
  <c r="M3"/>
  <c r="E24" i="84"/>
  <c r="M17"/>
  <c r="M13"/>
  <c r="M12"/>
  <c r="E8"/>
  <c r="E28" s="1"/>
  <c r="M5"/>
  <c r="M8" s="1"/>
  <c r="M3"/>
  <c r="C18" i="83"/>
  <c r="M17"/>
  <c r="M13"/>
  <c r="M12"/>
  <c r="E6"/>
  <c r="E29" s="1"/>
  <c r="M5"/>
  <c r="M3"/>
  <c r="M8" s="1"/>
  <c r="O22" i="82"/>
  <c r="E15"/>
  <c r="E32" s="1"/>
  <c r="M12"/>
  <c r="M17" s="1"/>
  <c r="M5"/>
  <c r="M8" s="1"/>
  <c r="C19" i="81"/>
  <c r="E14"/>
  <c r="M12"/>
  <c r="M17" s="1"/>
  <c r="E10"/>
  <c r="E34" s="1"/>
  <c r="M8"/>
  <c r="M5"/>
  <c r="M17" i="80"/>
  <c r="C17"/>
  <c r="M12"/>
  <c r="E7"/>
  <c r="E22" s="1"/>
  <c r="M5"/>
  <c r="M8" s="1"/>
  <c r="E27" i="79"/>
  <c r="M12"/>
  <c r="M17" s="1"/>
  <c r="M5"/>
  <c r="M8" s="1"/>
  <c r="C4"/>
  <c r="E29" i="78"/>
  <c r="I9"/>
  <c r="M6"/>
  <c r="C4"/>
  <c r="E21" i="77"/>
  <c r="I12"/>
  <c r="I9"/>
  <c r="M6"/>
  <c r="E28" i="76"/>
  <c r="I9"/>
  <c r="E12" i="75"/>
  <c r="E30" s="1"/>
  <c r="I9"/>
  <c r="C8"/>
  <c r="C7"/>
  <c r="M4"/>
  <c r="M9" s="1"/>
  <c r="E24" i="74"/>
  <c r="E26" s="1"/>
  <c r="C19"/>
  <c r="M9"/>
  <c r="I9"/>
  <c r="C8"/>
  <c r="E46" i="73"/>
  <c r="E45"/>
  <c r="E44"/>
  <c r="E43"/>
  <c r="E42"/>
  <c r="E41"/>
  <c r="C41"/>
  <c r="C40"/>
  <c r="C39"/>
  <c r="E39" s="1"/>
  <c r="E38"/>
  <c r="E37"/>
  <c r="C34"/>
  <c r="E34" s="1"/>
  <c r="E33"/>
  <c r="E32"/>
  <c r="E31"/>
  <c r="E29"/>
  <c r="E22"/>
  <c r="C13"/>
  <c r="E12"/>
  <c r="M9"/>
  <c r="I9"/>
  <c r="E9"/>
  <c r="C5"/>
  <c r="E5" s="1"/>
  <c r="E47" s="1"/>
  <c r="E32" i="72"/>
  <c r="C30"/>
  <c r="E28"/>
  <c r="C27"/>
  <c r="C26"/>
  <c r="C20"/>
  <c r="E19"/>
  <c r="E34" s="1"/>
  <c r="M9"/>
  <c r="I9"/>
  <c r="C4"/>
  <c r="E29" i="71"/>
  <c r="I7"/>
  <c r="I9" s="1"/>
  <c r="C6"/>
  <c r="C4"/>
  <c r="E20" i="70"/>
  <c r="I9"/>
  <c r="E8"/>
  <c r="E6"/>
  <c r="C4"/>
  <c r="E19" i="69"/>
  <c r="C5"/>
  <c r="I3"/>
  <c r="I9" s="1"/>
  <c r="E21" i="68"/>
  <c r="I9"/>
  <c r="E23" i="67"/>
  <c r="C14"/>
  <c r="C12"/>
  <c r="I9"/>
  <c r="C7"/>
  <c r="C6"/>
  <c r="C5"/>
  <c r="E23" i="66"/>
  <c r="I9"/>
  <c r="E18" i="65"/>
  <c r="E27" s="1"/>
  <c r="I9"/>
  <c r="E18" i="64"/>
  <c r="E25" s="1"/>
  <c r="I9"/>
  <c r="E31" i="63"/>
  <c r="E26"/>
  <c r="L19"/>
  <c r="P15"/>
  <c r="P14"/>
  <c r="E14"/>
  <c r="P13"/>
  <c r="E13"/>
  <c r="P12"/>
  <c r="P11"/>
  <c r="P10"/>
  <c r="P9"/>
  <c r="I9"/>
  <c r="P8"/>
  <c r="P7"/>
  <c r="P6"/>
  <c r="P5"/>
  <c r="P3"/>
  <c r="P19" s="1"/>
  <c r="E28" i="62"/>
  <c r="L19"/>
  <c r="P15"/>
  <c r="P14"/>
  <c r="P13"/>
  <c r="P12"/>
  <c r="P11"/>
  <c r="P10"/>
  <c r="C10"/>
  <c r="P9"/>
  <c r="I9"/>
  <c r="P8"/>
  <c r="P7"/>
  <c r="C7"/>
  <c r="P6"/>
  <c r="P5"/>
  <c r="C5"/>
  <c r="P3"/>
  <c r="E30" i="61"/>
  <c r="C26"/>
  <c r="L20"/>
  <c r="I9"/>
  <c r="C8"/>
  <c r="E23" i="59"/>
  <c r="L21"/>
  <c r="E20"/>
  <c r="E19"/>
  <c r="I9"/>
  <c r="E25" i="58"/>
  <c r="E24"/>
  <c r="L22"/>
  <c r="E10"/>
  <c r="E32" s="1"/>
  <c r="I9"/>
  <c r="E31" i="57"/>
  <c r="L17"/>
  <c r="L10"/>
  <c r="C10"/>
  <c r="I9"/>
  <c r="E24" i="56"/>
  <c r="L15"/>
  <c r="I9"/>
  <c r="E7"/>
  <c r="C33" i="55"/>
  <c r="C32"/>
  <c r="C30"/>
  <c r="C28"/>
  <c r="J27"/>
  <c r="L3" s="1"/>
  <c r="Q17"/>
  <c r="I9"/>
  <c r="C9"/>
  <c r="L6"/>
  <c r="E3"/>
  <c r="E34" s="1"/>
  <c r="E26" i="54"/>
  <c r="E25"/>
  <c r="E21"/>
  <c r="Q17"/>
  <c r="E14"/>
  <c r="I9"/>
  <c r="L3" s="1"/>
  <c r="L13" s="1"/>
  <c r="Q19" s="1"/>
  <c r="C9"/>
  <c r="E9" s="1"/>
  <c r="E7"/>
  <c r="Q17" i="53"/>
  <c r="I9"/>
  <c r="L3" s="1"/>
  <c r="L17" s="1"/>
  <c r="Q19" s="1"/>
  <c r="E8"/>
  <c r="C6"/>
  <c r="E3"/>
  <c r="E34" s="1"/>
  <c r="I18" i="52"/>
  <c r="U17"/>
  <c r="Q17"/>
  <c r="E12"/>
  <c r="C10"/>
  <c r="E6"/>
  <c r="I3"/>
  <c r="L4" s="1"/>
  <c r="L14" s="1"/>
  <c r="E26" i="51"/>
  <c r="C20"/>
  <c r="I18"/>
  <c r="U17"/>
  <c r="Q17"/>
  <c r="E15"/>
  <c r="C9"/>
  <c r="I3"/>
  <c r="L4" s="1"/>
  <c r="L20" s="1"/>
  <c r="E26" i="50"/>
  <c r="C25"/>
  <c r="E25" s="1"/>
  <c r="I19"/>
  <c r="U17"/>
  <c r="Q17"/>
  <c r="C7"/>
  <c r="L5"/>
  <c r="I3"/>
  <c r="L4" s="1"/>
  <c r="L22" s="1"/>
  <c r="E20" i="49"/>
  <c r="E28" s="1"/>
  <c r="U17"/>
  <c r="Q17"/>
  <c r="I12"/>
  <c r="I19" s="1"/>
  <c r="C7"/>
  <c r="C6"/>
  <c r="L4"/>
  <c r="I3"/>
  <c r="L5" s="1"/>
  <c r="C33" i="48"/>
  <c r="C30"/>
  <c r="I19"/>
  <c r="U17"/>
  <c r="Q17"/>
  <c r="E14"/>
  <c r="E34" s="1"/>
  <c r="L5"/>
  <c r="L20" s="1"/>
  <c r="I3"/>
  <c r="E22" i="47"/>
  <c r="I19"/>
  <c r="U17"/>
  <c r="Q17"/>
  <c r="E10"/>
  <c r="L3"/>
  <c r="L12" s="1"/>
  <c r="I3"/>
  <c r="L8" s="1"/>
  <c r="E26" i="46"/>
  <c r="I19"/>
  <c r="U17"/>
  <c r="Q17"/>
  <c r="L12"/>
  <c r="L3"/>
  <c r="L16" s="1"/>
  <c r="E23" i="45"/>
  <c r="I19"/>
  <c r="U17"/>
  <c r="Q17"/>
  <c r="L15"/>
  <c r="C7"/>
  <c r="L3"/>
  <c r="C22" i="44"/>
  <c r="U17"/>
  <c r="Q17"/>
  <c r="I12"/>
  <c r="I19" s="1"/>
  <c r="L3"/>
  <c r="L17" s="1"/>
  <c r="I3"/>
  <c r="E3"/>
  <c r="E24" s="1"/>
  <c r="L20" i="43"/>
  <c r="I19"/>
  <c r="U17"/>
  <c r="Q17"/>
  <c r="E4"/>
  <c r="E21" s="1"/>
  <c r="I3"/>
  <c r="I19" i="42"/>
  <c r="U17"/>
  <c r="Q17"/>
  <c r="L12"/>
  <c r="E4"/>
  <c r="E20" s="1"/>
  <c r="I3"/>
  <c r="E22" i="41"/>
  <c r="C20"/>
  <c r="I18"/>
  <c r="E18"/>
  <c r="U17"/>
  <c r="Q17"/>
  <c r="L13"/>
  <c r="E9"/>
  <c r="E7"/>
  <c r="E23" s="1"/>
  <c r="I3"/>
  <c r="U17" i="40"/>
  <c r="Q17"/>
  <c r="I17"/>
  <c r="L13"/>
  <c r="E5"/>
  <c r="E21" s="1"/>
  <c r="I3"/>
  <c r="U17" i="39"/>
  <c r="I17"/>
  <c r="C16"/>
  <c r="C15"/>
  <c r="L13"/>
  <c r="E9"/>
  <c r="Q7"/>
  <c r="Q6"/>
  <c r="Q5"/>
  <c r="Q17" s="1"/>
  <c r="E5"/>
  <c r="E22" s="1"/>
  <c r="U29" i="38"/>
  <c r="I26"/>
  <c r="L14"/>
  <c r="C14"/>
  <c r="Q5"/>
  <c r="Q29" s="1"/>
  <c r="E3"/>
  <c r="E24" s="1"/>
  <c r="U29" i="37"/>
  <c r="M26"/>
  <c r="I26"/>
  <c r="C24"/>
  <c r="M23"/>
  <c r="M22"/>
  <c r="M21"/>
  <c r="C21"/>
  <c r="M20"/>
  <c r="M19"/>
  <c r="C17"/>
  <c r="C13"/>
  <c r="C10"/>
  <c r="E8"/>
  <c r="E32" s="1"/>
  <c r="C6"/>
  <c r="Q5"/>
  <c r="Q29" s="1"/>
  <c r="L12" s="1"/>
  <c r="L15" s="1"/>
  <c r="U29" i="36"/>
  <c r="Q29"/>
  <c r="C24"/>
  <c r="C23"/>
  <c r="L15"/>
  <c r="E9"/>
  <c r="C8"/>
  <c r="E4"/>
  <c r="U29" i="35"/>
  <c r="Q29"/>
  <c r="E25"/>
  <c r="E24"/>
  <c r="L17"/>
  <c r="C14"/>
  <c r="C8"/>
  <c r="C7"/>
  <c r="E7" s="1"/>
  <c r="E4"/>
  <c r="E28" s="1"/>
  <c r="I3"/>
  <c r="U22" i="34"/>
  <c r="Q22"/>
  <c r="C16"/>
  <c r="E16" s="1"/>
  <c r="E42" s="1"/>
  <c r="L9"/>
  <c r="L8"/>
  <c r="L17" s="1"/>
  <c r="I3"/>
  <c r="E37" i="33"/>
  <c r="T22"/>
  <c r="P22"/>
  <c r="C18"/>
  <c r="C15"/>
  <c r="I14"/>
  <c r="E13"/>
  <c r="E11"/>
  <c r="C10"/>
  <c r="C7"/>
  <c r="T22" i="32"/>
  <c r="P22"/>
  <c r="E11"/>
  <c r="E37" s="1"/>
  <c r="E33" i="31"/>
  <c r="S22"/>
  <c r="P22"/>
  <c r="C8"/>
  <c r="C10" i="30"/>
  <c r="C6"/>
  <c r="E6" s="1"/>
  <c r="E36" s="1"/>
  <c r="M39" i="29"/>
  <c r="R38"/>
  <c r="R41" s="1"/>
  <c r="Q38"/>
  <c r="Q41" s="1"/>
  <c r="P38"/>
  <c r="P41" s="1"/>
  <c r="O38"/>
  <c r="O41" s="1"/>
  <c r="N38"/>
  <c r="N41" s="1"/>
  <c r="M38"/>
  <c r="M41" s="1"/>
  <c r="E32"/>
  <c r="C26"/>
  <c r="S22"/>
  <c r="P22"/>
  <c r="C12"/>
  <c r="E30" i="28"/>
  <c r="P22"/>
  <c r="C6"/>
  <c r="E35" i="27"/>
  <c r="S19"/>
  <c r="P19"/>
  <c r="C6"/>
  <c r="E49" i="26"/>
  <c r="E48"/>
  <c r="S19"/>
  <c r="P19"/>
  <c r="C10" i="25"/>
  <c r="C6"/>
  <c r="E4"/>
  <c r="E43" s="1"/>
  <c r="E3"/>
  <c r="E4" i="24"/>
  <c r="E3"/>
  <c r="E38" s="1"/>
  <c r="E31" i="23"/>
  <c r="C29"/>
  <c r="C7"/>
  <c r="E31" i="22"/>
  <c r="E32" i="21"/>
  <c r="C23"/>
  <c r="C12" i="20"/>
  <c r="C9"/>
  <c r="E3"/>
  <c r="E33" s="1"/>
  <c r="E31" i="19"/>
  <c r="C12"/>
  <c r="C10"/>
  <c r="E25" i="18"/>
  <c r="C11" i="17"/>
  <c r="E4"/>
  <c r="E3"/>
  <c r="E23" s="1"/>
  <c r="C23" i="16"/>
  <c r="H29" i="15"/>
  <c r="C25"/>
  <c r="C22" i="14"/>
  <c r="C25" i="13"/>
  <c r="C23" i="12"/>
  <c r="G5"/>
  <c r="G4"/>
  <c r="C4" i="11"/>
  <c r="C21" s="1"/>
  <c r="C23" i="10"/>
  <c r="C22"/>
  <c r="C38" s="1"/>
  <c r="C29" i="9"/>
  <c r="C20" i="8"/>
  <c r="C23" i="7"/>
  <c r="C30" i="6"/>
  <c r="H13"/>
  <c r="H8"/>
  <c r="H6"/>
  <c r="H9" s="1"/>
  <c r="C5"/>
  <c r="C4"/>
  <c r="C29" s="1"/>
  <c r="C20" i="5"/>
  <c r="C26" s="1"/>
  <c r="H15"/>
  <c r="H14"/>
  <c r="H8"/>
  <c r="H6"/>
  <c r="C17" i="4"/>
  <c r="C20" s="1"/>
  <c r="H14"/>
  <c r="H15" s="1"/>
  <c r="H8"/>
  <c r="H6"/>
  <c r="H9" s="1"/>
  <c r="G17" i="3"/>
  <c r="G18" s="1"/>
  <c r="C17"/>
  <c r="G11"/>
  <c r="G9"/>
  <c r="G12" s="1"/>
  <c r="C5"/>
  <c r="G4"/>
  <c r="C4"/>
  <c r="G18" i="2"/>
  <c r="C18"/>
  <c r="G16"/>
  <c r="G15"/>
  <c r="G12"/>
  <c r="G11"/>
  <c r="G9"/>
  <c r="J7"/>
  <c r="C6"/>
  <c r="C7" s="1"/>
  <c r="C9" s="1"/>
  <c r="C19" s="1"/>
  <c r="J5"/>
  <c r="J6" s="1"/>
  <c r="J4"/>
  <c r="G4"/>
  <c r="C20" i="1"/>
  <c r="J18"/>
  <c r="G18"/>
  <c r="J16"/>
  <c r="G16"/>
  <c r="J15"/>
  <c r="G15"/>
  <c r="M13"/>
  <c r="M12"/>
  <c r="M14" s="1"/>
  <c r="G11"/>
  <c r="G9"/>
  <c r="C7"/>
  <c r="C9" s="1"/>
  <c r="C11" s="1"/>
  <c r="C21" s="1"/>
  <c r="J6"/>
  <c r="M5"/>
  <c r="M7" s="1"/>
  <c r="M9" s="1"/>
  <c r="J4"/>
  <c r="J9" s="1"/>
  <c r="G4"/>
  <c r="O3" i="131"/>
  <c r="O22" s="1"/>
  <c r="J8" i="2" l="1"/>
  <c r="E28" i="47"/>
  <c r="E27" i="52"/>
  <c r="Q20" i="54"/>
  <c r="L8" i="97"/>
  <c r="I21" i="98"/>
  <c r="L16" i="99"/>
  <c r="L12" i="102"/>
  <c r="L14" i="105"/>
  <c r="L18" s="1"/>
  <c r="L11" i="107"/>
  <c r="G19" i="2"/>
  <c r="E29" i="50"/>
  <c r="Q20" i="53"/>
  <c r="E29" i="54"/>
  <c r="J25" s="1"/>
  <c r="J27" s="1"/>
  <c r="P19" i="62"/>
  <c r="I21" i="104"/>
  <c r="I21" i="105"/>
  <c r="L20" i="107"/>
  <c r="E38" i="115"/>
  <c r="G19" i="1"/>
  <c r="H9" i="5"/>
  <c r="L8" i="99"/>
  <c r="L8" i="100"/>
  <c r="L10" i="105"/>
  <c r="I21" i="110"/>
  <c r="E37" i="116"/>
  <c r="T6" i="125"/>
  <c r="R6" i="130"/>
  <c r="G12" i="1"/>
  <c r="L18" i="49"/>
  <c r="L22" i="57"/>
  <c r="I21" i="103"/>
  <c r="D55" i="120"/>
  <c r="I21" i="101"/>
  <c r="J5" i="1"/>
  <c r="J17"/>
  <c r="J19" s="1"/>
  <c r="E33" i="36"/>
  <c r="E23" i="70"/>
  <c r="M7" i="85"/>
  <c r="M7" i="87"/>
  <c r="M16"/>
  <c r="E26" i="96"/>
  <c r="L8" i="101"/>
  <c r="I21" i="106"/>
  <c r="I21" i="107"/>
  <c r="I21" i="111"/>
  <c r="M8" i="1"/>
  <c r="C18" i="3"/>
  <c r="L13" i="55"/>
  <c r="Q19" s="1"/>
  <c r="Q20" s="1"/>
  <c r="I21" i="97"/>
  <c r="L8" i="102"/>
  <c r="L12" i="103"/>
  <c r="L16" s="1"/>
  <c r="L7"/>
  <c r="L8" s="1"/>
  <c r="L9" i="106"/>
  <c r="L10" s="1"/>
  <c r="L14"/>
  <c r="L18" s="1"/>
  <c r="L11" i="108"/>
  <c r="L15"/>
  <c r="L20" s="1"/>
  <c r="D37" i="125"/>
  <c r="I21" i="99"/>
  <c r="L12" i="101"/>
  <c r="L16" s="1"/>
  <c r="L16" i="102"/>
  <c r="L13" i="104"/>
  <c r="L17" s="1"/>
  <c r="L8"/>
  <c r="L9" s="1"/>
  <c r="I21" i="113"/>
  <c r="O22" i="135"/>
  <c r="W6" i="134"/>
  <c r="M17"/>
  <c r="L17"/>
  <c r="P27" i="135"/>
  <c r="O22" i="133"/>
  <c r="P27"/>
  <c r="D37" i="132"/>
  <c r="D40" i="134" s="1"/>
  <c r="W6" i="132"/>
  <c r="V27"/>
  <c r="L15"/>
  <c r="M15"/>
  <c r="Q24" i="130" l="1"/>
  <c r="Q31" s="1"/>
  <c r="Q34" s="1"/>
  <c r="T26" i="137" l="1"/>
  <c r="T32" s="1"/>
  <c r="T34" s="1"/>
  <c r="T32" i="140"/>
  <c r="T34" s="1"/>
  <c r="Q35" i="130"/>
  <c r="Q40" s="1"/>
  <c r="V26" i="132"/>
  <c r="V31" s="1"/>
  <c r="V33" s="1"/>
  <c r="V26" i="134"/>
  <c r="V32" s="1"/>
  <c r="V34" s="1"/>
  <c r="S24" i="125"/>
  <c r="S31" s="1"/>
  <c r="S34" s="1"/>
  <c r="S41" s="1"/>
  <c r="D39" i="144"/>
</calcChain>
</file>

<file path=xl/sharedStrings.xml><?xml version="1.0" encoding="utf-8"?>
<sst xmlns="http://schemas.openxmlformats.org/spreadsheetml/2006/main" count="13167" uniqueCount="2030">
  <si>
    <t>Cenário</t>
  </si>
  <si>
    <t>Data</t>
  </si>
  <si>
    <t>Cenario 1</t>
  </si>
  <si>
    <t>Cenario 2</t>
  </si>
  <si>
    <t>zerésima</t>
  </si>
  <si>
    <t>Sararo</t>
  </si>
  <si>
    <t>Guararema Total</t>
  </si>
  <si>
    <t>Itau</t>
  </si>
  <si>
    <t>Dia 15</t>
  </si>
  <si>
    <t>Yara</t>
  </si>
  <si>
    <t>Vovó</t>
  </si>
  <si>
    <t>Real</t>
  </si>
  <si>
    <t>Ana</t>
  </si>
  <si>
    <t>Sobra</t>
  </si>
  <si>
    <t>Gás</t>
  </si>
  <si>
    <t>Passagem</t>
  </si>
  <si>
    <t>Lu</t>
  </si>
  <si>
    <t>Roupas</t>
  </si>
  <si>
    <t>Livros RPG</t>
  </si>
  <si>
    <t>Maria Clara</t>
  </si>
  <si>
    <t>Madonna</t>
  </si>
  <si>
    <t>TOTAL</t>
  </si>
  <si>
    <t>Churras</t>
  </si>
  <si>
    <t>Yara - Vovó</t>
  </si>
  <si>
    <t>Carrinho</t>
  </si>
  <si>
    <t>Travesseiro</t>
  </si>
  <si>
    <t>Banco</t>
  </si>
  <si>
    <t>Cartão</t>
  </si>
  <si>
    <t>Prestação</t>
  </si>
  <si>
    <t>Condomínio</t>
  </si>
  <si>
    <t>Dívidas</t>
  </si>
  <si>
    <t>Getronics</t>
  </si>
  <si>
    <t>Celular</t>
  </si>
  <si>
    <t>Divida Carro</t>
  </si>
  <si>
    <t>1 semana</t>
  </si>
  <si>
    <t>Condomínio Tia Ceres</t>
  </si>
  <si>
    <t>Música</t>
  </si>
  <si>
    <t>férias (full)</t>
  </si>
  <si>
    <t>Carro</t>
  </si>
  <si>
    <t>Dona Rita</t>
  </si>
  <si>
    <t>férias (3 meses)</t>
  </si>
  <si>
    <t>Luz</t>
  </si>
  <si>
    <t>Viagem</t>
  </si>
  <si>
    <t>13º (4 meses)</t>
  </si>
  <si>
    <t>Telefone</t>
  </si>
  <si>
    <t>Total</t>
  </si>
  <si>
    <t>Restituição</t>
  </si>
  <si>
    <t>Adiantamento</t>
  </si>
  <si>
    <t>Bradesco</t>
  </si>
  <si>
    <t>Roupa</t>
  </si>
  <si>
    <t>Cartão de Crédito</t>
  </si>
  <si>
    <t>Pagto Citi</t>
  </si>
  <si>
    <t>Virtua</t>
  </si>
  <si>
    <t>1/2 Salario</t>
  </si>
  <si>
    <t>Condominio Tia Ceres</t>
  </si>
  <si>
    <t>luz</t>
  </si>
  <si>
    <t>Citi</t>
  </si>
  <si>
    <t>Pago?</t>
  </si>
  <si>
    <t>OK</t>
  </si>
  <si>
    <t>Violão</t>
  </si>
  <si>
    <t>Academia</t>
  </si>
  <si>
    <t>Curso Methodus</t>
  </si>
  <si>
    <t>Feriado</t>
  </si>
  <si>
    <t>Presente</t>
  </si>
  <si>
    <t>Condominio Tia Ceres Maio</t>
  </si>
  <si>
    <t>Zefa</t>
  </si>
  <si>
    <t>Controle</t>
  </si>
  <si>
    <t>R$</t>
  </si>
  <si>
    <t>Cheque Guitarra</t>
  </si>
  <si>
    <t>Cheque Pizza</t>
  </si>
  <si>
    <t>Cheque Roupa</t>
  </si>
  <si>
    <t>Condomínio Tia Ceres Julho</t>
  </si>
  <si>
    <t>Info</t>
  </si>
  <si>
    <t>Vivo</t>
  </si>
  <si>
    <t>Cheque Pizza Paradiso</t>
  </si>
  <si>
    <t>Cheque Cabelereiro</t>
  </si>
  <si>
    <t>Cheque Amigo Leal</t>
  </si>
  <si>
    <t>Vírtua</t>
  </si>
  <si>
    <t>Cartão de Crédito Citi</t>
  </si>
  <si>
    <t>Tel Celular</t>
  </si>
  <si>
    <t>Telefone Fixo</t>
  </si>
  <si>
    <t>Free Choice</t>
  </si>
  <si>
    <t>Ensaio</t>
  </si>
  <si>
    <t>Multa</t>
  </si>
  <si>
    <t>Mergulho</t>
  </si>
  <si>
    <t>Reveillon</t>
  </si>
  <si>
    <t>Cond Tia Ceres</t>
  </si>
  <si>
    <t>02-oct-2006</t>
  </si>
  <si>
    <t>Lavanderia</t>
  </si>
  <si>
    <t>Comida Chinesa</t>
  </si>
  <si>
    <t>Multa e Licenciamento</t>
  </si>
  <si>
    <t>Aula Violão</t>
  </si>
  <si>
    <t>Oficina</t>
  </si>
  <si>
    <t>Cartão Real Visa</t>
  </si>
  <si>
    <t>04-oct-2006</t>
  </si>
  <si>
    <t>07-oct-2006</t>
  </si>
  <si>
    <t>Tim</t>
  </si>
  <si>
    <t>11-oct-2006</t>
  </si>
  <si>
    <t>Tel</t>
  </si>
  <si>
    <t>12-oct-2006</t>
  </si>
  <si>
    <t>20-oct-2006</t>
  </si>
  <si>
    <t>15-oct-2006</t>
  </si>
  <si>
    <t>Investimento</t>
  </si>
  <si>
    <t>Cartão Citi</t>
  </si>
  <si>
    <t>Salario Novembro</t>
  </si>
  <si>
    <t>Oficina II</t>
  </si>
  <si>
    <t>Cartão Visa</t>
  </si>
  <si>
    <t>Reembolso</t>
  </si>
  <si>
    <t>Fatura Visa (aberta)</t>
  </si>
  <si>
    <t>Cartão Citi (aberto)</t>
  </si>
  <si>
    <t>Tia Ceres</t>
  </si>
  <si>
    <t>Cheque Motoboy</t>
  </si>
  <si>
    <t>Investido</t>
  </si>
  <si>
    <t>Bonus</t>
  </si>
  <si>
    <t>Tot</t>
  </si>
  <si>
    <t>Cheque Óptica</t>
  </si>
  <si>
    <t>Cheque Ensaio</t>
  </si>
  <si>
    <t>IPTU</t>
  </si>
  <si>
    <t>IPTU 2006 Icaraí</t>
  </si>
  <si>
    <t>IPTU 2007 Icarai</t>
  </si>
  <si>
    <t>IPTU 2006 Brigadeiro</t>
  </si>
  <si>
    <t>IPTU 2007 Brigadeiro</t>
  </si>
  <si>
    <t>Comgás</t>
  </si>
  <si>
    <t>Fatura Visa</t>
  </si>
  <si>
    <t>Senai</t>
  </si>
  <si>
    <t>Cris</t>
  </si>
  <si>
    <t>Citi (Free Choice)</t>
  </si>
  <si>
    <t>Cris (Free Choice)</t>
  </si>
  <si>
    <t>Reembolso Citi</t>
  </si>
  <si>
    <t>Citi (Reembolso)</t>
  </si>
  <si>
    <t>Cheque Pizza 2</t>
  </si>
  <si>
    <t>Cartao</t>
  </si>
  <si>
    <t>Brasil</t>
  </si>
  <si>
    <t>13º metade</t>
  </si>
  <si>
    <t>US</t>
  </si>
  <si>
    <t>Descrição</t>
  </si>
  <si>
    <t>Valores Cheios</t>
  </si>
  <si>
    <t>Transporte I</t>
  </si>
  <si>
    <t>Transporte II</t>
  </si>
  <si>
    <t>Gasolina e Estacionamento</t>
  </si>
  <si>
    <t>Férias</t>
  </si>
  <si>
    <t>Conta Natura</t>
  </si>
  <si>
    <t>Presente do Max</t>
  </si>
  <si>
    <t>Deposito</t>
  </si>
  <si>
    <t>D Rita</t>
  </si>
  <si>
    <t>Tais</t>
  </si>
  <si>
    <t>Jr e Erika</t>
  </si>
  <si>
    <t>Curso Vinhos</t>
  </si>
  <si>
    <t>CPMF Itaú</t>
  </si>
  <si>
    <t>Treinamento PMP</t>
  </si>
  <si>
    <t>Cris Limpeza de Pele</t>
  </si>
  <si>
    <t>Free Choice II (Farmanipul)</t>
  </si>
  <si>
    <t>Deposito (Zefa + Farmanipul)</t>
  </si>
  <si>
    <t>Free Choice (Lentes e Podólogo)</t>
  </si>
  <si>
    <t>Tarifa Multicesta</t>
  </si>
  <si>
    <t>Mensalidade Real Visa</t>
  </si>
  <si>
    <t>Jantar Mexicano</t>
  </si>
  <si>
    <t>Juros Realmaster</t>
  </si>
  <si>
    <t>Evento PMI</t>
  </si>
  <si>
    <t>Aula de Espanhol</t>
  </si>
  <si>
    <t>Devo R$ 159,00 para a Cris no mês de Outubro (15)</t>
  </si>
  <si>
    <t>Depósito Real</t>
  </si>
  <si>
    <t>Free Choice Pedicuro</t>
  </si>
  <si>
    <t>Presente do Ulisses e da Cris (Adelino)</t>
  </si>
  <si>
    <t>Divida Cris Lentes</t>
  </si>
  <si>
    <t>Sararo + PLR</t>
  </si>
  <si>
    <t>Reembolso Free Choice</t>
  </si>
  <si>
    <t>Jr. &amp; Erika</t>
  </si>
  <si>
    <t>Passaporte</t>
  </si>
  <si>
    <t>Reserva Ilha Grande</t>
  </si>
  <si>
    <t>Divida Cris</t>
  </si>
  <si>
    <t>Seguro de Casa</t>
  </si>
  <si>
    <t>Sararo + 13º</t>
  </si>
  <si>
    <t>Reembolso Taxi</t>
  </si>
  <si>
    <t>Festa</t>
  </si>
  <si>
    <t>Recuperação de Fachada</t>
  </si>
  <si>
    <t>Caixinha de Natal</t>
  </si>
  <si>
    <t>Viagem para Ilha Grande</t>
  </si>
  <si>
    <t>Devo R$ 150,0 para a Cristiane em 15 de Janeiro de 2007</t>
  </si>
  <si>
    <t xml:space="preserve">Sararo </t>
  </si>
  <si>
    <t>Investido DI</t>
  </si>
  <si>
    <t>Investido Snipper</t>
  </si>
  <si>
    <t>Investido Ações</t>
  </si>
  <si>
    <t>Deposito Cris</t>
  </si>
  <si>
    <t>1a Parcela 14º</t>
  </si>
  <si>
    <t>Venda Whisky Tais</t>
  </si>
  <si>
    <t>Free Choice Massagem</t>
  </si>
  <si>
    <t>Investimento I</t>
  </si>
  <si>
    <t>Grana da Viagem para Ilha Grande</t>
  </si>
  <si>
    <t>Investimento II</t>
  </si>
  <si>
    <t>Pizza</t>
  </si>
  <si>
    <t>Sararo Jan</t>
  </si>
  <si>
    <t>Jantar c/ Guilherme</t>
  </si>
  <si>
    <t>Churras Vanessa</t>
  </si>
  <si>
    <t>Simulado ITIL</t>
  </si>
  <si>
    <t>Cheque Taxi</t>
  </si>
  <si>
    <t>Divida Seu Heleno</t>
  </si>
  <si>
    <t>Dívida Cris</t>
  </si>
  <si>
    <t>Free Choice Podologo e Academia</t>
  </si>
  <si>
    <t>BBBBONUS</t>
  </si>
  <si>
    <t>Deposito Sandra Natura</t>
  </si>
  <si>
    <t>Saque Sandra</t>
  </si>
  <si>
    <t>IPTU Icaraí</t>
  </si>
  <si>
    <t>Investimento Real</t>
  </si>
  <si>
    <t>Investimento Bolsa</t>
  </si>
  <si>
    <t>Monitor Cardíaco</t>
  </si>
  <si>
    <t>IPVA Tia Ceres</t>
  </si>
  <si>
    <t>várias</t>
  </si>
  <si>
    <t>Transporte</t>
  </si>
  <si>
    <t>Cheques Academia</t>
  </si>
  <si>
    <t>Curso de Música da Cris</t>
  </si>
  <si>
    <t>Cheque Academia</t>
  </si>
  <si>
    <t>Cheque Inglês</t>
  </si>
  <si>
    <t>Resgate Fundo</t>
  </si>
  <si>
    <t>Snipper</t>
  </si>
  <si>
    <t>Cartão de Credito</t>
  </si>
  <si>
    <t>Real Visa</t>
  </si>
  <si>
    <t>Citi Visa</t>
  </si>
  <si>
    <t>Compra</t>
  </si>
  <si>
    <t>Valor</t>
  </si>
  <si>
    <t>Nenhuma</t>
  </si>
  <si>
    <t>SUGOI-ARICANDUVA SAO PAULO 02/ 02</t>
  </si>
  <si>
    <t>Gol</t>
  </si>
  <si>
    <t>EMANUELA AUTO POSTO SAO PAULO BR </t>
  </si>
  <si>
    <t>AUTO POSTO GRANERO SAO PAULO BR </t>
  </si>
  <si>
    <t>PLR</t>
  </si>
  <si>
    <t>OSAKA COTIA BR </t>
  </si>
  <si>
    <t>REDE CAMPEAO SAO PAULO BR  </t>
  </si>
  <si>
    <t>Depósito Cris</t>
  </si>
  <si>
    <t>ETLL SAO PAULO BR  </t>
  </si>
  <si>
    <t>Venda Treo</t>
  </si>
  <si>
    <t>SUBMARINO LOJA RIO DE JANEIR BR  </t>
  </si>
  <si>
    <t>CENTRAL PARQUE SAO PAULO BR  </t>
  </si>
  <si>
    <t>Zefa2</t>
  </si>
  <si>
    <t>LUPO SAO PAULO BR </t>
  </si>
  <si>
    <t>Carteira Cris</t>
  </si>
  <si>
    <t>MARISA-LJ.71 SAO PAULO BR  </t>
  </si>
  <si>
    <t>Entrada Carro</t>
  </si>
  <si>
    <t>AUTO P JARDIM BANDEIRA SAO PAULO BR </t>
  </si>
  <si>
    <t>Resgate Investimento</t>
  </si>
  <si>
    <t>EXTRA 1341 SAO PAULO BR  </t>
  </si>
  <si>
    <t>Ortega</t>
  </si>
  <si>
    <t>Som</t>
  </si>
  <si>
    <t>Presente Cris</t>
  </si>
  <si>
    <t>Pedicuro</t>
  </si>
  <si>
    <t>3 Orelhas</t>
  </si>
  <si>
    <t>Zefa e Estacionamento</t>
  </si>
  <si>
    <t>CJB</t>
  </si>
  <si>
    <t>Curso Investimentos</t>
  </si>
  <si>
    <t>Churras Trampo</t>
  </si>
  <si>
    <t>Aula de Violão</t>
  </si>
  <si>
    <t>Cheques Auto-Escola</t>
  </si>
  <si>
    <t>Cheques Gonçalves</t>
  </si>
  <si>
    <t xml:space="preserve">DROGAO AGUA BRANCA SAO PAULO BR     </t>
  </si>
  <si>
    <t xml:space="preserve">EMANUELA AUTO POSTO SAO PAULO BR    </t>
  </si>
  <si>
    <t>Depósito de Férias</t>
  </si>
  <si>
    <t xml:space="preserve">AUTO POSTO ALV PAULIST SAO PAULO BR  </t>
  </si>
  <si>
    <t>02-apr-08</t>
  </si>
  <si>
    <t>01-apr-08</t>
  </si>
  <si>
    <t>15-apr-08</t>
  </si>
  <si>
    <t>04-apr-08</t>
  </si>
  <si>
    <t>11-apr-08</t>
  </si>
  <si>
    <t>20-apr-08</t>
  </si>
  <si>
    <t>12-apr-08</t>
  </si>
  <si>
    <t>Cheque Auto Escola I</t>
  </si>
  <si>
    <t>Cheque Auto Escola II</t>
  </si>
  <si>
    <t>24-apr-08</t>
  </si>
  <si>
    <t>Cheque Gonçalves</t>
  </si>
  <si>
    <t>Cheque Exame Médico I</t>
  </si>
  <si>
    <t>Cheque IR</t>
  </si>
  <si>
    <t>Cheque Mergulho</t>
  </si>
  <si>
    <t>ASSEMIB</t>
  </si>
  <si>
    <t>AUTO POSTO GRANERO SAO PAULO BR</t>
  </si>
  <si>
    <t>PIZZA HUT</t>
  </si>
  <si>
    <t>MULTLIMP SAO PAULO BR</t>
  </si>
  <si>
    <t>CATARATAS DO IGUACU</t>
  </si>
  <si>
    <t>OUTBACK-ANALIA FRANCO SAO PAULO BR</t>
  </si>
  <si>
    <t>DONA MARIA REST E PIZZ SAO PAULO BR</t>
  </si>
  <si>
    <t>varias</t>
  </si>
  <si>
    <t>NOK</t>
  </si>
  <si>
    <t xml:space="preserve">FAZENDINHA DA POMPEIA SAO PAULO BR </t>
  </si>
  <si>
    <t>MADE IN BRAZIL SAO PAULO BR</t>
  </si>
  <si>
    <t>CASA DO CHURRASCO SAO PAULO BR</t>
  </si>
  <si>
    <t>Outback</t>
  </si>
  <si>
    <t>Combustível</t>
  </si>
  <si>
    <t>PREGO -SH.IBIRAPUERA SAO PAULO 01/ 02</t>
  </si>
  <si>
    <t>TEATRO FREI CANECA SAO PAULO BR</t>
  </si>
  <si>
    <t xml:space="preserve">BELA VISTA A.POSTO SAO PAULO BR </t>
  </si>
  <si>
    <t>MUSICAL 255 SAO PAULO BR</t>
  </si>
  <si>
    <t>Bilhete Único</t>
  </si>
  <si>
    <t>ELETRICA GALLUCCI SAO PAULO</t>
  </si>
  <si>
    <t>Matsuya</t>
  </si>
  <si>
    <t>Cheque CJB</t>
  </si>
  <si>
    <t>Ali H2 Arab</t>
  </si>
  <si>
    <t>Cheque Auto Escola III</t>
  </si>
  <si>
    <t>WIN</t>
  </si>
  <si>
    <t>KEIKOS PREVENCAO SAUDE</t>
  </si>
  <si>
    <t>PREGO -SH.IBIRAPUERA SAO PAULO 02/ 02</t>
  </si>
  <si>
    <t>Depósito</t>
  </si>
  <si>
    <t>GOODFELLAS BAR</t>
  </si>
  <si>
    <t>EMANUELA AUTO POSTO SAO PAULO BR</t>
  </si>
  <si>
    <t>Reembolso Free Choice MSG</t>
  </si>
  <si>
    <t>LIVRARIA CULTURA - 1/ 2</t>
  </si>
  <si>
    <t>Reembolso Free Choice Optica</t>
  </si>
  <si>
    <t>CREDITO VARIACAO CAMBIAL</t>
  </si>
  <si>
    <t>LB IBIRAPUERA II SAO PAULO 01/ 03</t>
  </si>
  <si>
    <t>TECA CTRO DE ESTETICA SAO PAULO BR</t>
  </si>
  <si>
    <t>Cristiano (ensaio)</t>
  </si>
  <si>
    <t>SUBMARINO LOJA RIO DE JAN01/ 02</t>
  </si>
  <si>
    <t>UNIBANCO ARTEPLEX-F.C. SAO PAULO BR</t>
  </si>
  <si>
    <t>MAXICAR AUTO SERVICOS SAO PAULO BR</t>
  </si>
  <si>
    <t>Óculos Cris</t>
  </si>
  <si>
    <t>Bilhete Unico</t>
  </si>
  <si>
    <t>Resultado de Investimentos</t>
  </si>
  <si>
    <t>Junho</t>
  </si>
  <si>
    <t>Julho</t>
  </si>
  <si>
    <t>Agosto</t>
  </si>
  <si>
    <t>Setembro</t>
  </si>
  <si>
    <t>Outubro</t>
  </si>
  <si>
    <t>Novembro</t>
  </si>
  <si>
    <t>Início do Mês</t>
  </si>
  <si>
    <t>Fim do Mês</t>
  </si>
  <si>
    <t>Equalização</t>
  </si>
  <si>
    <t>Ganho %</t>
  </si>
  <si>
    <t>Renda Fixa</t>
  </si>
  <si>
    <t>Sararo + 2a do 14º (com descontos)</t>
  </si>
  <si>
    <t>LIVRARIA CULTURA - 2/ 2</t>
  </si>
  <si>
    <r>
      <t>LB IBIRAPUERA II SAO PAULO 02/ 03</t>
    </r>
    <r>
      <rPr>
        <sz val="8"/>
        <color indexed="8"/>
        <rFont val="Verdana"/>
        <family val="2"/>
      </rPr>
      <t>  </t>
    </r>
  </si>
  <si>
    <r>
      <t>01/06</t>
    </r>
    <r>
      <rPr>
        <sz val="8"/>
        <color indexed="8"/>
        <rFont val="Verdana"/>
        <family val="2"/>
      </rPr>
      <t>  </t>
    </r>
  </si>
  <si>
    <t>Yara (Condominio + Coroa de Flores)</t>
  </si>
  <si>
    <t>BAR DO JUAREZ ITAIM</t>
  </si>
  <si>
    <r>
      <t>SUBMARINO LOJA RIO DE JAN02/ 02</t>
    </r>
    <r>
      <rPr>
        <sz val="8"/>
        <color indexed="8"/>
        <rFont val="Verdana"/>
        <family val="2"/>
      </rPr>
      <t>  </t>
    </r>
  </si>
  <si>
    <r>
      <t>06/06</t>
    </r>
    <r>
      <rPr>
        <sz val="8"/>
        <color indexed="8"/>
        <rFont val="Verdana"/>
        <family val="2"/>
      </rPr>
      <t>  </t>
    </r>
  </si>
  <si>
    <t>Deposito Tia Ceres</t>
  </si>
  <si>
    <t>AS PIZZA COM DE ALIMEN</t>
  </si>
  <si>
    <r>
      <t>POSTO CARMENERE SAO PAULO BR</t>
    </r>
    <r>
      <rPr>
        <sz val="8"/>
        <color indexed="8"/>
        <rFont val="Verdana"/>
        <family val="2"/>
      </rPr>
      <t>  </t>
    </r>
  </si>
  <si>
    <r>
      <t>26/06</t>
    </r>
    <r>
      <rPr>
        <sz val="8"/>
        <color indexed="8"/>
        <rFont val="Verdana"/>
        <family val="2"/>
      </rPr>
      <t>  </t>
    </r>
  </si>
  <si>
    <t>Depósito Bairral</t>
  </si>
  <si>
    <r>
      <t>CHURRASCARIA CASANOVA ITAPIRA BR</t>
    </r>
    <r>
      <rPr>
        <sz val="8"/>
        <color indexed="8"/>
        <rFont val="Verdana"/>
        <family val="2"/>
      </rPr>
      <t>  </t>
    </r>
  </si>
  <si>
    <r>
      <t>27/06</t>
    </r>
    <r>
      <rPr>
        <sz val="8"/>
        <color indexed="8"/>
        <rFont val="Verdana"/>
        <family val="2"/>
      </rPr>
      <t>  </t>
    </r>
  </si>
  <si>
    <r>
      <t>AUTO POSTO AZZOLINI SAO PAULO BR</t>
    </r>
    <r>
      <rPr>
        <sz val="8"/>
        <color indexed="8"/>
        <rFont val="Verdana"/>
        <family val="2"/>
      </rPr>
      <t>  </t>
    </r>
  </si>
  <si>
    <r>
      <t>28/06</t>
    </r>
    <r>
      <rPr>
        <sz val="8"/>
        <color indexed="8"/>
        <rFont val="Verdana"/>
        <family val="2"/>
      </rPr>
      <t>  </t>
    </r>
  </si>
  <si>
    <r>
      <t>PAGAMENTO EFETUADO</t>
    </r>
    <r>
      <rPr>
        <sz val="8"/>
        <color indexed="8"/>
        <rFont val="Verdana"/>
        <family val="2"/>
      </rPr>
      <t>  </t>
    </r>
  </si>
  <si>
    <r>
      <t>30/06</t>
    </r>
    <r>
      <rPr>
        <sz val="8"/>
        <color indexed="8"/>
        <rFont val="Verdana"/>
        <family val="2"/>
      </rPr>
      <t>  </t>
    </r>
  </si>
  <si>
    <r>
      <t>TOTAL DA FATURA ANTERIOR</t>
    </r>
    <r>
      <rPr>
        <sz val="8"/>
        <color indexed="8"/>
        <rFont val="Verdana"/>
        <family val="2"/>
      </rPr>
      <t>  </t>
    </r>
  </si>
  <si>
    <r>
      <t>01/07</t>
    </r>
    <r>
      <rPr>
        <sz val="8"/>
        <color indexed="8"/>
        <rFont val="Verdana"/>
        <family val="2"/>
      </rPr>
      <t>  </t>
    </r>
  </si>
  <si>
    <r>
      <t>POSTO LIDER BANDEIRAS SAO PAULO BR</t>
    </r>
    <r>
      <rPr>
        <sz val="8"/>
        <color indexed="8"/>
        <rFont val="Verdana"/>
        <family val="2"/>
      </rPr>
      <t>  </t>
    </r>
  </si>
  <si>
    <r>
      <t>05/07</t>
    </r>
    <r>
      <rPr>
        <sz val="8"/>
        <color indexed="8"/>
        <rFont val="Verdana"/>
        <family val="2"/>
      </rPr>
      <t>  </t>
    </r>
  </si>
  <si>
    <r>
      <t>A GALETERIA ASSADOS SAO PAULO BR</t>
    </r>
    <r>
      <rPr>
        <sz val="8"/>
        <color indexed="8"/>
        <rFont val="Verdana"/>
        <family val="2"/>
      </rPr>
      <t>  </t>
    </r>
  </si>
  <si>
    <r>
      <t>06/07</t>
    </r>
    <r>
      <rPr>
        <sz val="8"/>
        <color indexed="8"/>
        <rFont val="Verdana"/>
        <family val="2"/>
      </rPr>
      <t>  </t>
    </r>
  </si>
  <si>
    <r>
      <t>EMANUELA AUTO POSTO SAO PAULO BR</t>
    </r>
    <r>
      <rPr>
        <sz val="8"/>
        <color indexed="8"/>
        <rFont val="Verdana"/>
        <family val="2"/>
      </rPr>
      <t>  </t>
    </r>
  </si>
  <si>
    <r>
      <t>09/07</t>
    </r>
    <r>
      <rPr>
        <sz val="8"/>
        <color indexed="8"/>
        <rFont val="Verdana"/>
        <family val="2"/>
      </rPr>
      <t>  </t>
    </r>
  </si>
  <si>
    <r>
      <t>MS FLORES SAO PAULO BR</t>
    </r>
    <r>
      <rPr>
        <sz val="8"/>
        <color indexed="8"/>
        <rFont val="Verdana"/>
        <family val="2"/>
      </rPr>
      <t>  </t>
    </r>
  </si>
  <si>
    <r>
      <t>13/07</t>
    </r>
    <r>
      <rPr>
        <sz val="8"/>
        <color indexed="8"/>
        <rFont val="Verdana"/>
        <family val="2"/>
      </rPr>
      <t>  </t>
    </r>
  </si>
  <si>
    <r>
      <t>L'OSTERIA DEL GENERALE SAO PAULO BR</t>
    </r>
    <r>
      <rPr>
        <sz val="8"/>
        <color indexed="8"/>
        <rFont val="Verdana"/>
        <family val="2"/>
      </rPr>
      <t>  </t>
    </r>
  </si>
  <si>
    <t xml:space="preserve">EXTRA 1309 ARICANDUVA SAO PAULO BR  </t>
  </si>
  <si>
    <t>Multa de Trânsito</t>
  </si>
  <si>
    <t>Churras Rai</t>
  </si>
  <si>
    <t>Tia Ceres (Funeral)</t>
  </si>
  <si>
    <t>Cheque Caixão Tia Ceres</t>
  </si>
  <si>
    <t>Estacionamento</t>
  </si>
  <si>
    <t>LB IBIRAPUERA II SAO PAULO 03/ 03</t>
  </si>
  <si>
    <t>CAMISARIA COLOMBO 27 SAO PAULO BR</t>
  </si>
  <si>
    <t xml:space="preserve">KALUNGA POMPEIA SAO PAULO BR </t>
  </si>
  <si>
    <t>DROG.ONOFRE OSCAR F. SAO PAULO BR</t>
  </si>
  <si>
    <t xml:space="preserve">ALL BLACK IRISH PUB SAO PAULO BR </t>
  </si>
  <si>
    <t>POST OFFICE MODAS LTDA PARATI BR</t>
  </si>
  <si>
    <t>RESTAURANTE ABEL PARATI BR</t>
  </si>
  <si>
    <t>RESTAURANTE REI DO PEI UBATUBA BR</t>
  </si>
  <si>
    <t>ZI TEREZA DI NAPOLE SAO PAULO BR</t>
  </si>
  <si>
    <t xml:space="preserve">GO FRESH SAO PAULO BR    </t>
  </si>
  <si>
    <t>GAS Tia Ceres</t>
  </si>
  <si>
    <t>Luz Tia Ceres</t>
  </si>
  <si>
    <t>Telefone Tia Ceres</t>
  </si>
  <si>
    <t>Motoca</t>
  </si>
  <si>
    <t>Carteirinha Mergulho</t>
  </si>
  <si>
    <t>Corte de Cabelo</t>
  </si>
  <si>
    <t>Presente Neneinho</t>
  </si>
  <si>
    <t>SPOLETO SHOP BOURBON SAO PAULO BR</t>
  </si>
  <si>
    <t>ANDIAMO SAO PAULO BR</t>
  </si>
  <si>
    <t>Yara (Condominio + Contas Tia Ceres)</t>
  </si>
  <si>
    <t>POSTO CARMENERE SAO PAULO BR</t>
  </si>
  <si>
    <t>Reembolso PMI + Taxi</t>
  </si>
  <si>
    <t>INGRESSO COM RIO DE JANEIR BR</t>
  </si>
  <si>
    <t>Restituiçao</t>
  </si>
  <si>
    <t>AS PIZZA COM DE ALIMEN SAO PAULO BR</t>
  </si>
  <si>
    <t>Resgate Gradual</t>
  </si>
  <si>
    <t>MIX RESTAURANTE SAO PAULO BR</t>
  </si>
  <si>
    <t>DECATHLON SAO PAULO BR</t>
  </si>
  <si>
    <t>EXTRA 1309 ARICANDUVA SAO PAULO BR</t>
  </si>
  <si>
    <t>Ajuda Cris</t>
  </si>
  <si>
    <t>COSTELA NO BAFO POUSO ALEGRE BR</t>
  </si>
  <si>
    <t>POSTO DOM PEDRO ESTIVA BR</t>
  </si>
  <si>
    <t xml:space="preserve">AMERICANAS.COM INTERNE RIO DE JANEIR BR  </t>
  </si>
  <si>
    <t xml:space="preserve">TELHA NORTE SAO PAULO BR    </t>
  </si>
  <si>
    <t xml:space="preserve">PATEO DA LUZ CENTER 3 SAO PAULO BR </t>
  </si>
  <si>
    <t xml:space="preserve">POSTO POLISERVICOS JANDIRA BR    </t>
  </si>
  <si>
    <t>Gás Tia Ceres</t>
  </si>
  <si>
    <t>Carta de Moto</t>
  </si>
  <si>
    <t>Seguro do Carro</t>
  </si>
  <si>
    <t>Móveis Tia Ceres II</t>
  </si>
  <si>
    <t>Reembolsos</t>
  </si>
  <si>
    <t>Reembolso Remédio</t>
  </si>
  <si>
    <t>Reembolso Massagem + Lentes</t>
  </si>
  <si>
    <t>Avon Tais</t>
  </si>
  <si>
    <t>Cond Tia Ceres (Aninha)</t>
  </si>
  <si>
    <t>Pagto Fernanda</t>
  </si>
  <si>
    <t>Investimento Bradesco</t>
  </si>
  <si>
    <t>O que</t>
  </si>
  <si>
    <t>Saldo Atual</t>
  </si>
  <si>
    <t>Seu Paulino</t>
  </si>
  <si>
    <t>Inventário</t>
  </si>
  <si>
    <r>
      <t>25/10</t>
    </r>
    <r>
      <rPr>
        <sz val="8"/>
        <color indexed="8"/>
        <rFont val="Verdana"/>
        <family val="2"/>
      </rPr>
      <t>  </t>
    </r>
  </si>
  <si>
    <r>
      <t>DROG SAO PAULO FL 067 SAO PAULO BR</t>
    </r>
    <r>
      <rPr>
        <sz val="8"/>
        <color indexed="8"/>
        <rFont val="Verdana"/>
        <family val="2"/>
      </rPr>
      <t>  </t>
    </r>
  </si>
  <si>
    <t>Armário</t>
  </si>
  <si>
    <r>
      <t>26/10</t>
    </r>
    <r>
      <rPr>
        <sz val="8"/>
        <color indexed="8"/>
        <rFont val="Verdana"/>
        <family val="2"/>
      </rPr>
      <t>  </t>
    </r>
  </si>
  <si>
    <r>
      <t>KANJI JARDINS SAO PAULO BR</t>
    </r>
    <r>
      <rPr>
        <sz val="8"/>
        <color indexed="8"/>
        <rFont val="Verdana"/>
        <family val="2"/>
      </rPr>
      <t>  </t>
    </r>
  </si>
  <si>
    <t>Deposito Geladeira Cris</t>
  </si>
  <si>
    <t>MBA</t>
  </si>
  <si>
    <r>
      <t>27/10</t>
    </r>
    <r>
      <rPr>
        <sz val="8"/>
        <color indexed="8"/>
        <rFont val="Verdana"/>
        <family val="2"/>
      </rPr>
      <t>  </t>
    </r>
  </si>
  <si>
    <r>
      <t>AUTO POSTO FOIOS ONE TABOAO DA SER BR</t>
    </r>
    <r>
      <rPr>
        <sz val="8"/>
        <color indexed="8"/>
        <rFont val="Verdana"/>
        <family val="2"/>
      </rPr>
      <t>  </t>
    </r>
  </si>
  <si>
    <t>Show</t>
  </si>
  <si>
    <r>
      <t>29/10</t>
    </r>
    <r>
      <rPr>
        <sz val="8"/>
        <color indexed="8"/>
        <rFont val="Verdana"/>
        <family val="2"/>
      </rPr>
      <t>  </t>
    </r>
  </si>
  <si>
    <r>
      <t>NORTH GRILL F.CANECA SAO PAULO BR</t>
    </r>
    <r>
      <rPr>
        <sz val="8"/>
        <color indexed="8"/>
        <rFont val="Verdana"/>
        <family val="2"/>
      </rPr>
      <t>  </t>
    </r>
  </si>
  <si>
    <t>Aninha (Tia Ceres)</t>
  </si>
  <si>
    <t>reajuste</t>
  </si>
  <si>
    <r>
      <t>31/10</t>
    </r>
    <r>
      <rPr>
        <sz val="8"/>
        <color indexed="8"/>
        <rFont val="Verdana"/>
        <family val="2"/>
      </rPr>
      <t>  </t>
    </r>
  </si>
  <si>
    <r>
      <t>CONSULADO DO CHURRASCO SAO PAULO BR</t>
    </r>
    <r>
      <rPr>
        <sz val="8"/>
        <color indexed="8"/>
        <rFont val="Verdana"/>
        <family val="2"/>
      </rPr>
      <t>  </t>
    </r>
  </si>
  <si>
    <t>Resgate Bradesco</t>
  </si>
  <si>
    <t>13º</t>
  </si>
  <si>
    <r>
      <t>01/11</t>
    </r>
    <r>
      <rPr>
        <sz val="8"/>
        <color indexed="8"/>
        <rFont val="Verdana"/>
        <family val="2"/>
      </rPr>
      <t>  </t>
    </r>
  </si>
  <si>
    <r>
      <t>KEIKOS PREVENCAO SAUDE SAO PAULO BR</t>
    </r>
    <r>
      <rPr>
        <sz val="8"/>
        <color indexed="8"/>
        <rFont val="Verdana"/>
        <family val="2"/>
      </rPr>
      <t>  </t>
    </r>
  </si>
  <si>
    <t>Parcela Adicional PLR</t>
  </si>
  <si>
    <r>
      <t>02/11</t>
    </r>
    <r>
      <rPr>
        <sz val="8"/>
        <color indexed="8"/>
        <rFont val="Verdana"/>
        <family val="2"/>
      </rPr>
      <t>  </t>
    </r>
  </si>
  <si>
    <r>
      <t>VILLA DE SANTOS SANTOS BR</t>
    </r>
    <r>
      <rPr>
        <sz val="8"/>
        <color indexed="8"/>
        <rFont val="Verdana"/>
        <family val="2"/>
      </rPr>
      <t>  </t>
    </r>
  </si>
  <si>
    <t>Deposito Geladeira Joel</t>
  </si>
  <si>
    <r>
      <t>03/11</t>
    </r>
    <r>
      <rPr>
        <sz val="8"/>
        <color indexed="8"/>
        <rFont val="Verdana"/>
        <family val="2"/>
      </rPr>
      <t>  </t>
    </r>
  </si>
  <si>
    <r>
      <t>PILOTO AUTO POSTO LTDA SAO PAULO BR</t>
    </r>
    <r>
      <rPr>
        <sz val="8"/>
        <color indexed="8"/>
        <rFont val="Verdana"/>
        <family val="2"/>
      </rPr>
      <t>  </t>
    </r>
  </si>
  <si>
    <t>Resgate Custas Joel</t>
  </si>
  <si>
    <r>
      <t>05/11</t>
    </r>
    <r>
      <rPr>
        <sz val="8"/>
        <color indexed="8"/>
        <rFont val="Verdana"/>
        <family val="2"/>
      </rPr>
      <t>  </t>
    </r>
  </si>
  <si>
    <r>
      <t>CNS-SH.IBIRAPUERA SAO PAULO BR</t>
    </r>
    <r>
      <rPr>
        <sz val="8"/>
        <color indexed="8"/>
        <rFont val="Verdana"/>
        <family val="2"/>
      </rPr>
      <t>  </t>
    </r>
  </si>
  <si>
    <t>Cheque Cris</t>
  </si>
  <si>
    <r>
      <t>CAMISARIA COLOMBO 03 SAO PAULO BR</t>
    </r>
    <r>
      <rPr>
        <sz val="8"/>
        <color indexed="8"/>
        <rFont val="Verdana"/>
        <family val="2"/>
      </rPr>
      <t>  </t>
    </r>
  </si>
  <si>
    <t>Deposito Geladeira Enzo</t>
  </si>
  <si>
    <r>
      <t>09/11</t>
    </r>
    <r>
      <rPr>
        <sz val="8"/>
        <color indexed="8"/>
        <rFont val="Verdana"/>
        <family val="2"/>
      </rPr>
      <t>  </t>
    </r>
  </si>
  <si>
    <r>
      <t>PAIN ET CHOCOLAT SAO PAULO BR</t>
    </r>
    <r>
      <rPr>
        <sz val="8"/>
        <color indexed="8"/>
        <rFont val="Verdana"/>
        <family val="2"/>
      </rPr>
      <t>  </t>
    </r>
  </si>
  <si>
    <r>
      <t>OSNIR HAMBURGUER LTDA SAO PAULO BR</t>
    </r>
    <r>
      <rPr>
        <sz val="8"/>
        <color indexed="8"/>
        <rFont val="Verdana"/>
        <family val="2"/>
      </rPr>
      <t>  </t>
    </r>
  </si>
  <si>
    <t xml:space="preserve">KAZAN SUSHI SAO PAULO BR    </t>
  </si>
  <si>
    <t>A GALETERIA ASSADOS SAO PAULO BR</t>
  </si>
  <si>
    <t>Geladeira</t>
  </si>
  <si>
    <t>Bilhete Único II</t>
  </si>
  <si>
    <t>Seguros Real</t>
  </si>
  <si>
    <t>Custas do Joel</t>
  </si>
  <si>
    <t>Cabelo</t>
  </si>
  <si>
    <t>Móvel</t>
  </si>
  <si>
    <t>Churras Tais</t>
  </si>
  <si>
    <t>Compra Telhanorte</t>
  </si>
  <si>
    <t>Gas Dezembro</t>
  </si>
  <si>
    <t>Etna</t>
  </si>
  <si>
    <t>Posto Iperoig</t>
  </si>
  <si>
    <t>Casa David</t>
  </si>
  <si>
    <t>Pagto Daniel</t>
  </si>
  <si>
    <t>Cartão Cris</t>
  </si>
  <si>
    <t>Posto Pais de Gales</t>
  </si>
  <si>
    <t>Teatro FAAP</t>
  </si>
  <si>
    <t>America</t>
  </si>
  <si>
    <t>Liv Cultura</t>
  </si>
  <si>
    <t>Fukuya</t>
  </si>
  <si>
    <t>Catho</t>
  </si>
  <si>
    <t>Pagamento</t>
  </si>
  <si>
    <t>Dinheiro da Cris</t>
  </si>
  <si>
    <t>Fifties</t>
  </si>
  <si>
    <t>Centauro</t>
  </si>
  <si>
    <t>Rascal</t>
  </si>
  <si>
    <t>Kanji</t>
  </si>
  <si>
    <t>Siciliano</t>
  </si>
  <si>
    <t>Outbac k</t>
  </si>
  <si>
    <t>Emanuela Posto</t>
  </si>
  <si>
    <t>Any Any</t>
  </si>
  <si>
    <t>Mania de Churras</t>
  </si>
  <si>
    <t>Total da Anterior</t>
  </si>
  <si>
    <t>Despesas</t>
  </si>
  <si>
    <t>TBD</t>
  </si>
  <si>
    <t xml:space="preserve"> 21/11</t>
  </si>
  <si>
    <t>CASA DAVID SAO PAULO 02/ 02</t>
  </si>
  <si>
    <t>Resgate Móvel Etna</t>
  </si>
  <si>
    <t xml:space="preserve"> 19/12</t>
  </si>
  <si>
    <t xml:space="preserve">LANCHONETE DA CIDADE SAO PAULO BR   </t>
  </si>
  <si>
    <t xml:space="preserve"> 21/12</t>
  </si>
  <si>
    <t xml:space="preserve">AMERICANAS-504 SAO PAULO 01/ 03  </t>
  </si>
  <si>
    <t>14º Salário</t>
  </si>
  <si>
    <t xml:space="preserve"> 23/12</t>
  </si>
  <si>
    <t xml:space="preserve">PAGAMENTO EFETUADO </t>
  </si>
  <si>
    <t xml:space="preserve"> 24/12  </t>
  </si>
  <si>
    <t xml:space="preserve">ACCESS SHOP BOURBON SAO PAULO BR   </t>
  </si>
  <si>
    <t xml:space="preserve"> 24/12</t>
  </si>
  <si>
    <t>WORD TENNIS SH BOURBON SAO PAULO BR</t>
  </si>
  <si>
    <t xml:space="preserve"> 25/12</t>
  </si>
  <si>
    <t xml:space="preserve">AUTO POSTO PAIS GALES SAO PAULO BR  </t>
  </si>
  <si>
    <t xml:space="preserve"> 27/12</t>
  </si>
  <si>
    <t xml:space="preserve">EMANUELA AUTO POSTO SAO PAULO BR  </t>
  </si>
  <si>
    <t xml:space="preserve"> 30/12</t>
  </si>
  <si>
    <t xml:space="preserve">PAPAJOES HANBURGUERIA ATIBAIA BR  </t>
  </si>
  <si>
    <t xml:space="preserve"> 01/01</t>
  </si>
  <si>
    <t xml:space="preserve">TOTAL DA FATURA ANTERIOR  </t>
  </si>
  <si>
    <t xml:space="preserve"> 03/01</t>
  </si>
  <si>
    <t xml:space="preserve">AMERICANAS-504 SAO PAULO BR   </t>
  </si>
  <si>
    <t>UNIBANCO ARTEPLEX F C SAO PAULO BR</t>
  </si>
  <si>
    <t>SAO CRISTOVAO BAR REST SAO PAULO BR</t>
  </si>
  <si>
    <t xml:space="preserve"> 04/01</t>
  </si>
  <si>
    <t xml:space="preserve">CARREFOUR- PAMPLONA SAO PAULO BR   </t>
  </si>
  <si>
    <t>IPVA</t>
  </si>
  <si>
    <t xml:space="preserve">PIZZARIA E CHUR.MORAES SAO PAULO BR  </t>
  </si>
  <si>
    <t xml:space="preserve"> GRUPO CATHO BARUERI BR  </t>
  </si>
  <si>
    <t>GENERALE SAO PAULO BR</t>
  </si>
  <si>
    <t xml:space="preserve">SWATCH-SHOP.PAULISTA SAO PAULO BR    </t>
  </si>
  <si>
    <t>Agendamento de Visto</t>
  </si>
  <si>
    <t xml:space="preserve"> BEST BURGER CO SAO PAULO BR </t>
  </si>
  <si>
    <t>Taxa Consular</t>
  </si>
  <si>
    <t xml:space="preserve">  TELHA NORTE SAO PAULO BR </t>
  </si>
  <si>
    <t xml:space="preserve">EMILIA ROMAGNIA COTIA BR </t>
  </si>
  <si>
    <t>Doação</t>
  </si>
  <si>
    <t>Win</t>
  </si>
  <si>
    <t>Seguro Carro</t>
  </si>
  <si>
    <t>25% do Canadá</t>
  </si>
  <si>
    <t xml:space="preserve">AMERICANAS-504 SAO PAULO 02/ 03 </t>
  </si>
  <si>
    <t>BBBBBBBBônus</t>
  </si>
  <si>
    <t>Honorários Inventário</t>
  </si>
  <si>
    <t xml:space="preserve">SKYPE.COM LUXEMBOURG LU   </t>
  </si>
  <si>
    <t>Apartamento</t>
  </si>
  <si>
    <t>Elvira</t>
  </si>
  <si>
    <t xml:space="preserve">EMANUELA AUTO POSTO SAO PAULO BR </t>
  </si>
  <si>
    <t>Dinheiro Viagem</t>
  </si>
  <si>
    <t>NORTH GRILL F.CANECA SAO PAULO BR</t>
  </si>
  <si>
    <t>Cartão Luiz Citi</t>
  </si>
  <si>
    <t>KONDHY REST JAPONES SANTOS BR</t>
  </si>
  <si>
    <t>CAFE CENTRAL SANTOS BR</t>
  </si>
  <si>
    <t>02-feb-09</t>
  </si>
  <si>
    <t>Débito Luiz</t>
  </si>
  <si>
    <t>EXTRA 1341 SAO PAULO BR</t>
  </si>
  <si>
    <t>Cartão Luiz Real</t>
  </si>
  <si>
    <t xml:space="preserve">AMER AIR LINES BSP VIST SAO PAULO BR </t>
  </si>
  <si>
    <t>SUPERCENTER GRANJA VIA COTIA BR</t>
  </si>
  <si>
    <t xml:space="preserve"> POSTO NOVE DE JULHO SAO PAULO BR</t>
  </si>
  <si>
    <t>Pagamento do ITCMD</t>
  </si>
  <si>
    <t>GRUPO CATHO BARUERI BR</t>
  </si>
  <si>
    <t>IPTU Tia Ceres + Conserto Cano</t>
  </si>
  <si>
    <t xml:space="preserve">BURDOG SAO PAULO BR </t>
  </si>
  <si>
    <t>Quanto</t>
  </si>
  <si>
    <t>KEIKOS PREVENCAO SAUDE SAO PAULO BR</t>
  </si>
  <si>
    <t>Investimento Elvira</t>
  </si>
  <si>
    <t>Curso</t>
  </si>
  <si>
    <t>LUPO SAO PAULO BR</t>
  </si>
  <si>
    <t>Viagem NY</t>
  </si>
  <si>
    <t>Citypass</t>
  </si>
  <si>
    <t xml:space="preserve"> DEBITO TX IOF</t>
  </si>
  <si>
    <t>seg - 02/03</t>
  </si>
  <si>
    <t>TOTAL DA FATURA ANTERIOR</t>
  </si>
  <si>
    <t>cartao</t>
  </si>
  <si>
    <t>Niagara</t>
  </si>
  <si>
    <t>ana</t>
  </si>
  <si>
    <t>Dinheiro CAD</t>
  </si>
  <si>
    <t>yara</t>
  </si>
  <si>
    <t>Dinheiro US$</t>
  </si>
  <si>
    <t>tot</t>
  </si>
  <si>
    <t>Cidades Francesas</t>
  </si>
  <si>
    <t>Reforma Fachada</t>
  </si>
  <si>
    <t>Compras</t>
  </si>
  <si>
    <t>Margareth</t>
  </si>
  <si>
    <t>HRC-NEW YORK 10011013</t>
  </si>
  <si>
    <t>CITY THAT NEVER SLEEPS</t>
  </si>
  <si>
    <t>CANADA GIFT</t>
  </si>
  <si>
    <t>Multa 1</t>
  </si>
  <si>
    <t>Multa 2</t>
  </si>
  <si>
    <t>Estac</t>
  </si>
  <si>
    <t>Ovo de Pascoa</t>
  </si>
  <si>
    <t>Gas</t>
  </si>
  <si>
    <t>20-abr-09</t>
  </si>
  <si>
    <t>Bilete Unico</t>
  </si>
  <si>
    <t>26-abr</t>
  </si>
  <si>
    <t>30-abr-09</t>
  </si>
  <si>
    <t>20--may-09</t>
  </si>
  <si>
    <t>Deposito Bradesco</t>
  </si>
  <si>
    <t>Várias</t>
  </si>
  <si>
    <t>Fachada</t>
  </si>
  <si>
    <t>DOC Bradesco</t>
  </si>
  <si>
    <t>Net</t>
  </si>
  <si>
    <t>Prev Cris</t>
  </si>
  <si>
    <t>Cheque Depi</t>
  </si>
  <si>
    <t>Cheque Note</t>
  </si>
  <si>
    <t>Reembolso MBA</t>
  </si>
  <si>
    <t>Juros Cheque Especial</t>
  </si>
  <si>
    <t>saldo</t>
  </si>
  <si>
    <t>carto</t>
  </si>
  <si>
    <t>Raifran</t>
  </si>
  <si>
    <t>plr</t>
  </si>
  <si>
    <t>-</t>
  </si>
  <si>
    <t>cris</t>
  </si>
  <si>
    <t>Deposito Presente Tiba</t>
  </si>
  <si>
    <t>decimo terceiro</t>
  </si>
  <si>
    <t>Cheque Yara</t>
  </si>
  <si>
    <t>conserto cano</t>
  </si>
  <si>
    <t>IR</t>
  </si>
  <si>
    <t>bonus</t>
  </si>
  <si>
    <t>açoes</t>
  </si>
  <si>
    <t>Wintrade</t>
  </si>
  <si>
    <t>Lexus Box</t>
  </si>
  <si>
    <t>Seguro Bco real</t>
  </si>
  <si>
    <t>Invest 1</t>
  </si>
  <si>
    <t>13o</t>
  </si>
  <si>
    <t>Diners</t>
  </si>
  <si>
    <t>Investimento 2</t>
  </si>
  <si>
    <t>Bilhete Unico 2</t>
  </si>
  <si>
    <t>Invest 2</t>
  </si>
  <si>
    <t>`14</t>
  </si>
  <si>
    <t>NF Paulista</t>
  </si>
  <si>
    <t>Dedetização</t>
  </si>
  <si>
    <t>Carteirinha SPTRANS</t>
  </si>
  <si>
    <t>Equipamentos Moto</t>
  </si>
  <si>
    <t>IPVA Motoca</t>
  </si>
  <si>
    <t>BBBBBONUS</t>
  </si>
  <si>
    <t>Seguro</t>
  </si>
  <si>
    <t>Revisão</t>
  </si>
  <si>
    <t>INVESTIMENTO</t>
  </si>
  <si>
    <t>Avon Cris</t>
  </si>
  <si>
    <t>sararo cris</t>
  </si>
  <si>
    <t>paga - financ</t>
  </si>
  <si>
    <t>cartao cris abril</t>
  </si>
  <si>
    <t>entrada</t>
  </si>
  <si>
    <t>parcela 1</t>
  </si>
  <si>
    <t>parcela 2</t>
  </si>
  <si>
    <t>Transf Moto</t>
  </si>
  <si>
    <t>Conserto Moto</t>
  </si>
  <si>
    <t>Pagamento MBA Inter</t>
  </si>
  <si>
    <t>Reembolso Irvine</t>
  </si>
  <si>
    <t>Resgate Invest</t>
  </si>
  <si>
    <t>invest 3</t>
  </si>
  <si>
    <t>MBA Internacional</t>
  </si>
  <si>
    <t>Reembolso MBA Internacional</t>
  </si>
  <si>
    <t>sararo cris maio</t>
  </si>
  <si>
    <t>sararo cris junho</t>
  </si>
  <si>
    <t>1a 13</t>
  </si>
  <si>
    <t>2a 14</t>
  </si>
  <si>
    <t>ferias</t>
  </si>
  <si>
    <t>Transf Moto e Carro</t>
  </si>
  <si>
    <t>Resgate Cit</t>
  </si>
  <si>
    <t>Saldo</t>
  </si>
  <si>
    <t>acoes</t>
  </si>
  <si>
    <t>sararo cris Junho</t>
  </si>
  <si>
    <t>salario cris</t>
  </si>
  <si>
    <t>Bilhete Unico1</t>
  </si>
  <si>
    <t>Renda</t>
  </si>
  <si>
    <t>Mudança e Reforma</t>
  </si>
  <si>
    <t>Valores</t>
  </si>
  <si>
    <t>Saldo Bradesco</t>
  </si>
  <si>
    <t>Lampadas Halogenas</t>
  </si>
  <si>
    <t>Pintura</t>
  </si>
  <si>
    <t>Lampada Cozinha</t>
  </si>
  <si>
    <t>Mudança</t>
  </si>
  <si>
    <t>Fechaduras (segredo)</t>
  </si>
  <si>
    <t>Piso</t>
  </si>
  <si>
    <t>Assento de Privada</t>
  </si>
  <si>
    <t>itbi</t>
  </si>
  <si>
    <t>Chaveiro da Garagem</t>
  </si>
  <si>
    <t>Suporte de Papel Higienico</t>
  </si>
  <si>
    <t>escritura</t>
  </si>
  <si>
    <t>Boxes</t>
  </si>
  <si>
    <t>Caçamba</t>
  </si>
  <si>
    <t>imobiliaria</t>
  </si>
  <si>
    <t>Spot Duplo</t>
  </si>
  <si>
    <t>TED</t>
  </si>
  <si>
    <t>Varal</t>
  </si>
  <si>
    <t>Transferencia Bradesco</t>
  </si>
  <si>
    <t>Cartao Cris</t>
  </si>
  <si>
    <t>Espelhos</t>
  </si>
  <si>
    <t>cris junho 1</t>
  </si>
  <si>
    <t>Enxoval</t>
  </si>
  <si>
    <t>`14 salario</t>
  </si>
  <si>
    <t>TV</t>
  </si>
  <si>
    <t>cris junho</t>
  </si>
  <si>
    <t>Móveis</t>
  </si>
  <si>
    <t>SUB-TOTAL</t>
  </si>
  <si>
    <t>Venda de Trecos</t>
  </si>
  <si>
    <t>Din Din</t>
  </si>
  <si>
    <t>Seguro de Vida</t>
  </si>
  <si>
    <t>Controlar</t>
  </si>
  <si>
    <t>Condominio Mooca</t>
  </si>
  <si>
    <t>Luz Mooca</t>
  </si>
  <si>
    <t>IPTU Mooca</t>
  </si>
  <si>
    <t>Sararo + 1a 14</t>
  </si>
  <si>
    <t>Free Choice 1</t>
  </si>
  <si>
    <t>Free Choice 2</t>
  </si>
  <si>
    <t>yarinha</t>
  </si>
  <si>
    <t>Móveis ML</t>
  </si>
  <si>
    <t>cartao cris</t>
  </si>
  <si>
    <t>cris julho</t>
  </si>
  <si>
    <t>Proximos</t>
  </si>
  <si>
    <t>reemb educ</t>
  </si>
  <si>
    <t>férias</t>
  </si>
  <si>
    <t>sararo</t>
  </si>
  <si>
    <t>$$$</t>
  </si>
  <si>
    <t>Endosso Seguro</t>
  </si>
  <si>
    <t>Net 2</t>
  </si>
  <si>
    <t>Depósito Bradesco</t>
  </si>
  <si>
    <t>Visa</t>
  </si>
  <si>
    <t>Feerias</t>
  </si>
  <si>
    <t>Free Choice jul</t>
  </si>
  <si>
    <t>Invest</t>
  </si>
  <si>
    <t>DI</t>
  </si>
  <si>
    <t>Luz jul</t>
  </si>
  <si>
    <t>Luz ago</t>
  </si>
  <si>
    <t>Net Fone</t>
  </si>
  <si>
    <t>Endosso Seguro jul</t>
  </si>
  <si>
    <t>Dondoca</t>
  </si>
  <si>
    <t>Cheque Especial</t>
  </si>
  <si>
    <t>Sofa + Marcus</t>
  </si>
  <si>
    <t>Dolares</t>
  </si>
  <si>
    <t>Pagtos</t>
  </si>
  <si>
    <t>Natura</t>
  </si>
  <si>
    <t>Cartão + Previ</t>
  </si>
  <si>
    <t>Vera</t>
  </si>
  <si>
    <t>Luzi</t>
  </si>
  <si>
    <t>Restitição</t>
  </si>
  <si>
    <t>Rita</t>
  </si>
  <si>
    <t>sofa</t>
  </si>
  <si>
    <t>cheque sofá</t>
  </si>
  <si>
    <t>estac</t>
  </si>
  <si>
    <t>previdencia</t>
  </si>
  <si>
    <t>NetFone</t>
  </si>
  <si>
    <t>remedios</t>
  </si>
  <si>
    <t>cadeiras</t>
  </si>
  <si>
    <t>moto</t>
  </si>
  <si>
    <t>abast</t>
  </si>
  <si>
    <t>Free Choice 3</t>
  </si>
  <si>
    <t>oleo</t>
  </si>
  <si>
    <t>trilha</t>
  </si>
  <si>
    <t>TCCI</t>
  </si>
  <si>
    <t>PMI</t>
  </si>
  <si>
    <t>Nota Fiscal Paulista</t>
  </si>
  <si>
    <t>Presentes Dr. Jorge</t>
  </si>
  <si>
    <t>Almoço Arabe</t>
  </si>
  <si>
    <t>Churras Santos</t>
  </si>
  <si>
    <t>Ao chopp Gonzaga</t>
  </si>
  <si>
    <t>Galeto Santos</t>
  </si>
  <si>
    <t>Fontes Santos</t>
  </si>
  <si>
    <t>Mesinha</t>
  </si>
  <si>
    <t>Hamburger</t>
  </si>
  <si>
    <t>O Garimpo</t>
  </si>
  <si>
    <t>BU</t>
  </si>
  <si>
    <t>Daniel Sato</t>
  </si>
  <si>
    <t>Impressão Trabalho</t>
  </si>
  <si>
    <t>Cheque Spec</t>
  </si>
  <si>
    <t>invest</t>
  </si>
  <si>
    <t>sobra</t>
  </si>
  <si>
    <t>Investmento</t>
  </si>
  <si>
    <t>Resgate</t>
  </si>
  <si>
    <t>yara dez</t>
  </si>
  <si>
    <t>yara jan</t>
  </si>
  <si>
    <t>cris viagem</t>
  </si>
  <si>
    <t>cris cartão</t>
  </si>
  <si>
    <t>u2</t>
  </si>
  <si>
    <t>Bolsa</t>
  </si>
  <si>
    <t>tv</t>
  </si>
  <si>
    <t>cartão</t>
  </si>
  <si>
    <t>Luz dez</t>
  </si>
  <si>
    <t>Currency Rates Provided by MSN Money</t>
  </si>
  <si>
    <t>Click here to visit MSN Money</t>
  </si>
  <si>
    <t>Name</t>
  </si>
  <si>
    <t>In US$</t>
  </si>
  <si>
    <t>   Per US$</t>
  </si>
  <si>
    <t>Argentine Peso to US Dollar</t>
  </si>
  <si>
    <t>0.19505</t>
  </si>
  <si>
    <t>Australian Dollar to US Dollar</t>
  </si>
  <si>
    <t>1.0441</t>
  </si>
  <si>
    <t>Bahraini Dinar to US Dollar</t>
  </si>
  <si>
    <t>2.6487</t>
  </si>
  <si>
    <t>Bolivian Boliviano to US Dollar</t>
  </si>
  <si>
    <t>0.14245</t>
  </si>
  <si>
    <t>Brazilian Real to US Dollar</t>
  </si>
  <si>
    <t>0.49312</t>
  </si>
  <si>
    <t>British Pound to US Dollar</t>
  </si>
  <si>
    <t>1.5228</t>
  </si>
  <si>
    <t>Canadian Dollar to US Dollar</t>
  </si>
  <si>
    <t>0.98347</t>
  </si>
  <si>
    <t>Chile Peso to US Dollar</t>
  </si>
  <si>
    <t>0.00212</t>
  </si>
  <si>
    <t>472.6</t>
  </si>
  <si>
    <t>Chinese Yuan to US Dollar</t>
  </si>
  <si>
    <t>0.16082</t>
  </si>
  <si>
    <t>Colombian Peso to US Dollar</t>
  </si>
  <si>
    <t>0.00055</t>
  </si>
  <si>
    <t>Czech Koruna to US Dollar</t>
  </si>
  <si>
    <t>0.04987</t>
  </si>
  <si>
    <t>Danish Krone to US Dollar</t>
  </si>
  <si>
    <t>0.17257</t>
  </si>
  <si>
    <t>Euro to US Dollar</t>
  </si>
  <si>
    <t>1.2863</t>
  </si>
  <si>
    <t>Egyptian Pound* to US Dollar</t>
  </si>
  <si>
    <t>0.14668</t>
  </si>
  <si>
    <t>Hong Kong Dollar to US Dollar</t>
  </si>
  <si>
    <t>0.12881</t>
  </si>
  <si>
    <t>Hungarian Forint to US Dollar</t>
  </si>
  <si>
    <t>0.00423</t>
  </si>
  <si>
    <t>236.3</t>
  </si>
  <si>
    <t>Indian Rupee to US Dollar</t>
  </si>
  <si>
    <t>0.01841</t>
  </si>
  <si>
    <t>Indonesia Rupiah to US Dollar</t>
  </si>
  <si>
    <t>0.00010</t>
  </si>
  <si>
    <t>Japanese Yen to US Dollar</t>
  </si>
  <si>
    <t>0.01075</t>
  </si>
  <si>
    <t>Jordanian Dinar to US Dollar</t>
  </si>
  <si>
    <t>1.4104</t>
  </si>
  <si>
    <t>Kenyan Shilling to US Dollar</t>
  </si>
  <si>
    <t>0.01169</t>
  </si>
  <si>
    <t>South Korean Won to US Dollar</t>
  </si>
  <si>
    <t>0.00090</t>
  </si>
  <si>
    <t>Kuwaiti Dinar to US Dollar</t>
  </si>
  <si>
    <t>3.5026</t>
  </si>
  <si>
    <t>Morocco Dirham to US Dollar</t>
  </si>
  <si>
    <t>0.11587</t>
  </si>
  <si>
    <t>Malaysian Ringgit to US Dollar</t>
  </si>
  <si>
    <t>0.32310</t>
  </si>
  <si>
    <t>Mexican Peso to US Dollar</t>
  </si>
  <si>
    <t>0.08093</t>
  </si>
  <si>
    <t>Norwegian Krone to US Dollar</t>
  </si>
  <si>
    <t>0.17209</t>
  </si>
  <si>
    <t>Omani Rial to US Dollar</t>
  </si>
  <si>
    <t>2.5974</t>
  </si>
  <si>
    <t>Peruvian New Sol to US Dollar</t>
  </si>
  <si>
    <t>0.38521</t>
  </si>
  <si>
    <t>Philippine Peso to US Dollar</t>
  </si>
  <si>
    <t>0.02444</t>
  </si>
  <si>
    <t>Pakistani Rupee to US Dollar</t>
  </si>
  <si>
    <t>0.01011</t>
  </si>
  <si>
    <t>Saudi Riyal to US Dollar</t>
  </si>
  <si>
    <t>0.26662</t>
  </si>
  <si>
    <t>Singapore Dollar to US Dollar</t>
  </si>
  <si>
    <t>0.80789</t>
  </si>
  <si>
    <t>South African Rand to US Dollar</t>
  </si>
  <si>
    <t>0.10875</t>
  </si>
  <si>
    <t>Swedish Krona to US Dollar</t>
  </si>
  <si>
    <t>0.15380</t>
  </si>
  <si>
    <t>Swiss Franc to US Dollar</t>
  </si>
  <si>
    <t>1.0577</t>
  </si>
  <si>
    <t>Taiwan Dollar to US Dollar</t>
  </si>
  <si>
    <t>0.03350</t>
  </si>
  <si>
    <t>Thai Baht to US Dollar</t>
  </si>
  <si>
    <t>0.03412</t>
  </si>
  <si>
    <t>Tunisian Dinar to US Dollar</t>
  </si>
  <si>
    <t>0.62668</t>
  </si>
  <si>
    <t>Emirati Dirham to US Dollar</t>
  </si>
  <si>
    <t>0.27222</t>
  </si>
  <si>
    <t>United States Dollar</t>
  </si>
  <si>
    <t>Venezuelan Bolivar to US Dollar</t>
  </si>
  <si>
    <t>0.15882</t>
  </si>
  <si>
    <t>DATA PROVIDERS</t>
  </si>
  <si>
    <t>Copyright © 2013 Microsoft. All rights reserved.</t>
  </si>
  <si>
    <t>Quotes are real-time for NASDAQ, NYSE and AMEX. See delay times for other exchanges.</t>
  </si>
  <si>
    <r>
      <t xml:space="preserve">Fundamental company data and historical chart data provided by </t>
    </r>
    <r>
      <rPr>
        <sz val="10"/>
        <color indexed="12"/>
        <rFont val="Times New Roman"/>
        <family val="1"/>
      </rPr>
      <t>Thomson Reuters</t>
    </r>
    <r>
      <rPr>
        <sz val="10"/>
        <rFont val="Times New Roman"/>
        <family val="1"/>
      </rPr>
      <t xml:space="preserve"> (</t>
    </r>
    <r>
      <rPr>
        <sz val="10"/>
        <color indexed="12"/>
        <rFont val="Times New Roman"/>
        <family val="1"/>
      </rPr>
      <t>click for restrictions</t>
    </r>
    <r>
      <rPr>
        <sz val="10"/>
        <rFont val="Times New Roman"/>
        <family val="1"/>
      </rPr>
      <t xml:space="preserve">). Real-time quotes provided by </t>
    </r>
    <r>
      <rPr>
        <sz val="10"/>
        <color indexed="12"/>
        <rFont val="Times New Roman"/>
        <family val="1"/>
      </rPr>
      <t>BATS Exchange</t>
    </r>
    <r>
      <rPr>
        <sz val="10"/>
        <rFont val="Times New Roman"/>
        <family val="1"/>
      </rPr>
      <t xml:space="preserve">. Real-time index quotes and delayed quotes supplied by </t>
    </r>
    <r>
      <rPr>
        <sz val="10"/>
        <color indexed="12"/>
        <rFont val="Times New Roman"/>
        <family val="1"/>
      </rPr>
      <t>Interactive Data Real-Time Services</t>
    </r>
    <r>
      <rPr>
        <sz val="10"/>
        <rFont val="Times New Roman"/>
        <family val="1"/>
      </rPr>
      <t xml:space="preserve">. Fund summary, fund performance and dividend data provided by </t>
    </r>
    <r>
      <rPr>
        <sz val="10"/>
        <color indexed="12"/>
        <rFont val="Times New Roman"/>
        <family val="1"/>
      </rPr>
      <t>Morningstar Inc</t>
    </r>
    <r>
      <rPr>
        <sz val="10"/>
        <rFont val="Times New Roman"/>
        <family val="1"/>
      </rPr>
      <t xml:space="preserve">. Analyst recommendations provided by </t>
    </r>
    <r>
      <rPr>
        <sz val="10"/>
        <color indexed="12"/>
        <rFont val="Times New Roman"/>
        <family val="1"/>
      </rPr>
      <t>Zacks Investment Research</t>
    </r>
    <r>
      <rPr>
        <sz val="10"/>
        <rFont val="Times New Roman"/>
        <family val="1"/>
      </rPr>
      <t xml:space="preserve">. StockScouter data provided by </t>
    </r>
    <r>
      <rPr>
        <sz val="10"/>
        <color indexed="12"/>
        <rFont val="Times New Roman"/>
        <family val="1"/>
      </rPr>
      <t>Verus Analytics</t>
    </r>
    <r>
      <rPr>
        <sz val="10"/>
        <rFont val="Times New Roman"/>
        <family val="1"/>
      </rPr>
      <t xml:space="preserve">. IPO data provided by </t>
    </r>
    <r>
      <rPr>
        <sz val="10"/>
        <color indexed="12"/>
        <rFont val="Times New Roman"/>
        <family val="1"/>
      </rPr>
      <t>Hoover's Inc</t>
    </r>
    <r>
      <rPr>
        <sz val="10"/>
        <rFont val="Times New Roman"/>
        <family val="1"/>
      </rPr>
      <t xml:space="preserve">. Index membership data provided by </t>
    </r>
    <r>
      <rPr>
        <sz val="10"/>
        <color indexed="12"/>
        <rFont val="Times New Roman"/>
        <family val="1"/>
      </rPr>
      <t>SIX Telekurs</t>
    </r>
    <r>
      <rPr>
        <sz val="10"/>
        <rFont val="Times New Roman"/>
        <family val="1"/>
      </rPr>
      <t>.</t>
    </r>
  </si>
  <si>
    <r>
      <t xml:space="preserve">Japanese stock price data provided by </t>
    </r>
    <r>
      <rPr>
        <sz val="10"/>
        <color indexed="12"/>
        <rFont val="Times New Roman"/>
        <family val="1"/>
      </rPr>
      <t>Nomura Research Institute Ltd.</t>
    </r>
    <r>
      <rPr>
        <sz val="10"/>
        <rFont val="Times New Roman"/>
        <family val="1"/>
      </rPr>
      <t xml:space="preserve">; quotes delayed 20 minutes. Canadian fund data provided by </t>
    </r>
    <r>
      <rPr>
        <sz val="10"/>
        <color indexed="12"/>
        <rFont val="Times New Roman"/>
        <family val="1"/>
      </rPr>
      <t>CANNEX Financial Exchanges Ltd</t>
    </r>
    <r>
      <rPr>
        <sz val="10"/>
        <rFont val="Times New Roman"/>
        <family val="1"/>
      </rPr>
      <t>.</t>
    </r>
  </si>
  <si>
    <t>MSN Money</t>
  </si>
  <si>
    <t>Microsoft Office Update</t>
  </si>
  <si>
    <t>Discover Investor's tools, columns, and more!</t>
  </si>
  <si>
    <t>Get the latest from Microsoft Office</t>
  </si>
  <si>
    <t>Privacy</t>
  </si>
  <si>
    <t>Legal</t>
  </si>
  <si>
    <t>Advertise</t>
  </si>
  <si>
    <t>MSN Worldwide</t>
  </si>
  <si>
    <t>About our ads</t>
  </si>
  <si>
    <t xml:space="preserve">© 2013 Microsoft http://www.microsoft.com/ </t>
  </si>
  <si>
    <t>yara jan 2</t>
  </si>
  <si>
    <t>contas</t>
  </si>
  <si>
    <t>IPVA Moto</t>
  </si>
  <si>
    <t>IPVA Carro</t>
  </si>
  <si>
    <t>1a parcela 14</t>
  </si>
  <si>
    <t>14o</t>
  </si>
  <si>
    <t>IPVA moto</t>
  </si>
  <si>
    <t>IPVA carro</t>
  </si>
  <si>
    <t>Din Din Cris</t>
  </si>
  <si>
    <t>Seguro da Casa</t>
  </si>
  <si>
    <t>Seu Heleno</t>
  </si>
  <si>
    <t>Luz jan</t>
  </si>
  <si>
    <t>Net Fone jan</t>
  </si>
  <si>
    <t>Presente Cathy</t>
  </si>
  <si>
    <t>Bonito</t>
  </si>
  <si>
    <t>Hostel</t>
  </si>
  <si>
    <t>taxas</t>
  </si>
  <si>
    <t>PLR + PPR + BBONUS</t>
  </si>
  <si>
    <t>Yara mar</t>
  </si>
  <si>
    <t>taxis - SP</t>
  </si>
  <si>
    <t>cris móveis</t>
  </si>
  <si>
    <t>Van</t>
  </si>
  <si>
    <t>Gruta do Lago Azul</t>
  </si>
  <si>
    <t>Rio da Prata</t>
  </si>
  <si>
    <t>Rio Sucuri</t>
  </si>
  <si>
    <t>Aquário Natural</t>
  </si>
  <si>
    <t>Bóia Cross</t>
  </si>
  <si>
    <t>Estac Moto</t>
  </si>
  <si>
    <t>Anhumas</t>
  </si>
  <si>
    <t>Buraco das Araras</t>
  </si>
  <si>
    <t>Arvorismo</t>
  </si>
  <si>
    <t>Cristiane</t>
  </si>
  <si>
    <t>Pantanal</t>
  </si>
  <si>
    <t>Net Fone fev</t>
  </si>
  <si>
    <t>Reserva Bonito</t>
  </si>
  <si>
    <t>yara mar</t>
  </si>
  <si>
    <t>resgate</t>
  </si>
  <si>
    <t>Yara Pagto</t>
  </si>
  <si>
    <t>Reemb</t>
  </si>
  <si>
    <t>Free Choice Fotoptica</t>
  </si>
  <si>
    <t>Free Choice Remedios</t>
  </si>
  <si>
    <t>Free Choice Podologo</t>
  </si>
  <si>
    <t>Gionvanna</t>
  </si>
  <si>
    <t>Cards</t>
  </si>
  <si>
    <t>visa</t>
  </si>
  <si>
    <t>diners</t>
  </si>
  <si>
    <t>real</t>
  </si>
  <si>
    <t>Evaristo</t>
  </si>
  <si>
    <t>Pagto. Bonito</t>
  </si>
  <si>
    <t>Controlar FOX</t>
  </si>
  <si>
    <t>Pré-Controlar</t>
  </si>
  <si>
    <t>INSS 1a parcela</t>
  </si>
  <si>
    <t>INSS 2a parcela</t>
  </si>
  <si>
    <t>1os socorros</t>
  </si>
  <si>
    <t>Net fone</t>
  </si>
  <si>
    <t>bike</t>
  </si>
  <si>
    <t>NFP</t>
  </si>
  <si>
    <t>ML</t>
  </si>
  <si>
    <t>Giovanna</t>
  </si>
  <si>
    <t>retirada</t>
  </si>
  <si>
    <t>novembro</t>
  </si>
  <si>
    <t>D. Rita</t>
  </si>
  <si>
    <t>Yeda Buenos Aires</t>
  </si>
  <si>
    <t>Invest Olívia</t>
  </si>
  <si>
    <t>Investimento Olívia</t>
  </si>
  <si>
    <t>Seguro Seu Heleno</t>
  </si>
  <si>
    <t>Transferência</t>
  </si>
  <si>
    <t>Relatório Venda Carro</t>
  </si>
  <si>
    <t>Bem Casados</t>
  </si>
  <si>
    <t>Megasena</t>
  </si>
  <si>
    <t>Estacionamento Olivia</t>
  </si>
  <si>
    <t>Controlar Seu Heleno</t>
  </si>
  <si>
    <t>Presentes Cris e Olívia</t>
  </si>
  <si>
    <t>Recebimento Seu Heleno</t>
  </si>
  <si>
    <t>relógio</t>
  </si>
  <si>
    <t>Ferias</t>
  </si>
  <si>
    <t>NF Paulistana</t>
  </si>
  <si>
    <t>D Rita dez</t>
  </si>
  <si>
    <t>Diners jan</t>
  </si>
  <si>
    <t>Bilhete Unico jan</t>
  </si>
  <si>
    <t>Cartão Citi jan</t>
  </si>
  <si>
    <t>Investimento Olívia jan</t>
  </si>
  <si>
    <t>Vivo jan</t>
  </si>
  <si>
    <t>Seguro de Vida jan</t>
  </si>
  <si>
    <t>Net jan</t>
  </si>
  <si>
    <t>Cris DEZ</t>
  </si>
  <si>
    <t>Cris jan</t>
  </si>
  <si>
    <t>Descontos JAN</t>
  </si>
  <si>
    <t>Net fone dez</t>
  </si>
  <si>
    <t>Investimento dez</t>
  </si>
  <si>
    <t>Investimento jan</t>
  </si>
  <si>
    <t>Net fone jan</t>
  </si>
  <si>
    <t>Cheque Especial dez</t>
  </si>
  <si>
    <t>Cheque Especial jan</t>
  </si>
  <si>
    <t>Condominio Mooca jan</t>
  </si>
  <si>
    <t>D Rita jan</t>
  </si>
  <si>
    <t>Diners fev</t>
  </si>
  <si>
    <t>Bilhete Unico fev</t>
  </si>
  <si>
    <t>Cartão Citi fev</t>
  </si>
  <si>
    <t>Investimento Olívia fev</t>
  </si>
  <si>
    <t>resgate jan 1</t>
  </si>
  <si>
    <t>resgate jan 2</t>
  </si>
  <si>
    <t>Resgate fev</t>
  </si>
  <si>
    <t>Vivo fev</t>
  </si>
  <si>
    <t>Licenciamento Total</t>
  </si>
  <si>
    <t>Luz fev</t>
  </si>
  <si>
    <t>Net fev</t>
  </si>
  <si>
    <t>Net fone fev</t>
  </si>
  <si>
    <t>Cheque Especial fev</t>
  </si>
  <si>
    <t>Condominio Mooca fev</t>
  </si>
  <si>
    <t>BBBBBonus + PLR</t>
  </si>
  <si>
    <t>Transferência Cris</t>
  </si>
  <si>
    <t>Início Tesouro</t>
  </si>
  <si>
    <t>Free Choice Podo</t>
  </si>
  <si>
    <t>Free Choice Progress</t>
  </si>
  <si>
    <t>Free Choice Remedio</t>
  </si>
  <si>
    <t>Gama Vacinas</t>
  </si>
  <si>
    <t>Tesouro</t>
  </si>
  <si>
    <t>Inicio</t>
  </si>
  <si>
    <t>Cheque Especial mar</t>
  </si>
  <si>
    <t>Cinthia</t>
  </si>
  <si>
    <t>Seguro do Carro 1</t>
  </si>
  <si>
    <t>Net fone mar</t>
  </si>
  <si>
    <t>Olivia</t>
  </si>
  <si>
    <t>Inicio Tesouro</t>
  </si>
  <si>
    <t>qtas anda Tesouro</t>
  </si>
  <si>
    <t>Poupança</t>
  </si>
  <si>
    <t>Jr</t>
  </si>
  <si>
    <t>Free Choice Spa</t>
  </si>
  <si>
    <t>NF-P</t>
  </si>
  <si>
    <t>início</t>
  </si>
  <si>
    <t>hoje</t>
  </si>
  <si>
    <t>Cheque Especial abr</t>
  </si>
  <si>
    <t>Seguro do Carro 2</t>
  </si>
  <si>
    <t>Medservice Vacinas</t>
  </si>
  <si>
    <t>CC Cris</t>
  </si>
  <si>
    <t>13 sararo</t>
  </si>
  <si>
    <t>Paulão</t>
  </si>
  <si>
    <t>RIP</t>
  </si>
  <si>
    <t>Heleno</t>
  </si>
  <si>
    <t>LTN010115</t>
  </si>
  <si>
    <t>NTNB-Principal 150535</t>
  </si>
  <si>
    <t>LTN010116</t>
  </si>
  <si>
    <t>14 sararo</t>
  </si>
  <si>
    <t>NF-Paulistana</t>
  </si>
  <si>
    <t>LTN010114</t>
  </si>
  <si>
    <t>Darf 2</t>
  </si>
  <si>
    <t>Festa Olívia</t>
  </si>
  <si>
    <t>titulo</t>
  </si>
  <si>
    <t>olivia</t>
  </si>
  <si>
    <t>papai e mamae</t>
  </si>
  <si>
    <t>Multas</t>
  </si>
  <si>
    <t>,</t>
  </si>
  <si>
    <t>Crédito Cris</t>
  </si>
  <si>
    <t>poupança</t>
  </si>
  <si>
    <t>Débito Cris</t>
  </si>
  <si>
    <t>Deposito Raifran</t>
  </si>
  <si>
    <t>Reembolso Setembro</t>
  </si>
  <si>
    <t>Free choice keikos cris</t>
  </si>
  <si>
    <t>Crédito Adelino</t>
  </si>
  <si>
    <t>Credito Alê</t>
  </si>
  <si>
    <t>total</t>
  </si>
  <si>
    <t>Cartão Diners</t>
  </si>
  <si>
    <t>Cambio</t>
  </si>
  <si>
    <t>Multa SP</t>
  </si>
  <si>
    <t>Imposto de Renda</t>
  </si>
  <si>
    <t>Tela</t>
  </si>
  <si>
    <t>PPR</t>
  </si>
  <si>
    <t>credito</t>
  </si>
  <si>
    <t>Deposito Sandra</t>
  </si>
  <si>
    <t>Resgate Poupança</t>
  </si>
  <si>
    <t>previsao</t>
  </si>
  <si>
    <t>Cheque Bike 1/2</t>
  </si>
  <si>
    <t>Cheque Pinha Pinhão</t>
  </si>
  <si>
    <t>Vodka</t>
  </si>
  <si>
    <t>Multa PR</t>
  </si>
  <si>
    <t>Reembolso II</t>
  </si>
  <si>
    <t>Venda Telefone</t>
  </si>
  <si>
    <t>NTN150515</t>
  </si>
  <si>
    <t>Cheque Festa</t>
  </si>
  <si>
    <t>Convidados Festa</t>
  </si>
  <si>
    <t>Cheqe Buffet</t>
  </si>
  <si>
    <t>Dep Cris</t>
  </si>
  <si>
    <t>Cheque Bike 2/2</t>
  </si>
  <si>
    <t>Multa Sanca</t>
  </si>
  <si>
    <t>NTNB-Principal 150515</t>
  </si>
  <si>
    <t>cash passport</t>
  </si>
  <si>
    <t>Créditos NF Paulistana</t>
  </si>
  <si>
    <t>Câmbio</t>
  </si>
  <si>
    <t>Cambio1</t>
  </si>
  <si>
    <t>Cambio2</t>
  </si>
  <si>
    <t>NTN150535</t>
  </si>
  <si>
    <t>Academia I</t>
  </si>
  <si>
    <t>Academia II</t>
  </si>
  <si>
    <t>Fundo Temporario</t>
  </si>
  <si>
    <t>Licenciamento Veio + dep</t>
  </si>
  <si>
    <t>Vacina</t>
  </si>
  <si>
    <t>Pasaportes</t>
  </si>
  <si>
    <t>Matricula Olívia</t>
  </si>
  <si>
    <t>Escola Olívia</t>
  </si>
  <si>
    <t>Dolar Aninha</t>
  </si>
  <si>
    <t>Paga Anderson</t>
  </si>
  <si>
    <t>Free Choice Academia</t>
  </si>
  <si>
    <t>Auxílio Creche</t>
  </si>
  <si>
    <t>Vacina Olivia</t>
  </si>
  <si>
    <t>LTN010117</t>
  </si>
  <si>
    <t>Remedios</t>
  </si>
  <si>
    <t>Din Din Ernesto</t>
  </si>
  <si>
    <t>Seguro 1</t>
  </si>
  <si>
    <t>Nota fiscal Paulista</t>
  </si>
  <si>
    <t>LTN16</t>
  </si>
  <si>
    <t>Miami</t>
  </si>
  <si>
    <t>DASN SIMEI</t>
  </si>
  <si>
    <t>Seguro 2</t>
  </si>
  <si>
    <t>Dolores</t>
  </si>
  <si>
    <t>Dolares Cris</t>
  </si>
  <si>
    <t>Cambio II</t>
  </si>
  <si>
    <t>NTN150519</t>
  </si>
  <si>
    <t>Cartaozinho</t>
  </si>
  <si>
    <t>Trilha Bike</t>
  </si>
  <si>
    <t>NTNB-Principal 150519</t>
  </si>
  <si>
    <t>Orama</t>
  </si>
  <si>
    <t>Papai</t>
  </si>
  <si>
    <t>Resgate Poupanca</t>
  </si>
  <si>
    <t>Resgates</t>
  </si>
  <si>
    <t>Investimento Orama</t>
  </si>
  <si>
    <t>investimento</t>
  </si>
  <si>
    <t>Ernesto</t>
  </si>
  <si>
    <t>Sem Parar</t>
  </si>
  <si>
    <t>Dr Resolve</t>
  </si>
  <si>
    <t>Taxa Corretora</t>
  </si>
  <si>
    <t>LFT03052017</t>
  </si>
  <si>
    <t>Esfiha</t>
  </si>
  <si>
    <t>Reembolso Vacina</t>
  </si>
  <si>
    <t>Reembolso Controlar</t>
  </si>
  <si>
    <t>Fotos</t>
  </si>
  <si>
    <t>Transferencia Cris</t>
  </si>
  <si>
    <t>Comoda</t>
  </si>
  <si>
    <t>Free Choice II</t>
  </si>
  <si>
    <t>Dolar Cartaozinho</t>
  </si>
  <si>
    <t>Cris Out</t>
  </si>
  <si>
    <t>Tesourinho</t>
  </si>
  <si>
    <t>Bolo</t>
  </si>
  <si>
    <t>Free Choice III</t>
  </si>
  <si>
    <t>Reembolso Parto</t>
  </si>
  <si>
    <t>Crédito Chave Nissan</t>
  </si>
  <si>
    <t>Chave Nissan Cris</t>
  </si>
  <si>
    <t>Deposito Dinheiro</t>
  </si>
  <si>
    <t>Transf Cris Parto</t>
  </si>
  <si>
    <t>Parto em Dinheiro</t>
  </si>
  <si>
    <t>Hotel</t>
  </si>
  <si>
    <t>Seguro Casa</t>
  </si>
  <si>
    <t>Hotel Colina Verde</t>
  </si>
  <si>
    <t>Crepe</t>
  </si>
  <si>
    <t>Cartaozinho Leo</t>
  </si>
  <si>
    <t>Cartaozinho Olivia</t>
  </si>
  <si>
    <t>Olívia</t>
  </si>
  <si>
    <t>Órama</t>
  </si>
  <si>
    <t>Credito NF Paulistana</t>
  </si>
  <si>
    <t>LTN 010116</t>
  </si>
  <si>
    <t>Leozinho</t>
  </si>
  <si>
    <t>Zafa2</t>
  </si>
  <si>
    <t>Material Olívia</t>
  </si>
  <si>
    <t>PETR4</t>
  </si>
  <si>
    <t>Doces Tia Sonia</t>
  </si>
  <si>
    <t>Dola</t>
  </si>
  <si>
    <t># Títulos Tesourinho</t>
  </si>
  <si>
    <t>PU</t>
  </si>
  <si>
    <t>Luz Dez</t>
  </si>
  <si>
    <t>Luz Jan</t>
  </si>
  <si>
    <t>Net fone Dez</t>
  </si>
  <si>
    <t>Net fone Jan</t>
  </si>
  <si>
    <t>BBBBBBonus</t>
  </si>
  <si>
    <t>Quanto?</t>
  </si>
  <si>
    <t>Vacina 2</t>
  </si>
  <si>
    <t>Reembolso Escola</t>
  </si>
  <si>
    <t>Investimento Leo</t>
  </si>
  <si>
    <t>Hotel Carnaval</t>
  </si>
  <si>
    <t>Investimento Leo e Olivia</t>
  </si>
  <si>
    <t>Despachante</t>
  </si>
  <si>
    <t>Pia São Vicente</t>
  </si>
  <si>
    <t>Seguro Carro (1/2)</t>
  </si>
  <si>
    <t>VVVVacaciones</t>
  </si>
  <si>
    <t>Poupança (2 cotas)</t>
  </si>
  <si>
    <t>Credito?</t>
  </si>
  <si>
    <t>Poupança (3 cotas)</t>
  </si>
  <si>
    <t>Poços de Caldas</t>
  </si>
  <si>
    <t>Poki</t>
  </si>
  <si>
    <t>Hotel Holambra</t>
  </si>
  <si>
    <t>Seguro Carro (2/2)</t>
  </si>
  <si>
    <t>Salario 1a quinzena de Maio</t>
  </si>
  <si>
    <t>Cinta</t>
  </si>
  <si>
    <t>Bitcoins</t>
  </si>
  <si>
    <t>Fundo de Invest</t>
  </si>
  <si>
    <t>Investimento `</t>
  </si>
  <si>
    <t>corretora</t>
  </si>
  <si>
    <t>BITCOIN Investimento Leo e Olivia</t>
  </si>
  <si>
    <t>PETR 4</t>
  </si>
  <si>
    <t>leo</t>
  </si>
  <si>
    <t>R$ / BTC</t>
  </si>
  <si>
    <t>papai mamae</t>
  </si>
  <si>
    <t># KHS</t>
  </si>
  <si>
    <t>khs / btc</t>
  </si>
  <si>
    <t>em BTC</t>
  </si>
  <si>
    <t>em R$</t>
  </si>
  <si>
    <t>TUTORES</t>
  </si>
  <si>
    <t>Salario 1a quinzena de Jun</t>
  </si>
  <si>
    <t>Ampli</t>
  </si>
  <si>
    <t>empresa</t>
  </si>
  <si>
    <t>deposito</t>
  </si>
  <si>
    <t>Provisão</t>
  </si>
  <si>
    <t>Empresa TUTORES</t>
  </si>
  <si>
    <t>Bolao</t>
  </si>
  <si>
    <t>Resgatao</t>
  </si>
  <si>
    <t>Salario 1a quinzena</t>
  </si>
  <si>
    <t>LTN18</t>
  </si>
  <si>
    <t>Reembolso Remedios</t>
  </si>
  <si>
    <t>Guitarra</t>
  </si>
  <si>
    <t>Prova Ancord</t>
  </si>
  <si>
    <t>Corretora</t>
  </si>
  <si>
    <t>LTN010118</t>
  </si>
  <si>
    <t>Fiel Torcedor</t>
  </si>
  <si>
    <t>Vale do Sol</t>
  </si>
  <si>
    <t>Resgate Corretora</t>
  </si>
  <si>
    <t>Resgate Emer</t>
  </si>
  <si>
    <t>Investimento Emer</t>
  </si>
  <si>
    <t>reserva</t>
  </si>
  <si>
    <t>Boletas Zefa</t>
  </si>
  <si>
    <t>Resgate Emergencial</t>
  </si>
  <si>
    <t>Reserva Visto</t>
  </si>
  <si>
    <t>Visto Americano</t>
  </si>
  <si>
    <t>Paga Hotel Bahia</t>
  </si>
  <si>
    <t>Resgate II</t>
  </si>
  <si>
    <t>Ricardo Ferrnandes</t>
  </si>
  <si>
    <t>Ilhabela</t>
  </si>
  <si>
    <t>PAGA SETEMBRO PARA LEO E OLIVIA</t>
  </si>
  <si>
    <t>Desligamento Citi</t>
  </si>
  <si>
    <t>Crédito Corretora</t>
  </si>
  <si>
    <t>IRPF</t>
  </si>
  <si>
    <t>Nf-p</t>
  </si>
  <si>
    <t>LCA</t>
  </si>
  <si>
    <t>Fundo BTG</t>
  </si>
  <si>
    <t>Transf Cris</t>
  </si>
  <si>
    <t>Tutores</t>
  </si>
  <si>
    <t>Situacao</t>
  </si>
  <si>
    <t>Fundo</t>
  </si>
  <si>
    <t>PLR Citi</t>
  </si>
  <si>
    <t>INSS Zefa</t>
  </si>
  <si>
    <t>Foto Festa Leo I</t>
  </si>
  <si>
    <t>Foto Festa Leo II</t>
  </si>
  <si>
    <t>Fim de Ano Olivia</t>
  </si>
  <si>
    <t>Churrasco Festa Leo</t>
  </si>
  <si>
    <t>Chacara Festa Leo</t>
  </si>
  <si>
    <t>Títulos</t>
  </si>
  <si>
    <t>Matricula Escola</t>
  </si>
  <si>
    <t>Garrafinhas</t>
  </si>
  <si>
    <t>Adicional Citi</t>
  </si>
  <si>
    <t>TD</t>
  </si>
  <si>
    <t>saque</t>
  </si>
  <si>
    <t>Tio João</t>
  </si>
  <si>
    <t>Matrícula Olívia</t>
  </si>
  <si>
    <t>GPS 13 Zefa</t>
  </si>
  <si>
    <t>Natal Yara</t>
  </si>
  <si>
    <t>Tela d rita</t>
  </si>
  <si>
    <t>bradesco</t>
  </si>
  <si>
    <t>`13</t>
  </si>
  <si>
    <t>Auxilio Escola</t>
  </si>
  <si>
    <t>Cheque Especial Dez</t>
  </si>
  <si>
    <t>Tia Sonia</t>
  </si>
  <si>
    <t>Dólares</t>
  </si>
  <si>
    <t>Resga</t>
  </si>
  <si>
    <t>Paga Hilton</t>
  </si>
  <si>
    <t>Serviço Adicional Olívia</t>
  </si>
  <si>
    <t>Mensalidade e Matrícula Leo</t>
  </si>
  <si>
    <t>Loteca</t>
  </si>
  <si>
    <t>Boleto Apostilas Olívia</t>
  </si>
  <si>
    <t>Saída da Amanda</t>
  </si>
  <si>
    <t>Resgate I</t>
  </si>
  <si>
    <t>Mãe Coruja</t>
  </si>
  <si>
    <t>Previdência</t>
  </si>
  <si>
    <t>NF-Pau</t>
  </si>
  <si>
    <t>Outros Zefa</t>
  </si>
  <si>
    <t>Mensalidade Fevereiro</t>
  </si>
  <si>
    <t>Cartão Bradesco</t>
  </si>
  <si>
    <t>Luz Feb</t>
  </si>
  <si>
    <t>Raquel</t>
  </si>
  <si>
    <t>Seu Ezra</t>
  </si>
  <si>
    <t>Franquia</t>
  </si>
  <si>
    <t>Devo R$ 500 para a Tutores</t>
  </si>
  <si>
    <t>Seu Ezra II</t>
  </si>
  <si>
    <t>Reembolso III</t>
  </si>
  <si>
    <t>Deposito SICA</t>
  </si>
  <si>
    <t>Cheque Especial Citi</t>
  </si>
  <si>
    <t>Cheque Especial Bradesco</t>
  </si>
  <si>
    <t>Devolução Tutores</t>
  </si>
  <si>
    <t>dividendos</t>
  </si>
  <si>
    <t>Mensalidade Leo</t>
  </si>
  <si>
    <t>Hotel Juquehy</t>
  </si>
  <si>
    <t>Tarifa Bradesco</t>
  </si>
  <si>
    <t>Franquia Carro</t>
  </si>
  <si>
    <t>Reembolso Bradescao</t>
  </si>
  <si>
    <t>Reembolso X</t>
  </si>
  <si>
    <t>Reembolso Y</t>
  </si>
  <si>
    <t>Reembolso Z</t>
  </si>
  <si>
    <t>ML II</t>
  </si>
  <si>
    <t>Excursão Olívia</t>
  </si>
  <si>
    <t>Tesouro IPCA+ 2035 (NTNB Princ)</t>
  </si>
  <si>
    <t>Tesouro Selic 2021 (LFT)</t>
  </si>
  <si>
    <t>MLIII</t>
  </si>
  <si>
    <t>Deposito Dona Rita</t>
  </si>
  <si>
    <t>Dia das Mães Olivia</t>
  </si>
  <si>
    <t>Net Virtua</t>
  </si>
  <si>
    <t>IRPF Tutores</t>
  </si>
  <si>
    <t>Luz Abr</t>
  </si>
  <si>
    <t>Luz Mai</t>
  </si>
  <si>
    <t>Festa Junina Olivia</t>
  </si>
  <si>
    <t>Televisão Vivo</t>
  </si>
  <si>
    <t>Hilton</t>
  </si>
  <si>
    <t>aluno 1</t>
  </si>
  <si>
    <t>aluno 2</t>
  </si>
  <si>
    <t>aluno 3</t>
  </si>
  <si>
    <t>MLIV</t>
  </si>
  <si>
    <t>MLV</t>
  </si>
  <si>
    <t>Sírio Libanes</t>
  </si>
  <si>
    <t>Conta Viva atrasada</t>
  </si>
  <si>
    <t>Fabrizio</t>
  </si>
  <si>
    <t>Presente Eduardo Pimentel</t>
  </si>
  <si>
    <t>Luz Jun</t>
  </si>
  <si>
    <t>Reembolso Zeta</t>
  </si>
  <si>
    <t>Reembolso Kaput</t>
  </si>
  <si>
    <t>Conta Tutores</t>
  </si>
  <si>
    <t>Reembolso A</t>
  </si>
  <si>
    <t>Luz Junho</t>
  </si>
  <si>
    <t>Luz Julho</t>
  </si>
  <si>
    <t>Yara Catarata</t>
  </si>
  <si>
    <t>Raquel III</t>
  </si>
  <si>
    <t>Conta FGTS</t>
  </si>
  <si>
    <t>Reembolso B</t>
  </si>
  <si>
    <t>Metlife</t>
  </si>
  <si>
    <t>Brasilprev</t>
  </si>
  <si>
    <t>Saída Sapucaia</t>
  </si>
  <si>
    <t>Matrícula Ranieri Leo</t>
  </si>
  <si>
    <t>CDB</t>
  </si>
  <si>
    <t>Tratamento Dente</t>
  </si>
  <si>
    <t>Cartão Amex</t>
  </si>
  <si>
    <t>Luz Ago</t>
  </si>
  <si>
    <t>Raquel IV</t>
  </si>
  <si>
    <t>Televisão Vivo Parte I</t>
  </si>
  <si>
    <t>Televisão Vivo Parte II</t>
  </si>
  <si>
    <t># MHS</t>
  </si>
  <si>
    <t>Tutores Paga I</t>
  </si>
  <si>
    <t>Cheque Tutores</t>
  </si>
  <si>
    <t>Resgatão</t>
  </si>
  <si>
    <t>Documentos Sapucaia</t>
  </si>
  <si>
    <t>Matrícula Leonardo</t>
  </si>
  <si>
    <t>Dente</t>
  </si>
  <si>
    <t>Luz Set</t>
  </si>
  <si>
    <t>Cheque Cozinha</t>
  </si>
  <si>
    <t xml:space="preserve"> </t>
  </si>
  <si>
    <t>AMEX</t>
  </si>
  <si>
    <t>Tutores Paga II</t>
  </si>
  <si>
    <t>Mijas</t>
  </si>
  <si>
    <t>Surplus</t>
  </si>
  <si>
    <t>Resgatão Orama</t>
  </si>
  <si>
    <t>BTG</t>
  </si>
  <si>
    <t>Resgatao II</t>
  </si>
  <si>
    <t>CDB Topazio</t>
  </si>
  <si>
    <t>Resgatão LCI</t>
  </si>
  <si>
    <t>CDB Intermedium</t>
  </si>
  <si>
    <t>Cond Regalo</t>
  </si>
  <si>
    <t>Pedreiro</t>
  </si>
  <si>
    <t>Pedreiro Gas</t>
  </si>
  <si>
    <t>resgatao</t>
  </si>
  <si>
    <t>1a Pedreiro</t>
  </si>
  <si>
    <t>1a Gesso</t>
  </si>
  <si>
    <t>1a Tela</t>
  </si>
  <si>
    <t>Churrasqueira Cheque</t>
  </si>
  <si>
    <t>Churrasqueira Instalação</t>
  </si>
  <si>
    <t>Pedras</t>
  </si>
  <si>
    <t>Vidraçaria</t>
  </si>
  <si>
    <t>Cheque Zadoque</t>
  </si>
  <si>
    <t>1a parcela APÊ</t>
  </si>
  <si>
    <t>Festa Final de Ano Olívia 01/03</t>
  </si>
  <si>
    <t>Tarifa Itaú</t>
  </si>
  <si>
    <t>Teatro Olívia</t>
  </si>
  <si>
    <t>Tutores 3/3</t>
  </si>
  <si>
    <t>Sapucaia</t>
  </si>
  <si>
    <t>Resgatão Geral</t>
  </si>
  <si>
    <t>transf Maurício</t>
  </si>
  <si>
    <t>ITBI</t>
  </si>
  <si>
    <t>1a Piso</t>
  </si>
  <si>
    <t>2a Gesso</t>
  </si>
  <si>
    <t>2a Tela - Cheque 34 para 19/11</t>
  </si>
  <si>
    <t>2 Churrasqueira Cheque</t>
  </si>
  <si>
    <t>Desmontagem Móveis</t>
  </si>
  <si>
    <t>Montagem Móveis</t>
  </si>
  <si>
    <t>1a Móveis</t>
  </si>
  <si>
    <t>1a Portas de Abrir</t>
  </si>
  <si>
    <t>2a Vidraçaria</t>
  </si>
  <si>
    <t>Regalo</t>
  </si>
  <si>
    <t>Festa Final de Ano Olívia 02/03</t>
  </si>
  <si>
    <t>Luz Out</t>
  </si>
  <si>
    <t>CDB Bradesco</t>
  </si>
  <si>
    <t>transf Maurício II</t>
  </si>
  <si>
    <t>resgatinho</t>
  </si>
  <si>
    <t>Resgatinho</t>
  </si>
  <si>
    <t>Acréscimo Seguro do Carro</t>
  </si>
  <si>
    <t>Chaveiro</t>
  </si>
  <si>
    <t>Diferença Condominio Vitiello</t>
  </si>
  <si>
    <t>Resgatinho II</t>
  </si>
  <si>
    <t>Luz Out Vitiello Diferença</t>
  </si>
  <si>
    <t>Ar Condicionado</t>
  </si>
  <si>
    <t>Cond Regalo Atrasado</t>
  </si>
  <si>
    <t>Luz Nov</t>
  </si>
  <si>
    <t>Prateleira Móvel</t>
  </si>
  <si>
    <t>2a Pedras</t>
  </si>
  <si>
    <t>Convites Festa da Olívia</t>
  </si>
  <si>
    <t>2a piso</t>
  </si>
  <si>
    <t>3a Gesso</t>
  </si>
  <si>
    <t>3 Churrasqueira Cheque</t>
  </si>
  <si>
    <t>3a Pedras</t>
  </si>
  <si>
    <t>2a Móveis</t>
  </si>
  <si>
    <t>2a Portas de Abrir</t>
  </si>
  <si>
    <t>Festa Final de Ano Olívia 03/03</t>
  </si>
  <si>
    <t>Luz Dec</t>
  </si>
  <si>
    <t>Acantonamento Olívia</t>
  </si>
  <si>
    <t>Maurício</t>
  </si>
  <si>
    <t>Cheque Especial Itaú</t>
  </si>
  <si>
    <t>Registro - ???</t>
  </si>
  <si>
    <t>Dado II</t>
  </si>
  <si>
    <t>Zefa II</t>
  </si>
  <si>
    <t>Colunas1</t>
  </si>
  <si>
    <t>Colunas2</t>
  </si>
  <si>
    <t>Colunas4</t>
  </si>
  <si>
    <t>Colunas5</t>
  </si>
  <si>
    <t>Colunas6</t>
  </si>
  <si>
    <t>Festa Olivia</t>
  </si>
  <si>
    <t>Festa Olívia - Hilton</t>
  </si>
  <si>
    <t>Festa Olívia - Chopp</t>
  </si>
  <si>
    <t>Janela Área de Serviço</t>
  </si>
  <si>
    <t>Sandra I</t>
  </si>
  <si>
    <t>Sandra II</t>
  </si>
  <si>
    <t>Tati I</t>
  </si>
  <si>
    <t>3a piso</t>
  </si>
  <si>
    <t>13 Sararo</t>
  </si>
  <si>
    <t>Financ Imobiliario</t>
  </si>
  <si>
    <t>4a Pedras</t>
  </si>
  <si>
    <t>3a Móveis</t>
  </si>
  <si>
    <t>3a Vidraçaria</t>
  </si>
  <si>
    <t>BU I</t>
  </si>
  <si>
    <t>BU II</t>
  </si>
  <si>
    <t>Hitlon</t>
  </si>
  <si>
    <t>Sandra</t>
  </si>
  <si>
    <t>Empréstimo Hilton</t>
  </si>
  <si>
    <t>Pesos</t>
  </si>
  <si>
    <t>Reembolso Argentina</t>
  </si>
  <si>
    <t>4a piso</t>
  </si>
  <si>
    <t>4a Móveis</t>
  </si>
  <si>
    <t>4a Vidraçaria</t>
  </si>
  <si>
    <t>Nota Fiscal Paulistana</t>
  </si>
  <si>
    <t>Sararo + Bonus Viagem</t>
  </si>
  <si>
    <t>Dinheiro Investido</t>
  </si>
  <si>
    <t>Fluxo em Conta Corrente</t>
  </si>
  <si>
    <t>Sobra Investimento</t>
  </si>
  <si>
    <t>Sararo + Dissidio + BBBONUS</t>
  </si>
  <si>
    <t>5a piso</t>
  </si>
  <si>
    <t>5a Vidraçaria</t>
  </si>
  <si>
    <t>Luz Fev</t>
  </si>
  <si>
    <t>Fundo XP</t>
  </si>
  <si>
    <t>Conta</t>
  </si>
  <si>
    <t>Restante</t>
  </si>
  <si>
    <t>Juros Itau</t>
  </si>
  <si>
    <t>NF-P Luiz</t>
  </si>
  <si>
    <t>NF-P Cris</t>
  </si>
  <si>
    <t>Consulta Dr.a Gatinha</t>
  </si>
  <si>
    <t>Nubank</t>
  </si>
  <si>
    <t>Churrasco Rita</t>
  </si>
  <si>
    <t>Almoço Faz. Paraiso</t>
  </si>
  <si>
    <t>Trampo Cris</t>
  </si>
  <si>
    <t>TOT</t>
  </si>
  <si>
    <t>Farmácia</t>
  </si>
  <si>
    <t>Supermercado</t>
  </si>
  <si>
    <t>Moradia</t>
  </si>
  <si>
    <t>Educação</t>
  </si>
  <si>
    <t>Frívolo</t>
  </si>
  <si>
    <t>Necessário</t>
  </si>
  <si>
    <t>Lazer</t>
  </si>
  <si>
    <t>Essencial</t>
  </si>
  <si>
    <t>Alimentação</t>
  </si>
  <si>
    <t>Vale Zero</t>
  </si>
  <si>
    <t>CADILLAC BURGUER LANCH SAO PAULOBR </t>
  </si>
  <si>
    <t>SACOLAO MOOCA SAO PAULOBR </t>
  </si>
  <si>
    <t>DROGA RAIA F375 SAO PAULOBR </t>
  </si>
  <si>
    <t>COSMETIC &amp; COMPANY SAO PAULOBR </t>
  </si>
  <si>
    <t>INGRESSO RAPIDO BILHETE BARUERIBR </t>
  </si>
  <si>
    <t>POSTO PASSARINHO SAO PAULOBR </t>
  </si>
  <si>
    <t>UBER*UBER SAO PAULOBR </t>
  </si>
  <si>
    <t>Pizzaria Nayane</t>
  </si>
  <si>
    <t>SACOLAO MOOCA SAO PAULO BR</t>
  </si>
  <si>
    <t>UCI BRASIL LTDA SAO PAULO BR</t>
  </si>
  <si>
    <t>PIZZARIA DO ANGELO SAO PAULO BR</t>
  </si>
  <si>
    <t>X MOOCA HAMBURGUERIA SAO PAULO BR</t>
  </si>
  <si>
    <t>APOSTO CASSANDOCA SAO PAULO BR</t>
  </si>
  <si>
    <t> RAIA DROGASIL 520 SAO PAULO BR </t>
  </si>
  <si>
    <t> UBER*UBER SAO PAULO BR </t>
  </si>
  <si>
    <t> PIZZARIA NAYANE SAO PAULO BR </t>
  </si>
  <si>
    <t> LOJAS AMERICANAS 120 SAO PAULO BR </t>
  </si>
  <si>
    <t> DROGARIA IGUATEMI SAO PAULO BR </t>
  </si>
  <si>
    <t>Uber</t>
  </si>
  <si>
    <t>Side Walk</t>
  </si>
  <si>
    <t> SUSHI KATSUMI SAO PAULO BR </t>
  </si>
  <si>
    <t> OBA HORTIFRUTI SAO PAULO BR </t>
  </si>
  <si>
    <t> ST MARCHE MOOCA SAO PAULO BR </t>
  </si>
  <si>
    <t> HAAGEN-DAZS MORUMBI SAO PAULO BR </t>
  </si>
  <si>
    <t> STAR SCAR 70 SAO PAULO BR </t>
  </si>
  <si>
    <t> NETFLIX.COM SAO PAULO BR </t>
  </si>
  <si>
    <t> DROGA RAIA F144 SAO PAULO BR </t>
  </si>
  <si>
    <t>Afrin</t>
  </si>
  <si>
    <t>Headphone</t>
  </si>
  <si>
    <t>BCAA</t>
  </si>
  <si>
    <t> OUTBACK BZ 41 MOOCA SAO PAULO BR </t>
  </si>
  <si>
    <t> CIRANDA CULTURAL BARUERI BR </t>
  </si>
  <si>
    <t> TOYCOMPANY DIVERSOES L SAO PAULO BR </t>
  </si>
  <si>
    <t> AUTO POSTO ARINELLA BE SAO PAULO BR </t>
  </si>
  <si>
    <t> ZELO S PAULO BR </t>
  </si>
  <si>
    <t> TUBAINA SAO PAULO BR </t>
  </si>
  <si>
    <t> GENERAL PRIME BURGER SAO PAULO BR </t>
  </si>
  <si>
    <t> BAKED POTATO SAO PAULO BR </t>
  </si>
  <si>
    <t> ANGELO M GRILL LT ME SAO PAULO BR </t>
  </si>
  <si>
    <t> PAYPAL DO BRASIL SAO PAULO 01/03 </t>
  </si>
  <si>
    <t> DEEZER MUSIC BRASIL SAO PAULO BR </t>
  </si>
  <si>
    <t> COSTELARIA BERLIM SANTO ANDRE BR </t>
  </si>
  <si>
    <t> CASSANDOCA SAO PAULO BR </t>
  </si>
  <si>
    <t> APOSTO CASSANDOCA SAO PAULO BR </t>
  </si>
  <si>
    <t> GUIMAS GRILL SAO PAULO BR </t>
  </si>
  <si>
    <t> DROGASIL 160 SAO CAETANO DBR </t>
  </si>
  <si>
    <t> PASTICCERIA DICAMARGO SAO PAULO BR </t>
  </si>
  <si>
    <t> MC DONALDS SCS SAO CAETANO DBR </t>
  </si>
  <si>
    <t> MENSA SAO PAULO BR </t>
  </si>
  <si>
    <t> BITTI E BONIN LTDA SAO PAULO BR </t>
  </si>
  <si>
    <t> TAINA COM DE LATICINIO SAO PAULO BR </t>
  </si>
  <si>
    <t> SESC BELENZINHO SAO PAULO BR </t>
  </si>
  <si>
    <t> AUTORIZADA LORENZETTI SAO PAULO 05/06 </t>
  </si>
  <si>
    <t>zerézima</t>
  </si>
  <si>
    <t>Classificação</t>
  </si>
  <si>
    <t>Tipo de gasto</t>
  </si>
  <si>
    <t>O Quê?</t>
  </si>
  <si>
    <t>VISA</t>
  </si>
  <si>
    <t> ESTRELA SUSHI BAR LTDA SAO CAETANO DBR </t>
  </si>
  <si>
    <t> UBER*UBER SAO PAULOBR </t>
  </si>
  <si>
    <t> DROGARIA SAO PAULO 108 SAO PAULO BR </t>
  </si>
  <si>
    <t> AUTO POSTO ZENITH BELEM SAO PAULO BR </t>
  </si>
  <si>
    <t> YAMAUSHI FLORES C N SAO PAULO BR </t>
  </si>
  <si>
    <t> EXTRA MOOCA LJ 1364 SAO PAULO BR </t>
  </si>
  <si>
    <t> EMPORIO 167 SAO PAULO BR </t>
  </si>
  <si>
    <t> A GALETERIA ASSADOS SAO PAULO BR </t>
  </si>
  <si>
    <t> ARMARINHOS FERNANDO-V SAO PAULO BR </t>
  </si>
  <si>
    <t> PRINCESA DO TAQUARI SAO PAULO BR </t>
  </si>
  <si>
    <t> STARBUCKS STAR SAO PAULO BR </t>
  </si>
  <si>
    <t> BOLIZAN BAR E RESTAURAN SAO PAULO BR </t>
  </si>
  <si>
    <t> BOUTIQUE DOS ELETRONIC SAO PAULO BR </t>
  </si>
  <si>
    <t> GRACIOSA RESTAURANTE COTIA BR </t>
  </si>
  <si>
    <t> MAR E BRASA SAO PAULO BR </t>
  </si>
  <si>
    <t> PINK COM SAO PAULO 01/02 </t>
  </si>
  <si>
    <t>TITAK</t>
  </si>
  <si>
    <t> BOB S PAULISTA SAO PAULO BR </t>
  </si>
  <si>
    <t> RANDA ESP ARABES SAO PAULO BR </t>
  </si>
  <si>
    <t> XODO DA PAULISTA SAO PAULO BR </t>
  </si>
  <si>
    <t>Adega Vinhos</t>
  </si>
  <si>
    <t> SIDE WALK SAO PAULO 02/03 </t>
  </si>
  <si>
    <t>Meatbox</t>
  </si>
  <si>
    <t> PAYPAL DO BRASIL SAO PAULO 02/03 </t>
  </si>
  <si>
    <t>Nayanne</t>
  </si>
  <si>
    <t> AUTORIZADA LORENZETTI SAO PAULO 06/06 </t>
  </si>
  <si>
    <t> SACOLAO MOOCA SAO PAULO BR </t>
  </si>
  <si>
    <t> INST PEDIATRIA E PUERI SAO PAULO BR </t>
  </si>
  <si>
    <t> AUTO POSTO BELEZURA SAO PAULO BR </t>
  </si>
  <si>
    <t> TOURO BRANCO SAO PAULO BR </t>
  </si>
  <si>
    <t> PAES E DOCES JURITI SAO PAULO BR </t>
  </si>
  <si>
    <t> SESC PINHEIROS SAO PAULO BR </t>
  </si>
  <si>
    <t> RESTAURANTE PRAIANO O SAO BERNARDO BR </t>
  </si>
  <si>
    <t> LOJA SWIFT MOOCA SAO PAULO BR </t>
  </si>
  <si>
    <t> DROGA RAIA F375 SAO PAULO BR </t>
  </si>
  <si>
    <t>Oportunidades Extras</t>
  </si>
  <si>
    <t>Colunas3</t>
  </si>
  <si>
    <t>Móvel Tia Luzi</t>
  </si>
  <si>
    <t> HAKKA SUSHI MORUMBI SAO PAULO BR </t>
  </si>
  <si>
    <t>Investimentos</t>
  </si>
  <si>
    <t>Long Prazo</t>
  </si>
  <si>
    <t>IR = 27.5%</t>
  </si>
  <si>
    <t>Ações</t>
  </si>
  <si>
    <t>FDC</t>
  </si>
  <si>
    <t>Quantidade</t>
  </si>
  <si>
    <t>Overhead</t>
  </si>
  <si>
    <t>Recisão</t>
  </si>
  <si>
    <t>Inv Abr, Mai, Jun</t>
  </si>
  <si>
    <t>1/3 Férias</t>
  </si>
  <si>
    <t>dissidio jan retro</t>
  </si>
  <si>
    <t>META</t>
  </si>
  <si>
    <t>2º Semestre</t>
  </si>
  <si>
    <t>2x Diff de Nov</t>
  </si>
  <si>
    <t>ações</t>
  </si>
  <si>
    <t>Meses</t>
  </si>
  <si>
    <t>Diff Prestacao</t>
  </si>
  <si>
    <t>Calculera</t>
  </si>
  <si>
    <t>Sararo Atual</t>
  </si>
  <si>
    <t>Sararo Nov</t>
  </si>
  <si>
    <t>O que?</t>
  </si>
  <si>
    <t>Líquido</t>
  </si>
  <si>
    <t>FGTS Atual</t>
  </si>
  <si>
    <t>Fluxo</t>
  </si>
  <si>
    <t>D0</t>
  </si>
  <si>
    <t> REDD BURGER SAO PAULO BR </t>
  </si>
  <si>
    <t> CASSANDOCA PAES SAO PAULO BR </t>
  </si>
  <si>
    <t>Average</t>
  </si>
  <si>
    <t>Zara</t>
  </si>
  <si>
    <t>JUL EOM</t>
  </si>
  <si>
    <t>2a via de Cartão</t>
  </si>
  <si>
    <t>Nasc</t>
  </si>
  <si>
    <t>Hoje</t>
  </si>
  <si>
    <t>Leo</t>
  </si>
  <si>
    <t>Meses Benefício</t>
  </si>
  <si>
    <t>Anos Benefício</t>
  </si>
  <si>
    <t>Edificação 2015</t>
  </si>
  <si>
    <t>Edificação 2016</t>
  </si>
  <si>
    <t>Terreno 2016</t>
  </si>
  <si>
    <t>Dia</t>
  </si>
  <si>
    <t>Seu Nei</t>
  </si>
  <si>
    <t>Açougue</t>
  </si>
  <si>
    <t>Netflix</t>
  </si>
  <si>
    <t xml:space="preserve">Supermercado </t>
  </si>
  <si>
    <t>Studio Cut</t>
  </si>
  <si>
    <t>Bar e Lanches</t>
  </si>
  <si>
    <t>Pasta grill</t>
  </si>
  <si>
    <t>Reembolso Dra. Gatinha</t>
  </si>
  <si>
    <t>Simulação de Quitação</t>
  </si>
  <si>
    <t>Fazenda</t>
  </si>
  <si>
    <t>Lindt</t>
  </si>
  <si>
    <t>Previsão Cris</t>
  </si>
  <si>
    <t>Festa Junina Olívia</t>
  </si>
  <si>
    <t>Posto</t>
  </si>
  <si>
    <t>Carteirinhas</t>
  </si>
  <si>
    <t>Almoço</t>
  </si>
  <si>
    <t>x</t>
  </si>
  <si>
    <t>y</t>
  </si>
  <si>
    <t>COSMETIC &amp; COMPANY SAO PAULO BR </t>
  </si>
  <si>
    <t>Mondo Sommerso</t>
  </si>
  <si>
    <t>Terreno 2015</t>
  </si>
  <si>
    <t>edificação</t>
  </si>
  <si>
    <t>terreno</t>
  </si>
  <si>
    <t>Meses Dado</t>
  </si>
  <si>
    <t>Meses Luiz</t>
  </si>
  <si>
    <t>Valor Parcela Edificação</t>
  </si>
  <si>
    <t>Valor Parcela Terreno</t>
  </si>
  <si>
    <t>Meses Condominio</t>
  </si>
  <si>
    <t>Valores IPTU</t>
  </si>
  <si>
    <t>TOTAL Devido</t>
  </si>
  <si>
    <t>Café Suplicy</t>
  </si>
  <si>
    <t>Padaria</t>
  </si>
  <si>
    <t>Total Cartão de Crédito</t>
  </si>
  <si>
    <t>IPTU 2016 Devido</t>
  </si>
  <si>
    <t>Quando?</t>
  </si>
  <si>
    <t>Deezer</t>
  </si>
  <si>
    <t> PAYPAL DO BRASIL SAO PAULO 03/03 </t>
  </si>
  <si>
    <t> SIDE WALK SAO PAULO 03/03 </t>
  </si>
  <si>
    <t> PINK COM SAO PAULO 02/02 </t>
  </si>
  <si>
    <t>Reembolso Endócrino</t>
  </si>
  <si>
    <t> BRAVO BISTRO SAO PAULO BR </t>
  </si>
  <si>
    <t> O BOTICARIO 7285 SAO PAULO BR </t>
  </si>
  <si>
    <t> MARKHA BABY INDUSTRIA SAO PAULO BR </t>
  </si>
  <si>
    <t> COSMETIC COMPANY SAO PAULO BR </t>
  </si>
  <si>
    <t>ANGELO M GRILL LT ME SAO PAULO BR </t>
  </si>
  <si>
    <t>BOLIZAN BAR E RESTAURAN SAO PAULO BR </t>
  </si>
  <si>
    <t>DinDin</t>
  </si>
  <si>
    <t>Bebidas</t>
  </si>
  <si>
    <t>Convites Festa Junina Olívia</t>
  </si>
  <si>
    <t>Churrasco Beto</t>
  </si>
  <si>
    <t>Inv Dez EOM</t>
  </si>
  <si>
    <t> KINOPLEX VILA OLIMPIA SAO PAULO BR </t>
  </si>
  <si>
    <t> MATAMBRE SAO PAULO BR </t>
  </si>
  <si>
    <t> FNAC VL GERTRUDES SAO PAULO BR </t>
  </si>
  <si>
    <t> ACOUGUE MENCARINI SAO PAULO BR </t>
  </si>
  <si>
    <t> CADILLAC BURGUER SAO PAULO BR </t>
  </si>
  <si>
    <t>Rend</t>
  </si>
  <si>
    <t> SAPORE DI MARE SAO SEBAST01/03 </t>
  </si>
  <si>
    <t> BRAUMEISTER MKT PLACE SAO PAULO BR </t>
  </si>
  <si>
    <t>Ali</t>
  </si>
  <si>
    <t>Starbucks</t>
  </si>
  <si>
    <t>PIZZARIA NAYANE SAO PAULO BR</t>
  </si>
  <si>
    <t>Doc</t>
  </si>
  <si>
    <t>Tarifa DOC Itau</t>
  </si>
  <si>
    <t>Giba</t>
  </si>
  <si>
    <t>Doação Amigos do Bem</t>
  </si>
  <si>
    <t>AUTO POSTO ZENITH BELEM SAO PAULO BR </t>
  </si>
  <si>
    <t>Diferência Dissídio</t>
  </si>
  <si>
    <t>BBBônus</t>
  </si>
  <si>
    <t>Curso de Férias Olívia</t>
  </si>
  <si>
    <t>Oportunidades Extra</t>
  </si>
  <si>
    <t>MERCADOPAGO SANTANA DE01/02 </t>
  </si>
  <si>
    <t>Yarinha</t>
  </si>
  <si>
    <t>Laudêmio SV</t>
  </si>
  <si>
    <t> PIZZARIA E ESFIHARIA D SAO PAULO BR </t>
  </si>
  <si>
    <t>McDonalds</t>
  </si>
  <si>
    <t> LOBECA CABELEIREIROS SAO PAULOBR </t>
  </si>
  <si>
    <t> LAR DA REDENCAO SAO PAULOBR </t>
  </si>
  <si>
    <t> ELETROVIP VIVO SAO PAULOBR </t>
  </si>
  <si>
    <t> HOCCA BAR SAO PAULOBR </t>
  </si>
  <si>
    <t> SESC BELENZINHO SAO PAULOBR </t>
  </si>
  <si>
    <t> SACOLAO MOOCA SAO PAULOBR </t>
  </si>
  <si>
    <t> GUIMARAES CARNES SAO PAULOBR </t>
  </si>
  <si>
    <t>Cálculo BU</t>
  </si>
  <si>
    <t>Corridas / dia</t>
  </si>
  <si>
    <t>Dias</t>
  </si>
  <si>
    <t>Luz Jul</t>
  </si>
  <si>
    <t>Tesouro IPCA+ 2019 (NTNB Princ)</t>
  </si>
  <si>
    <t>Tesouro Prefixado 2019 (LTN)</t>
  </si>
  <si>
    <t>Tesouro Prefixado 2023 (LTN)</t>
  </si>
  <si>
    <t>Título</t>
  </si>
  <si>
    <t>Taxa</t>
  </si>
  <si>
    <t>Total (R$):</t>
  </si>
  <si>
    <t>#</t>
  </si>
  <si>
    <t>Total Férias</t>
  </si>
  <si>
    <t>%</t>
  </si>
  <si>
    <t>$$$$</t>
  </si>
  <si>
    <t xml:space="preserve">compra </t>
  </si>
  <si>
    <t>Vcto.</t>
  </si>
  <si>
    <t>Sarariais</t>
  </si>
  <si>
    <t>AUG BOM</t>
  </si>
  <si>
    <t> BURGER KING SHOPP CID SAO PAULO BR </t>
  </si>
  <si>
    <t> FENIX-SHOP.TATUAPE SAO PAULO BR </t>
  </si>
  <si>
    <t> COMERCIO DE CARNES GUIMARSAO PAULO BR </t>
  </si>
  <si>
    <t> C&amp;A-SHOP.TATUAPE SAO PAULO 01/02 </t>
  </si>
  <si>
    <t> CASA PILAO SAO PAULO BR </t>
  </si>
  <si>
    <t> L ENTRECOTE MKT PLACE SAO PAULO BR </t>
  </si>
  <si>
    <t> MC DONALDS SCM SAO PAULO BR </t>
  </si>
  <si>
    <t>Extra 01/03</t>
  </si>
  <si>
    <t>Revisão Carro</t>
  </si>
  <si>
    <t>Pousada Varandas da Mantiqueira</t>
  </si>
  <si>
    <t>Dez EOM</t>
  </si>
  <si>
    <t>Diferença</t>
  </si>
  <si>
    <t>Café Brasil</t>
  </si>
  <si>
    <t> ABBRACCIO MARKET PLACE SAO PAULO BR </t>
  </si>
  <si>
    <t>Microsoft</t>
  </si>
  <si>
    <t>Resgate 1</t>
  </si>
  <si>
    <t>Doc Itaú</t>
  </si>
  <si>
    <t>Cartório</t>
  </si>
  <si>
    <t> LOJA VIGOR SAO PAULO BR </t>
  </si>
  <si>
    <t> STMARCHE SAO PAULO BR </t>
  </si>
  <si>
    <t>Peixe Urbano</t>
  </si>
  <si>
    <t>Fraldas Aninha</t>
  </si>
  <si>
    <t>DROGARIA SAO PAULO SA SAO PAULO 01/02</t>
  </si>
  <si>
    <t>Rosângela</t>
  </si>
  <si>
    <t>Banca de Jornal</t>
  </si>
  <si>
    <t> DROGARIA SAO PAULO 411 SAO PAULO BR </t>
  </si>
  <si>
    <t> ORIENTAL FOODS SAO PAULO BR </t>
  </si>
  <si>
    <t> HAIKAI PRESENTES SAO PAULO BR </t>
  </si>
  <si>
    <t> IKESAKI TEF SAO PAULO BR </t>
  </si>
  <si>
    <t> COMERCIAL MARUKAI SAO PAULO BR </t>
  </si>
  <si>
    <t> POSTO NOVA MOOCA SAO PAULO BR </t>
  </si>
  <si>
    <t>Resga II</t>
  </si>
  <si>
    <t>Fabi</t>
  </si>
  <si>
    <t>Hilton Pizza</t>
  </si>
  <si>
    <t> JOGE 6 SAO PAULO BR </t>
  </si>
  <si>
    <t> POSTO MORADA DO SOL ARARAQUARA BR </t>
  </si>
  <si>
    <t> FRANGO ASSADO ITUPEVA BR </t>
  </si>
  <si>
    <t> DAT BADAN OLIMPIA BR </t>
  </si>
  <si>
    <t> CANTINHO DA BAIANA OLIMPIA BR </t>
  </si>
  <si>
    <t> CREPE MANIA OLIMPIA BR </t>
  </si>
  <si>
    <t> LANCHONETE OASIS OLIMPIA BR </t>
  </si>
  <si>
    <t> POSTO BRASILIA SAO JOSE DO RBR </t>
  </si>
  <si>
    <t> POUSADA RECANTO SOLAR OLIMPIA BR </t>
  </si>
  <si>
    <t> RONDON SUPERMERCADOS ARACATUBA BR </t>
  </si>
  <si>
    <t> J P T DE QUEIROZ PADAR ARACATUBA BR </t>
  </si>
  <si>
    <t> BOI GORDO CARNES ARACATUBA BR </t>
  </si>
  <si>
    <t> SUPERMERCADO ALMIRANTE ARACATUBA BR </t>
  </si>
  <si>
    <t> CASTELINHO DA PAMONHA SANTANA DE PABR </t>
  </si>
  <si>
    <t> CARRERO AUTO POSTO APARECIDA DE BR </t>
  </si>
  <si>
    <t> A T GARCIA COMBUSTIVEI PENAPOLIS BR </t>
  </si>
  <si>
    <t> CHURRASCO CARRERO SAO MANUEL BR </t>
  </si>
  <si>
    <t> SANDRA REGINA SAO PAULOBR </t>
  </si>
  <si>
    <t> ST MARCHE MOOCA SAO PAULOBR </t>
  </si>
  <si>
    <t> C&amp;A-SHOP.TATUAPE SAO PAULO 02/02 </t>
  </si>
  <si>
    <t> THE PITCHERS SAO PAULO BR </t>
  </si>
  <si>
    <t> PEIXE URBANO RIO DE JANEIRBR </t>
  </si>
  <si>
    <t> EC*ALIPAY Santana de PaBR </t>
  </si>
  <si>
    <t> BOUTIQUE MORUMBI SAO PAULO BR </t>
  </si>
  <si>
    <t> PBKIDS-ANALIA FRANCO SAO PAULO BR </t>
  </si>
  <si>
    <t> OUTBACK BZ 05 ANALIA F SAO PAULO BR </t>
  </si>
  <si>
    <t> MERCADOCAR SAO PAULO 01/03 </t>
  </si>
  <si>
    <t> AUTO POSTO DUQUE REBOU SAO PAULO BR </t>
  </si>
  <si>
    <t> B MUSIC SAO PAULO BR </t>
  </si>
  <si>
    <t> SAPORE DI MARE SAO SEBAST03/03 </t>
  </si>
  <si>
    <t>total Fundo</t>
  </si>
  <si>
    <t>Transferência Ingressos Jr.</t>
  </si>
  <si>
    <t> VITO Sao Paulo BR </t>
  </si>
  <si>
    <t>Ativo</t>
  </si>
  <si>
    <t>Rumo3</t>
  </si>
  <si>
    <t>Qtde.</t>
  </si>
  <si>
    <t>Preço</t>
  </si>
  <si>
    <t>Lucro</t>
  </si>
  <si>
    <t>Ted Cambio</t>
  </si>
  <si>
    <t>Corretagem</t>
  </si>
  <si>
    <t>Preço Atual</t>
  </si>
  <si>
    <t>Skype</t>
  </si>
  <si>
    <t> COMIC BOOM SAO PAULO BR </t>
  </si>
  <si>
    <t> FOGAO DO CAMPO ITATIBA BR </t>
  </si>
  <si>
    <t> CENTRO AUTOMOTIVO PASS SAO PAULO BR </t>
  </si>
  <si>
    <t>Provisão Férias</t>
  </si>
  <si>
    <t>Ações FD</t>
  </si>
  <si>
    <t>Ações Brasil</t>
  </si>
  <si>
    <t> BONA CARNES SAO PAULO BR </t>
  </si>
  <si>
    <t> LATIC CAMANDUCAIA SAO PAULO BR </t>
  </si>
  <si>
    <t>Salve Jorge</t>
  </si>
  <si>
    <t>SUZB5</t>
  </si>
  <si>
    <t>CMIG4</t>
  </si>
  <si>
    <t>GGBR4</t>
  </si>
  <si>
    <t>Ações (venda)</t>
  </si>
  <si>
    <t>ETER3</t>
  </si>
  <si>
    <t>RUMO3</t>
  </si>
  <si>
    <t>TOTAL Trades</t>
  </si>
  <si>
    <t>Saque 05/ago</t>
  </si>
  <si>
    <t>Monte Libano</t>
  </si>
  <si>
    <t> GIBAS BAR SAO PAULO BR </t>
  </si>
  <si>
    <t> PRACA SAO LOURENCO SAO PAULO BR </t>
  </si>
  <si>
    <t>Aposto Cassandoca</t>
  </si>
  <si>
    <t>Center Mooca</t>
  </si>
  <si>
    <t>Blenz Café</t>
  </si>
  <si>
    <t>Santa Helena Pres</t>
  </si>
  <si>
    <t>Toninho Freitas</t>
  </si>
  <si>
    <t> CASA DA ARTE SAO PAULO BR </t>
  </si>
  <si>
    <t> SUPER GRILL SAO PAULO BR </t>
  </si>
  <si>
    <t>ITSA4</t>
  </si>
  <si>
    <t>MRFG3</t>
  </si>
  <si>
    <t>Negócios Fechados</t>
  </si>
  <si>
    <t>Negócios Abertos</t>
  </si>
  <si>
    <t>Barba e Cabelo</t>
  </si>
  <si>
    <t>Saque Viagem</t>
  </si>
  <si>
    <t> DROGA RAIA F124 SAO PAULO BR </t>
  </si>
  <si>
    <t> CENTER MOOCA SAO PAULO BR </t>
  </si>
  <si>
    <t> ICON RESTAURANTE SAO PAULO BR </t>
  </si>
  <si>
    <t>Big Boss Hair</t>
  </si>
  <si>
    <t> SANCHO PANZA SAO PAULO BR </t>
  </si>
  <si>
    <t> POSTO PADRE ADELINO SAO PAULO BR </t>
  </si>
  <si>
    <t> NEO ARMAZEN SAO JOSE DOS BR </t>
  </si>
  <si>
    <t> REST MIRANTE PARAIBA GUARAREMA BR </t>
  </si>
  <si>
    <t> JOAO DE BARRO SAO FRANCISCOBR </t>
  </si>
  <si>
    <t> VILLA K2 EMPORIO E RES SAO FRANCISCOBR </t>
  </si>
  <si>
    <t> DROGARIA SAO PAULO SA SAO PAULO 02/02 </t>
  </si>
  <si>
    <t> MercPago-Beard SANTANA DE PABR </t>
  </si>
  <si>
    <t> LEROY MERLIN CENTER NO SAO PAULO 01/02 </t>
  </si>
  <si>
    <t>Planeta Café</t>
  </si>
  <si>
    <t> BEER SOMMELIER Sao Paulo BR </t>
  </si>
  <si>
    <t> PRATA SERVICOS AUTOMOT SAO VICENTE BR </t>
  </si>
  <si>
    <t>VALE5</t>
  </si>
  <si>
    <t> NR2 CARNES LTDA ME SAO PAULOBR </t>
  </si>
  <si>
    <t> NAHOE ITAPURA SAO PAULOBR </t>
  </si>
  <si>
    <t> EXTRA FACIL 2029 SAO PAULOBR </t>
  </si>
  <si>
    <t> X MOOCA HAMBURGUERIA SAO PAULOBR </t>
  </si>
  <si>
    <t>Notas de Corretagem</t>
  </si>
  <si>
    <t>Compra / Venda</t>
  </si>
  <si>
    <t>Ação</t>
  </si>
  <si>
    <t>Trade #</t>
  </si>
  <si>
    <t>Qtde</t>
  </si>
  <si>
    <t>Valor por Trade</t>
  </si>
  <si>
    <t>Total Corretagem</t>
  </si>
  <si>
    <t>C</t>
  </si>
  <si>
    <t>V</t>
  </si>
  <si>
    <t>DASHBOARD</t>
  </si>
  <si>
    <t xml:space="preserve">ITSA4 </t>
  </si>
  <si>
    <t>MFRG3</t>
  </si>
  <si>
    <t>suzb5</t>
  </si>
  <si>
    <t>Considera Data</t>
  </si>
  <si>
    <t>Luz Sep</t>
  </si>
  <si>
    <t>Extra 03/03</t>
  </si>
  <si>
    <t>Extra 02/03</t>
  </si>
  <si>
    <t>Salão de Festas</t>
  </si>
  <si>
    <t>Andiamo</t>
  </si>
  <si>
    <t>Prego (Sapato)</t>
  </si>
  <si>
    <t>Vestido Olivia</t>
  </si>
  <si>
    <t>Bicho Gato</t>
  </si>
  <si>
    <t>St Marche</t>
  </si>
  <si>
    <t>Padaria Cassandoca</t>
  </si>
  <si>
    <t> MERCADOCAR SAO PAULO 02/03 </t>
  </si>
  <si>
    <t> SHINAI SAO PAULO BR </t>
  </si>
  <si>
    <t> PASTIFICIO CARASI SAO PAULO BR </t>
  </si>
  <si>
    <t> HAVAIANAS SAO PAULO BR </t>
  </si>
  <si>
    <t> AZAMI SUSHI SAO PAULO BR </t>
  </si>
  <si>
    <t>Terraço dos Pães</t>
  </si>
  <si>
    <t>Amazon</t>
  </si>
  <si>
    <t>pmi</t>
  </si>
  <si>
    <t xml:space="preserve">MONDO SOMMERSO SAO PAULO BR </t>
  </si>
  <si>
    <t>Nesspresso</t>
  </si>
  <si>
    <t>Opções (Venda)</t>
  </si>
  <si>
    <t>GGBRI10 (Strike 10,23)</t>
  </si>
  <si>
    <t>GGBRI10</t>
  </si>
  <si>
    <t>Estoque Margem</t>
  </si>
  <si>
    <t>Resgate III</t>
  </si>
  <si>
    <t> LOJAS RENNER FL 43 SAO PAULO 01/02 </t>
  </si>
  <si>
    <t> PAYPAL*CASARCOM SAO PAULO BR </t>
  </si>
  <si>
    <t>Mocaires</t>
  </si>
  <si>
    <t>Chopp Samba</t>
  </si>
  <si>
    <t>Pizza Hut</t>
  </si>
  <si>
    <t>Sacolão</t>
  </si>
  <si>
    <t>St. Marche</t>
  </si>
  <si>
    <t>Monte Líbano</t>
  </si>
  <si>
    <t>GOAU4</t>
  </si>
  <si>
    <t>SAO CRISTOVAO BAR REST SAO PAULO BR </t>
  </si>
  <si>
    <t>Raful</t>
  </si>
  <si>
    <t>Matrícula 2017 Olívia e Leo</t>
  </si>
  <si>
    <t>Uber Yara</t>
  </si>
  <si>
    <t> BARATEIRO LJ 1706 SAO PAULO BR </t>
  </si>
  <si>
    <t> VIVENDA DOS PAES SAO PAULO BR </t>
  </si>
  <si>
    <t xml:space="preserve">SEU ABREU LANCHONETE SAO PAULO BR </t>
  </si>
  <si>
    <t> ANGELO RESTAURANTE SAO PAULO BR </t>
  </si>
  <si>
    <t> A TAL DA PIZZA SAO PAULO BR </t>
  </si>
  <si>
    <t> RESTAURANTE M CAIRES SAO PAULO BR </t>
  </si>
  <si>
    <t> RASCAL PIZZA E COZINHA SAO PAULO BR </t>
  </si>
  <si>
    <t> MILLO RESTAURANTE SAO PAULO BR </t>
  </si>
  <si>
    <t> CAL SP PINHEIROS 1 SAO PAULO BR </t>
  </si>
  <si>
    <t> PIZZARIA CEZANNE SAO PAULO BR </t>
  </si>
  <si>
    <t> FERNANDA ANDREATTA ME SAO PAULO BR </t>
  </si>
  <si>
    <t xml:space="preserve">SUCO BAGACO SAO PAULOBR </t>
  </si>
  <si>
    <t> MERCADOCAR SAO PAULO 03/03 </t>
  </si>
  <si>
    <t> LOJAS RENNER FL 43 SAO PAULO 02/02 </t>
  </si>
  <si>
    <t>Curso ACP (02/04)</t>
  </si>
  <si>
    <t>Dança Olívia</t>
  </si>
  <si>
    <t>Créditos</t>
  </si>
  <si>
    <t> SEU ABREU LANCHONETE SAO PAULO BR </t>
  </si>
  <si>
    <t> CIRCUS HAIR SAO PAULO BR </t>
  </si>
  <si>
    <t> APPLEBEES MORUMBI SAO PAULO BR </t>
  </si>
  <si>
    <t> BADAUE BAR SAO SEBASTIAOBR </t>
  </si>
  <si>
    <t> GRILL HALL GOURMET SAO PAULO BR </t>
  </si>
  <si>
    <t> A.M.O. ANDRADE ME SAO SEBASTIAOBR </t>
  </si>
  <si>
    <t> ESTACAO DA PAMONHA MOGI DAS CRUZBR </t>
  </si>
  <si>
    <t>GGBRI10 (Strike 9,97)</t>
  </si>
  <si>
    <t>Tarifa Itau</t>
  </si>
  <si>
    <t>Teatro</t>
  </si>
  <si>
    <t> SUCO BAGACO SAO PAULO BR </t>
  </si>
  <si>
    <t> Z DELI SANDUICHES SAO PAULO BR </t>
  </si>
  <si>
    <t> DIDIO PIZZA SAO PAULO BR </t>
  </si>
  <si>
    <t> CEA SCN 160 SAO PAULO BR </t>
  </si>
  <si>
    <t> CACHOEIRA TROPICAL SAO PAULO BR </t>
  </si>
  <si>
    <t>Saque</t>
  </si>
  <si>
    <t>IR = 15%</t>
  </si>
  <si>
    <t>Opções (Compra)</t>
  </si>
  <si>
    <t>GGBRK10 (Strike 9,97)</t>
  </si>
  <si>
    <t>GGBRJ10</t>
  </si>
  <si>
    <t>GGBRK10</t>
  </si>
  <si>
    <t>Basilicata</t>
  </si>
  <si>
    <t> STAR 072 MARKENT PLACE SAO PAULO BR </t>
  </si>
  <si>
    <t> HERING MORUMBI SAO PAULO BR </t>
  </si>
  <si>
    <t> VILA DON PATTO SAO ROQUE BR </t>
  </si>
  <si>
    <t> SITE INGRESSORAPIDO.CO SAO PAULO BR </t>
  </si>
  <si>
    <t> BURGER KING SHOPPING I MARILIA BR </t>
  </si>
  <si>
    <t> PANCHO VILLA M FOOD SAO PAULO BR </t>
  </si>
  <si>
    <t> SNACK OFFICE SAO PAULO BR </t>
  </si>
  <si>
    <t>Resgate i</t>
  </si>
  <si>
    <t>ECOR3</t>
  </si>
  <si>
    <t>Ações (compra)</t>
  </si>
  <si>
    <t>Transferwise</t>
  </si>
  <si>
    <t> CHAN BURGER SAO PAULO BR </t>
  </si>
  <si>
    <t> JOEY STEAK HOUSE BAR S PAULO BR </t>
  </si>
  <si>
    <t> A PASTELLA SAO PAULO BR </t>
  </si>
  <si>
    <t> SEU ABREU LANCHONETE E SAO PAULO BR </t>
  </si>
  <si>
    <t>Cris em 28/11</t>
  </si>
  <si>
    <t>Almoço Shopping</t>
  </si>
  <si>
    <t>Vivenda dos Pães</t>
  </si>
  <si>
    <t> VIENA DELICATESSEN SAO PAULO BR </t>
  </si>
  <si>
    <t> MILLO SAO PAULO BR </t>
  </si>
  <si>
    <t> POSTO 13 CRUZ MALTA SAO PAULO BR </t>
  </si>
  <si>
    <t> RESTAURANTE PUB KEI SAO PAULO BR </t>
  </si>
  <si>
    <t> LOJA REAL PRESENTES SAO PAULO BR </t>
  </si>
  <si>
    <t> HERING KIDS SAO PAULO 01/02 </t>
  </si>
  <si>
    <t>Zona Azul</t>
  </si>
  <si>
    <t> REDE XARANGA Sao Paulo BR </t>
  </si>
  <si>
    <t> BARCELONA PANIFICADORA SAO PAULO BR </t>
  </si>
  <si>
    <t> BANCA PACAEMBU SAO PAULO BR </t>
  </si>
  <si>
    <t> GIBA S BAR SAO PAULO BR </t>
  </si>
  <si>
    <t> ST. JOHN S IRISH PUB SAO PAULO BR </t>
  </si>
  <si>
    <t> HAKKA SUSHI SAO PAULO BR </t>
  </si>
  <si>
    <t>Capinha Celular</t>
  </si>
  <si>
    <t> DENY CONCEPT NORTE SAO PAULO 02/02 </t>
  </si>
  <si>
    <t>Por Ação</t>
  </si>
  <si>
    <t>Dividendos</t>
  </si>
  <si>
    <t> LANCHONETE VINEX SAO PAULO BR </t>
  </si>
  <si>
    <t> CINEMARK SAO PAULO BR </t>
  </si>
  <si>
    <t> CUPIM CASQUEIRADO SAO PAULO BR </t>
  </si>
  <si>
    <t> LA PERGOLETTA SAO PAULO BR </t>
  </si>
  <si>
    <t> MOOCA RESTAURANTE E HA SAO PAULO BR </t>
  </si>
  <si>
    <t> JCC FAST FOOD LTDA SAO PAULOBR </t>
  </si>
  <si>
    <t> KISUSHI RESTAURANTE LT SAO PAULOBR </t>
  </si>
  <si>
    <t>Cris I</t>
  </si>
  <si>
    <t>Cris II</t>
  </si>
  <si>
    <t>Fotógrafo</t>
  </si>
  <si>
    <t>Churrasco ECC</t>
  </si>
  <si>
    <t>Livro Olívia</t>
  </si>
  <si>
    <t>Extras Festa</t>
  </si>
  <si>
    <t>Curso ACP (03/04)</t>
  </si>
  <si>
    <t> DI CUNTO MOOCA SAO PAULO BR </t>
  </si>
  <si>
    <t> M PROD PRODUCOES FOTO SAO PAULO BR </t>
  </si>
  <si>
    <t> SESC SANTO AMARO SAO PAULO BR </t>
  </si>
  <si>
    <t> DIAPOR CENTO 916 SAO PAULO BR </t>
  </si>
  <si>
    <t> PAGSEGUROUOL*LegionBee SAOPAULO BR </t>
  </si>
  <si>
    <t> LOS OGROS SAO PAULO BR </t>
  </si>
  <si>
    <t> LP JR COMERCIO DE ALIM SAO PAULO BR </t>
  </si>
  <si>
    <t> IMAGEM HOMEM SAO PAULO BR </t>
  </si>
  <si>
    <t> PANIFICADORA BELGA SAO PAULO BR </t>
  </si>
  <si>
    <t> CASA DOS CEREAIS SAO PAULO BR </t>
  </si>
  <si>
    <t>IPVA 2016</t>
  </si>
  <si>
    <t>DPVAT</t>
  </si>
  <si>
    <t>Licenciamento</t>
  </si>
  <si>
    <t>Envio</t>
  </si>
  <si>
    <t> SANDRA REGINA SAO PAULO BR </t>
  </si>
  <si>
    <t> VELOSO BAR SAO PAULO BR </t>
  </si>
  <si>
    <t> DIA BRASIL LJ 9786 SAO PAULO BR </t>
  </si>
  <si>
    <t> BOOGIE DISCO CONCEPT Sao Paulo BR </t>
  </si>
  <si>
    <t>Cris Trasnf (Uniformes e Decor)</t>
  </si>
  <si>
    <t>Convites Festa Olivia</t>
  </si>
  <si>
    <t>Divida Tia Sonia</t>
  </si>
  <si>
    <t>Divida Hilton</t>
  </si>
  <si>
    <t>VIVENDA DOS PAES SAO PAULO BR </t>
  </si>
  <si>
    <t>ECPOR3</t>
  </si>
  <si>
    <t> CASA DO PAO QUEIJO SAO PAULO BR </t>
  </si>
  <si>
    <t> DELICIAS DA MALU SAO PAULO BR </t>
  </si>
  <si>
    <t>Hering Kids 02/02</t>
  </si>
  <si>
    <t>TIMP3</t>
  </si>
  <si>
    <t> BOIZAO PRIME SAO PAULO BR </t>
  </si>
  <si>
    <t> HIROTA SUPER MERCADOS SAO PAULO BR </t>
  </si>
  <si>
    <t>Regate IV</t>
  </si>
  <si>
    <t>Fast Shop (1/3)</t>
  </si>
  <si>
    <t>Serviço Adicional Leo</t>
  </si>
  <si>
    <t> LEPOK INFORMATICA E PAP SAO PAULO BR </t>
  </si>
  <si>
    <t> BOISAO ACLIMACAO SAO PAULO BR </t>
  </si>
  <si>
    <t> MERCADOCAR SAO PAULO 01/02 </t>
  </si>
  <si>
    <t> DROGASIL 026 SAO PAULO BR </t>
  </si>
  <si>
    <t> DECATHLON SAO PAULO BR </t>
  </si>
  <si>
    <t> PADOCA DI NAPOLI SAO PAULO BR </t>
  </si>
  <si>
    <t>Faixa IPVA</t>
  </si>
  <si>
    <t>BBBonus</t>
  </si>
  <si>
    <t>Outras a Confir.</t>
  </si>
  <si>
    <t>Tx. Embarque</t>
  </si>
  <si>
    <t>Mijas Tx de Embarque</t>
  </si>
  <si>
    <t>Fast Shop (2/3)</t>
  </si>
  <si>
    <t>Curso ACP (04/04)</t>
  </si>
  <si>
    <t> AMERICAN AIRLINES PARCSAO PAULO BR </t>
  </si>
  <si>
    <t> LOJAS RENNER FL 43 SAO PAULO BR </t>
  </si>
  <si>
    <t> HERING MORUMBI SAO PAULO 01/02 </t>
  </si>
  <si>
    <t> JIG S MORUMBI SAO PAULO BR </t>
  </si>
  <si>
    <t> CAFE BELA VISTA SAO PAULO BR </t>
  </si>
  <si>
    <t> NOVA JAGUARIBE SAO PAULO BR </t>
  </si>
  <si>
    <t> HIDROIKOS SAO PAULO BR </t>
  </si>
  <si>
    <t> BAR E LANCHES SAO PAULO BR </t>
  </si>
  <si>
    <t> SUSHI DAMOKA COMERCIO SAO PAULO BR </t>
  </si>
  <si>
    <t> CENTRO AUTO PASSARINHO Sao Paulo BR </t>
  </si>
  <si>
    <t> LIVRARIA CULTURA SAO PAULO BR </t>
  </si>
  <si>
    <t> KOPENHAGEN SAO PAULO BR </t>
  </si>
  <si>
    <t> SD COM DE MAT ELETR SAO PAULO BR </t>
  </si>
  <si>
    <t> SERGON SAO PAULO BR </t>
  </si>
  <si>
    <t> OCA DO PEIXE SAO PAULO BR </t>
  </si>
  <si>
    <t>Sesc</t>
  </si>
</sst>
</file>

<file path=xl/styles.xml><?xml version="1.0" encoding="utf-8"?>
<styleSheet xmlns="http://schemas.openxmlformats.org/spreadsheetml/2006/main">
  <numFmts count="27">
    <numFmt numFmtId="7" formatCode="&quot;R$&quot;\ #,##0.00;\-&quot;R$&quot;\ #,##0.00"/>
    <numFmt numFmtId="8" formatCode="&quot;R$&quot;\ #,##0.00;[Red]\-&quot;R$&quot;\ #,##0.00"/>
    <numFmt numFmtId="44" formatCode="_-&quot;R$&quot;\ * #,##0.00_-;\-&quot;R$&quot;\ * #,##0.00_-;_-&quot;R$&quot;\ * &quot;-&quot;??_-;_-@_-"/>
    <numFmt numFmtId="43" formatCode="_-* #,##0.00_-;\-* #,##0.00_-;_-* &quot;-&quot;??_-;_-@_-"/>
    <numFmt numFmtId="164" formatCode="_(&quot;R$ &quot;* #,##0.00_);_(&quot;R$ &quot;* \(#,##0.00\);_(&quot;R$ &quot;* \-??_);_(@_)"/>
    <numFmt numFmtId="165" formatCode="m/d/yy"/>
    <numFmt numFmtId="166" formatCode="d&quot; de &quot;mmm&quot; de &quot;yy"/>
    <numFmt numFmtId="167" formatCode="&quot;R$ &quot;#,##0.00_);[Red]&quot;(R$ &quot;#,##0.00\)"/>
    <numFmt numFmtId="168" formatCode="&quot;R$ &quot;#,##0_);[Red]&quot;(R$ &quot;#,##0\)"/>
    <numFmt numFmtId="169" formatCode="d\-mmm;@"/>
    <numFmt numFmtId="170" formatCode="_(&quot;R$ &quot;* #,##0.0_);_(&quot;R$ &quot;* \(#,##0.0\);_(&quot;R$ &quot;* \-??_);_(@_)"/>
    <numFmt numFmtId="171" formatCode="&quot;R$ &quot;#,##0.00_);&quot;(R$ &quot;#,##0.00\)"/>
    <numFmt numFmtId="172" formatCode="&quot;R$ &quot;#,##0.00"/>
    <numFmt numFmtId="173" formatCode="_-[$$-1009]* #,##0.00_-;\-[$$-1009]* #,##0.00_-;_-[$$-1009]* \-??_-;_-@_-"/>
    <numFmt numFmtId="174" formatCode="_-* #,##0.00_-;\-* #,##0.00_-;_-* \-??_-;_-@_-"/>
    <numFmt numFmtId="175" formatCode="0.0%"/>
    <numFmt numFmtId="176" formatCode="0.0000000"/>
    <numFmt numFmtId="177" formatCode="&quot;R$&quot;#,##0.00"/>
    <numFmt numFmtId="178" formatCode="&quot;R$&quot;\ #,##0.00"/>
    <numFmt numFmtId="179" formatCode="_-[$$-409]* #,##0.00_ ;_-[$$-409]* \-#,##0.00\ ;_-[$$-409]* &quot;-&quot;??_ ;_-@_ "/>
    <numFmt numFmtId="180" formatCode="_-[$$-409]* #,##0.00000000_ ;_-[$$-409]* \-#,##0.00000000\ ;_-[$$-409]* &quot;-&quot;??_ ;_-@_ "/>
    <numFmt numFmtId="181" formatCode="_-[$$-409]* #,##0.000000000_ ;_-[$$-409]* \-#,##0.000000000\ ;_-[$$-409]* &quot;-&quot;??_ ;_-@_ "/>
    <numFmt numFmtId="182" formatCode="_-* #,##0_-;\-* #,##0_-;_-* &quot;-&quot;??_-;_-@_-"/>
    <numFmt numFmtId="183" formatCode="[$-416]d\-mmm\-yy;@"/>
    <numFmt numFmtId="184" formatCode="[$-416]d\ \ mmmm\,\ yyyy;@"/>
    <numFmt numFmtId="185" formatCode="_-&quot;R$&quot;\ * #,##0.00000000000000_-;\-&quot;R$&quot;\ * #,##0.00000000000000_-;_-&quot;R$&quot;\ * &quot;-&quot;??_-;_-@_-"/>
    <numFmt numFmtId="186" formatCode="_-&quot;R$&quot;\ * #,##0.00000000000000_-;\-&quot;R$&quot;\ * #,##0.00000000000000_-;_-&quot;R$&quot;\ * &quot;-&quot;??????????????_-;_-@_-"/>
  </numFmts>
  <fonts count="16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Arial"/>
      <family val="2"/>
    </font>
    <font>
      <b/>
      <sz val="12"/>
      <name val="Arial"/>
      <family val="2"/>
    </font>
    <font>
      <b/>
      <sz val="11"/>
      <color indexed="12"/>
      <name val="Arial"/>
      <family val="2"/>
    </font>
    <font>
      <b/>
      <sz val="11"/>
      <color indexed="10"/>
      <name val="Arial"/>
      <family val="2"/>
    </font>
    <font>
      <b/>
      <sz val="10"/>
      <name val="Arial"/>
      <family val="2"/>
    </font>
    <font>
      <sz val="10"/>
      <color indexed="12"/>
      <name val="Arial"/>
      <family val="2"/>
    </font>
    <font>
      <sz val="10"/>
      <color indexed="10"/>
      <name val="Arial"/>
      <family val="2"/>
    </font>
    <font>
      <b/>
      <sz val="12"/>
      <color indexed="9"/>
      <name val="Arial"/>
      <family val="2"/>
    </font>
    <font>
      <b/>
      <sz val="12"/>
      <color indexed="12"/>
      <name val="Arial"/>
      <family val="2"/>
    </font>
    <font>
      <sz val="10"/>
      <color indexed="18"/>
      <name val="Arial"/>
      <family val="2"/>
    </font>
    <font>
      <sz val="10"/>
      <color indexed="62"/>
      <name val="Arial"/>
      <family val="2"/>
    </font>
    <font>
      <b/>
      <sz val="10"/>
      <color indexed="9"/>
      <name val="Arial"/>
      <family val="2"/>
    </font>
    <font>
      <b/>
      <sz val="14"/>
      <color indexed="9"/>
      <name val="Arial"/>
      <family val="2"/>
    </font>
    <font>
      <b/>
      <sz val="10"/>
      <color indexed="18"/>
      <name val="Arial"/>
      <family val="2"/>
    </font>
    <font>
      <b/>
      <sz val="10"/>
      <color indexed="10"/>
      <name val="Arial"/>
      <family val="2"/>
    </font>
    <font>
      <b/>
      <sz val="10"/>
      <color indexed="17"/>
      <name val="Arial"/>
      <family val="2"/>
    </font>
    <font>
      <b/>
      <sz val="10"/>
      <color indexed="62"/>
      <name val="Arial"/>
      <family val="2"/>
    </font>
    <font>
      <b/>
      <sz val="10"/>
      <color indexed="12"/>
      <name val="Arial"/>
      <family val="2"/>
    </font>
    <font>
      <b/>
      <sz val="14"/>
      <color indexed="13"/>
      <name val="Arial"/>
      <family val="2"/>
    </font>
    <font>
      <b/>
      <sz val="12"/>
      <color indexed="13"/>
      <name val="Arial"/>
      <family val="2"/>
    </font>
    <font>
      <sz val="12"/>
      <name val="Arial"/>
      <family val="2"/>
    </font>
    <font>
      <b/>
      <sz val="8"/>
      <color indexed="13"/>
      <name val="Arial"/>
      <family val="2"/>
    </font>
    <font>
      <sz val="10"/>
      <color indexed="58"/>
      <name val="Arial"/>
      <family val="2"/>
    </font>
    <font>
      <strike/>
      <sz val="10"/>
      <name val="Arial"/>
      <family val="2"/>
    </font>
    <font>
      <sz val="8"/>
      <color indexed="8"/>
      <name val="Verdana"/>
      <family val="2"/>
    </font>
    <font>
      <sz val="10"/>
      <color indexed="8"/>
      <name val="Verdana"/>
      <family val="2"/>
    </font>
    <font>
      <b/>
      <sz val="10"/>
      <color indexed="8"/>
      <name val="Arial"/>
      <family val="2"/>
    </font>
    <font>
      <sz val="11"/>
      <color indexed="8"/>
      <name val="Calibri"/>
      <family val="2"/>
    </font>
    <font>
      <sz val="10"/>
      <color indexed="9"/>
      <name val="Arial"/>
      <family val="2"/>
    </font>
    <font>
      <b/>
      <sz val="11"/>
      <name val="Arial"/>
      <family val="2"/>
    </font>
    <font>
      <sz val="10"/>
      <name val="Times New Roman"/>
      <family val="1"/>
    </font>
    <font>
      <sz val="10"/>
      <color indexed="12"/>
      <name val="Times New Roman"/>
      <family val="1"/>
    </font>
    <font>
      <u/>
      <sz val="10"/>
      <name val="Arial"/>
      <family val="2"/>
    </font>
    <font>
      <b/>
      <u/>
      <sz val="14"/>
      <color indexed="9"/>
      <name val="Arial"/>
      <family val="2"/>
    </font>
    <font>
      <b/>
      <sz val="10"/>
      <color indexed="16"/>
      <name val="Arial"/>
      <family val="2"/>
    </font>
    <font>
      <sz val="10"/>
      <name val="Arial"/>
      <family val="2"/>
    </font>
    <font>
      <b/>
      <sz val="11"/>
      <color theme="1"/>
      <name val="Calibri"/>
      <family val="2"/>
      <scheme val="minor"/>
    </font>
    <font>
      <b/>
      <sz val="10"/>
      <color rgb="FFFFFF00"/>
      <name val="Arial"/>
      <family val="2"/>
    </font>
    <font>
      <b/>
      <sz val="10"/>
      <color theme="9" tint="-0.499984740745262"/>
      <name val="Arial"/>
      <family val="2"/>
    </font>
    <font>
      <b/>
      <u/>
      <sz val="14"/>
      <color theme="9" tint="-0.499984740745262"/>
      <name val="Arial"/>
      <family val="2"/>
    </font>
    <font>
      <sz val="10"/>
      <color rgb="FFFFFF00"/>
      <name val="Arial"/>
      <family val="2"/>
    </font>
    <font>
      <b/>
      <sz val="10"/>
      <color indexed="10"/>
      <name val="Arial"/>
      <family val="2"/>
    </font>
    <font>
      <b/>
      <sz val="10"/>
      <color indexed="17"/>
      <name val="Arial"/>
      <family val="2"/>
    </font>
    <font>
      <b/>
      <sz val="18"/>
      <color theme="1"/>
      <name val="Calibri"/>
      <family val="2"/>
      <scheme val="minor"/>
    </font>
    <font>
      <b/>
      <sz val="10"/>
      <color indexed="16"/>
      <name val="Arial"/>
      <family val="2"/>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2"/>
      <color theme="0"/>
      <name val="Calibri"/>
      <family val="2"/>
      <scheme val="minor"/>
    </font>
    <font>
      <sz val="20"/>
      <color theme="0"/>
      <name val="Calibri"/>
      <family val="2"/>
      <scheme val="minor"/>
    </font>
    <font>
      <sz val="9"/>
      <color rgb="FF000000"/>
      <name val="Arial"/>
      <family val="2"/>
    </font>
    <font>
      <sz val="11"/>
      <color rgb="FFFF0000"/>
      <name val="Calibri"/>
      <family val="2"/>
      <scheme val="minor"/>
    </font>
    <font>
      <sz val="9"/>
      <color rgb="FFFF0000"/>
      <name val="Arial"/>
      <family val="2"/>
    </font>
    <font>
      <sz val="12"/>
      <color theme="0"/>
      <name val="Arial"/>
      <family val="2"/>
    </font>
    <font>
      <sz val="12"/>
      <color theme="0"/>
      <name val="Calibri"/>
      <family val="2"/>
      <scheme val="minor"/>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rgb="FFFF0000"/>
      <name val="Arial"/>
      <family val="2"/>
    </font>
    <font>
      <b/>
      <sz val="10"/>
      <color indexed="10"/>
      <name val="Arial"/>
      <family val="2"/>
    </font>
    <font>
      <b/>
      <sz val="10"/>
      <color indexed="17"/>
      <name val="Arial"/>
      <family val="2"/>
    </font>
    <font>
      <b/>
      <sz val="11"/>
      <color theme="0"/>
      <name val="Calibri"/>
      <family val="2"/>
      <scheme val="minor"/>
    </font>
    <font>
      <b/>
      <sz val="10"/>
      <color indexed="10"/>
      <name val="Arial"/>
      <family val="2"/>
    </font>
    <font>
      <b/>
      <sz val="10"/>
      <color indexed="17"/>
      <name val="Arial"/>
      <family val="2"/>
    </font>
    <font>
      <sz val="10"/>
      <color rgb="FFFFFFFF"/>
      <name val="Arial"/>
      <family val="2"/>
    </font>
    <font>
      <sz val="9"/>
      <color rgb="FF333333"/>
      <name val="Arial"/>
      <family val="2"/>
    </font>
    <font>
      <sz val="18"/>
      <color theme="0"/>
      <name val="Arial"/>
      <family val="2"/>
    </font>
    <font>
      <b/>
      <sz val="11"/>
      <color theme="0"/>
      <name val="Arial"/>
      <family val="2"/>
    </font>
    <font>
      <sz val="12"/>
      <color theme="7"/>
      <name val="Arial"/>
      <family val="2"/>
    </font>
    <font>
      <b/>
      <sz val="10"/>
      <color indexed="10"/>
      <name val="Arial"/>
      <family val="2"/>
    </font>
    <font>
      <b/>
      <sz val="10"/>
      <color indexed="17"/>
      <name val="Arial"/>
      <family val="2"/>
    </font>
    <font>
      <b/>
      <sz val="14"/>
      <color rgb="FFC00000"/>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7"/>
      <name val="Arial"/>
      <family val="2"/>
    </font>
    <font>
      <b/>
      <sz val="12"/>
      <color theme="0"/>
      <name val="Arial"/>
      <family val="2"/>
    </font>
    <font>
      <sz val="10"/>
      <color theme="0"/>
      <name val="Arial"/>
      <family val="2"/>
    </font>
    <font>
      <sz val="14"/>
      <color theme="0"/>
      <name val="Arial"/>
      <family val="2"/>
    </font>
    <font>
      <b/>
      <sz val="10"/>
      <color indexed="10"/>
      <name val="Arial"/>
      <family val="2"/>
    </font>
    <font>
      <b/>
      <sz val="10"/>
      <color indexed="17"/>
      <name val="Arial"/>
      <family val="2"/>
    </font>
    <font>
      <b/>
      <sz val="10"/>
      <color indexed="17"/>
      <name val="Arial"/>
      <family val="2"/>
    </font>
    <font>
      <b/>
      <sz val="10"/>
      <color indexed="17"/>
      <name val="Arial"/>
      <family val="2"/>
    </font>
    <font>
      <b/>
      <sz val="10"/>
      <color indexed="10"/>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sz val="10"/>
      <color rgb="FFFF0000"/>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0"/>
      <name val="Arial"/>
      <family val="2"/>
    </font>
    <font>
      <b/>
      <sz val="10"/>
      <color indexed="17"/>
      <name val="Arial"/>
      <family val="2"/>
    </font>
    <font>
      <b/>
      <sz val="10"/>
      <color indexed="16"/>
      <name val="Arial"/>
      <family val="2"/>
    </font>
    <font>
      <b/>
      <sz val="10"/>
      <color indexed="10"/>
      <name val="Arial"/>
      <family val="2"/>
    </font>
    <font>
      <b/>
      <sz val="10"/>
      <color indexed="17"/>
      <name val="Arial"/>
      <family val="2"/>
    </font>
    <font>
      <b/>
      <sz val="10"/>
      <color indexed="10"/>
      <name val="Arial"/>
    </font>
    <font>
      <b/>
      <sz val="10"/>
      <color indexed="17"/>
      <name val="Arial"/>
    </font>
  </fonts>
  <fills count="60">
    <fill>
      <patternFill patternType="none"/>
    </fill>
    <fill>
      <patternFill patternType="gray125"/>
    </fill>
    <fill>
      <patternFill patternType="solid">
        <fgColor indexed="13"/>
        <bgColor indexed="34"/>
      </patternFill>
    </fill>
    <fill>
      <patternFill patternType="solid">
        <fgColor indexed="27"/>
        <bgColor indexed="41"/>
      </patternFill>
    </fill>
    <fill>
      <patternFill patternType="solid">
        <fgColor indexed="42"/>
        <bgColor indexed="27"/>
      </patternFill>
    </fill>
    <fill>
      <patternFill patternType="solid">
        <fgColor indexed="8"/>
        <bgColor indexed="58"/>
      </patternFill>
    </fill>
    <fill>
      <patternFill patternType="solid">
        <fgColor indexed="40"/>
        <bgColor indexed="49"/>
      </patternFill>
    </fill>
    <fill>
      <patternFill patternType="solid">
        <fgColor indexed="47"/>
        <bgColor indexed="22"/>
      </patternFill>
    </fill>
    <fill>
      <patternFill patternType="solid">
        <fgColor indexed="43"/>
        <bgColor indexed="26"/>
      </patternFill>
    </fill>
    <fill>
      <patternFill patternType="solid">
        <fgColor indexed="18"/>
        <bgColor indexed="32"/>
      </patternFill>
    </fill>
    <fill>
      <patternFill patternType="solid">
        <fgColor indexed="22"/>
        <bgColor indexed="31"/>
      </patternFill>
    </fill>
    <fill>
      <patternFill patternType="solid">
        <fgColor indexed="49"/>
        <bgColor indexed="40"/>
      </patternFill>
    </fill>
    <fill>
      <patternFill patternType="solid">
        <fgColor indexed="44"/>
        <bgColor indexed="31"/>
      </patternFill>
    </fill>
    <fill>
      <patternFill patternType="solid">
        <fgColor indexed="11"/>
        <bgColor indexed="49"/>
      </patternFill>
    </fill>
    <fill>
      <patternFill patternType="solid">
        <fgColor indexed="51"/>
        <bgColor indexed="13"/>
      </patternFill>
    </fill>
    <fill>
      <patternFill patternType="solid">
        <fgColor indexed="9"/>
        <bgColor indexed="26"/>
      </patternFill>
    </fill>
    <fill>
      <patternFill patternType="solid">
        <fgColor indexed="62"/>
        <bgColor indexed="63"/>
      </patternFill>
    </fill>
    <fill>
      <patternFill patternType="solid">
        <fgColor indexed="29"/>
        <bgColor indexed="45"/>
      </patternFill>
    </fill>
    <fill>
      <patternFill patternType="solid">
        <fgColor indexed="56"/>
        <bgColor indexed="62"/>
      </patternFill>
    </fill>
    <fill>
      <patternFill patternType="solid">
        <fgColor indexed="31"/>
        <bgColor indexed="22"/>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13"/>
      </patternFill>
    </fill>
    <fill>
      <patternFill patternType="solid">
        <fgColor theme="5"/>
        <bgColor indexed="13"/>
      </patternFill>
    </fill>
    <fill>
      <patternFill patternType="solid">
        <fgColor theme="5" tint="-0.249977111117893"/>
        <bgColor indexed="26"/>
      </patternFill>
    </fill>
    <fill>
      <patternFill patternType="solid">
        <fgColor theme="7" tint="-0.249977111117893"/>
        <bgColor indexed="13"/>
      </patternFill>
    </fill>
    <fill>
      <patternFill patternType="solid">
        <fgColor theme="8"/>
      </patternFill>
    </fill>
    <fill>
      <patternFill patternType="solid">
        <fgColor theme="9"/>
        <bgColor indexed="40"/>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1"/>
        <bgColor indexed="64"/>
      </patternFill>
    </fill>
    <fill>
      <patternFill patternType="solid">
        <fgColor theme="3"/>
        <bgColor indexed="64"/>
      </patternFill>
    </fill>
    <fill>
      <patternFill patternType="solid">
        <fgColor rgb="FFFBFCFE"/>
        <bgColor indexed="64"/>
      </patternFill>
    </fill>
    <fill>
      <patternFill patternType="solid">
        <fgColor rgb="FFF7F9F9"/>
        <bgColor indexed="64"/>
      </patternFill>
    </fill>
    <fill>
      <patternFill patternType="solid">
        <fgColor rgb="FFFFFF00"/>
        <bgColor indexed="64"/>
      </patternFill>
    </fill>
    <fill>
      <patternFill patternType="solid">
        <fgColor theme="9"/>
        <bgColor indexed="32"/>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4"/>
        <bgColor indexed="32"/>
      </patternFill>
    </fill>
    <fill>
      <patternFill patternType="solid">
        <fgColor theme="9" tint="-0.249977111117893"/>
        <bgColor indexed="64"/>
      </patternFill>
    </fill>
    <fill>
      <patternFill patternType="solid">
        <fgColor theme="3" tint="0.59999389629810485"/>
        <bgColor indexed="64"/>
      </patternFill>
    </fill>
    <fill>
      <patternFill patternType="solid">
        <fgColor theme="3" tint="0.59999389629810485"/>
        <bgColor indexed="32"/>
      </patternFill>
    </fill>
    <fill>
      <patternFill patternType="solid">
        <fgColor theme="5"/>
        <bgColor indexed="64"/>
      </patternFill>
    </fill>
    <fill>
      <patternFill patternType="solid">
        <fgColor rgb="FF7030A0"/>
        <bgColor indexed="40"/>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32"/>
      </patternFill>
    </fill>
    <fill>
      <patternFill patternType="solid">
        <fgColor rgb="FFFFFFFF"/>
        <bgColor indexed="64"/>
      </patternFill>
    </fill>
    <fill>
      <patternFill patternType="solid">
        <fgColor rgb="FF005CA4"/>
        <bgColor indexed="64"/>
      </patternFill>
    </fill>
    <fill>
      <patternFill patternType="solid">
        <fgColor rgb="FFE5E5E5"/>
        <bgColor indexed="64"/>
      </patternFill>
    </fill>
    <fill>
      <patternFill patternType="solid">
        <fgColor rgb="FF002060"/>
        <bgColor indexed="64"/>
      </patternFill>
    </fill>
    <fill>
      <patternFill patternType="solid">
        <fgColor theme="8" tint="-0.499984740745262"/>
        <bgColor indexed="64"/>
      </patternFill>
    </fill>
    <fill>
      <patternFill patternType="solid">
        <fgColor theme="9"/>
        <bgColor indexed="64"/>
      </patternFill>
    </fill>
    <fill>
      <patternFill patternType="solid">
        <fgColor rgb="FFFFCCCC"/>
        <bgColor indexed="64"/>
      </patternFill>
    </fill>
    <fill>
      <patternFill patternType="solid">
        <fgColor theme="0" tint="-0.34998626667073579"/>
        <bgColor indexed="64"/>
      </patternFill>
    </fill>
    <fill>
      <patternFill patternType="solid">
        <fgColor theme="5" tint="0.79998168889431442"/>
        <bgColor indexed="64"/>
      </patternFill>
    </fill>
  </fills>
  <borders count="61">
    <border>
      <left/>
      <right/>
      <top/>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style="medium">
        <color indexed="63"/>
      </left>
      <right style="hair">
        <color indexed="63"/>
      </right>
      <top style="hair">
        <color indexed="63"/>
      </top>
      <bottom style="hair">
        <color indexed="63"/>
      </bottom>
      <diagonal/>
    </border>
    <border>
      <left style="hair">
        <color indexed="63"/>
      </left>
      <right style="hair">
        <color indexed="63"/>
      </right>
      <top style="hair">
        <color indexed="63"/>
      </top>
      <bottom style="hair">
        <color indexed="63"/>
      </bottom>
      <diagonal/>
    </border>
    <border>
      <left style="hair">
        <color indexed="63"/>
      </left>
      <right style="medium">
        <color indexed="63"/>
      </right>
      <top style="hair">
        <color indexed="63"/>
      </top>
      <bottom style="hair">
        <color indexed="63"/>
      </bottom>
      <diagonal/>
    </border>
    <border>
      <left style="medium">
        <color indexed="63"/>
      </left>
      <right style="hair">
        <color indexed="63"/>
      </right>
      <top style="hair">
        <color indexed="63"/>
      </top>
      <bottom/>
      <diagonal/>
    </border>
    <border>
      <left style="hair">
        <color indexed="63"/>
      </left>
      <right style="hair">
        <color indexed="63"/>
      </right>
      <top style="hair">
        <color indexed="63"/>
      </top>
      <bottom/>
      <diagonal/>
    </border>
    <border>
      <left style="hair">
        <color indexed="63"/>
      </left>
      <right style="medium">
        <color indexed="63"/>
      </right>
      <top style="hair">
        <color indexed="63"/>
      </top>
      <bottom/>
      <diagonal/>
    </border>
    <border>
      <left style="medium">
        <color indexed="63"/>
      </left>
      <right/>
      <top style="thin">
        <color indexed="63"/>
      </top>
      <bottom style="medium">
        <color indexed="63"/>
      </bottom>
      <diagonal/>
    </border>
    <border>
      <left/>
      <right style="thin">
        <color indexed="63"/>
      </right>
      <top style="thin">
        <color indexed="63"/>
      </top>
      <bottom style="medium">
        <color indexed="63"/>
      </bottom>
      <diagonal/>
    </border>
    <border>
      <left style="thin">
        <color indexed="63"/>
      </left>
      <right/>
      <top/>
      <bottom/>
      <diagonal/>
    </border>
    <border>
      <left style="thin">
        <color auto="1"/>
      </left>
      <right style="thin">
        <color auto="1"/>
      </right>
      <top style="thin">
        <color auto="1"/>
      </top>
      <bottom style="thin">
        <color auto="1"/>
      </bottom>
      <diagonal/>
    </border>
    <border>
      <left/>
      <right style="thin">
        <color indexed="63"/>
      </right>
      <top/>
      <bottom/>
      <diagonal/>
    </border>
    <border>
      <left style="thin">
        <color auto="1"/>
      </left>
      <right style="thin">
        <color auto="1"/>
      </right>
      <top/>
      <bottom/>
      <diagonal/>
    </border>
    <border>
      <left style="medium">
        <color indexed="63"/>
      </left>
      <right style="medium">
        <color indexed="63"/>
      </right>
      <top style="medium">
        <color indexed="63"/>
      </top>
      <bottom style="thin">
        <color indexed="63"/>
      </bottom>
      <diagonal/>
    </border>
    <border>
      <left style="hair">
        <color indexed="63"/>
      </left>
      <right/>
      <top/>
      <bottom/>
      <diagonal/>
    </border>
    <border>
      <left style="medium">
        <color indexed="63"/>
      </left>
      <right style="medium">
        <color indexed="63"/>
      </right>
      <top style="medium">
        <color indexed="63"/>
      </top>
      <bottom style="hair">
        <color indexed="63"/>
      </bottom>
      <diagonal/>
    </border>
    <border>
      <left style="medium">
        <color indexed="63"/>
      </left>
      <right style="medium">
        <color indexed="63"/>
      </right>
      <top style="medium">
        <color indexed="63"/>
      </top>
      <bottom/>
      <diagonal/>
    </border>
    <border>
      <left style="medium">
        <color indexed="63"/>
      </left>
      <right style="medium">
        <color indexed="63"/>
      </right>
      <top style="medium">
        <color indexed="63"/>
      </top>
      <bottom style="medium">
        <color indexed="63"/>
      </bottom>
      <diagonal/>
    </border>
    <border>
      <left/>
      <right/>
      <top style="thin">
        <color theme="4"/>
      </top>
      <bottom style="double">
        <color theme="4"/>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right/>
      <top style="thin">
        <color indexed="63"/>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top/>
      <bottom style="thin">
        <color indexed="63"/>
      </bottom>
      <diagonal/>
    </border>
    <border>
      <left/>
      <right/>
      <top/>
      <bottom style="thick">
        <color theme="4"/>
      </bottom>
      <diagonal/>
    </border>
    <border>
      <left/>
      <right/>
      <top/>
      <bottom style="medium">
        <color rgb="FFDEDFE1"/>
      </bottom>
      <diagonal/>
    </border>
    <border>
      <left/>
      <right style="medium">
        <color rgb="FFDEDFE1"/>
      </right>
      <top/>
      <bottom style="medium">
        <color rgb="FFDEDFE1"/>
      </bottom>
      <diagonal/>
    </border>
    <border>
      <left/>
      <right style="medium">
        <color rgb="FFDEDFE1"/>
      </right>
      <top style="medium">
        <color rgb="FFDEDFE1"/>
      </top>
      <bottom style="medium">
        <color rgb="FFDEDFE1"/>
      </bottom>
      <diagonal/>
    </border>
    <border>
      <left/>
      <right/>
      <top style="medium">
        <color rgb="FFDEDFE1"/>
      </top>
      <bottom style="medium">
        <color rgb="FFDEDFE1"/>
      </bottom>
      <diagonal/>
    </border>
    <border>
      <left/>
      <right style="medium">
        <color rgb="FFDEDFE1"/>
      </right>
      <top/>
      <bottom/>
      <diagonal/>
    </border>
    <border>
      <left/>
      <right/>
      <top/>
      <bottom style="double">
        <color theme="4"/>
      </bottom>
      <diagonal/>
    </border>
    <border>
      <left style="medium">
        <color indexed="64"/>
      </left>
      <right style="medium">
        <color rgb="FFDEDFE1"/>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indexed="63"/>
      </left>
      <right style="hair">
        <color indexed="63"/>
      </right>
      <top style="hair">
        <color indexed="63"/>
      </top>
      <bottom style="thin">
        <color theme="4"/>
      </bottom>
      <diagonal/>
    </border>
    <border>
      <left style="hair">
        <color auto="1"/>
      </left>
      <right style="hair">
        <color auto="1"/>
      </right>
      <top style="hair">
        <color auto="1"/>
      </top>
      <bottom style="thin">
        <color theme="4"/>
      </bottom>
      <diagonal/>
    </border>
    <border>
      <left style="medium">
        <color rgb="FFDEDFE1"/>
      </left>
      <right style="medium">
        <color rgb="FFDEDFE1"/>
      </right>
      <top/>
      <bottom style="medium">
        <color rgb="FFDEDFE1"/>
      </bottom>
      <diagonal/>
    </border>
    <border>
      <left/>
      <right/>
      <top/>
      <bottom style="thin">
        <color theme="4"/>
      </bottom>
      <diagonal/>
    </border>
    <border>
      <left style="medium">
        <color rgb="FFDEDFE1"/>
      </left>
      <right style="medium">
        <color rgb="FFDEDFE1"/>
      </right>
      <top style="medium">
        <color rgb="FFDEDFE1"/>
      </top>
      <bottom style="medium">
        <color rgb="FFDEDFE1"/>
      </bottom>
      <diagonal/>
    </border>
    <border>
      <left/>
      <right/>
      <top style="thick">
        <color theme="4"/>
      </top>
      <bottom style="thick">
        <color theme="4"/>
      </bottom>
      <diagonal/>
    </border>
    <border>
      <left style="medium">
        <color rgb="FFFFFFFF"/>
      </left>
      <right/>
      <top/>
      <bottom style="medium">
        <color rgb="FFFFFFFF"/>
      </bottom>
      <diagonal/>
    </border>
    <border>
      <left style="medium">
        <color rgb="FFFFFFFF"/>
      </left>
      <right/>
      <top/>
      <bottom/>
      <diagonal/>
    </border>
    <border>
      <left/>
      <right style="medium">
        <color rgb="FFFFFFFF"/>
      </right>
      <top/>
      <bottom/>
      <diagonal/>
    </border>
    <border>
      <left/>
      <right/>
      <top style="thick">
        <color theme="4"/>
      </top>
      <bottom/>
      <diagonal/>
    </border>
    <border>
      <left style="medium">
        <color indexed="64"/>
      </left>
      <right style="medium">
        <color rgb="FFDEDFE1"/>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hair">
        <color auto="1"/>
      </bottom>
      <diagonal/>
    </border>
    <border>
      <left style="thin">
        <color rgb="FF3C3C3C"/>
      </left>
      <right style="thin">
        <color indexed="63"/>
      </right>
      <top style="thin">
        <color indexed="63"/>
      </top>
      <bottom style="thin">
        <color indexed="63"/>
      </bottom>
      <diagonal/>
    </border>
  </borders>
  <cellStyleXfs count="12">
    <xf numFmtId="0" fontId="0" fillId="0" borderId="0"/>
    <xf numFmtId="164" fontId="85" fillId="0" borderId="0" applyFill="0" applyBorder="0" applyAlignment="0" applyProtection="0"/>
    <xf numFmtId="9" fontId="85" fillId="0" borderId="0" applyFill="0" applyBorder="0" applyAlignment="0" applyProtection="0"/>
    <xf numFmtId="0" fontId="86" fillId="0" borderId="26" applyNumberFormat="0" applyFill="0" applyAlignment="0" applyProtection="0"/>
    <xf numFmtId="0" fontId="95" fillId="0" borderId="33" applyNumberFormat="0" applyFill="0" applyAlignment="0" applyProtection="0"/>
    <xf numFmtId="0" fontId="96" fillId="28" borderId="0" applyNumberFormat="0" applyBorder="0" applyAlignment="0" applyProtection="0"/>
    <xf numFmtId="0" fontId="97" fillId="29" borderId="0" applyNumberFormat="0" applyBorder="0" applyAlignment="0" applyProtection="0"/>
    <xf numFmtId="0" fontId="98" fillId="30" borderId="0" applyNumberFormat="0" applyBorder="0" applyAlignment="0" applyProtection="0"/>
    <xf numFmtId="0" fontId="99" fillId="31" borderId="0" applyNumberFormat="0" applyBorder="0" applyAlignment="0" applyProtection="0"/>
    <xf numFmtId="0" fontId="49" fillId="0" borderId="0"/>
    <xf numFmtId="44" fontId="49" fillId="0" borderId="0" applyFont="0" applyFill="0" applyBorder="0" applyAlignment="0" applyProtection="0"/>
    <xf numFmtId="43" fontId="85" fillId="0" borderId="0" applyFont="0" applyFill="0" applyBorder="0" applyAlignment="0" applyProtection="0"/>
  </cellStyleXfs>
  <cellXfs count="621">
    <xf numFmtId="0" fontId="0" fillId="0" borderId="0" xfId="0"/>
    <xf numFmtId="164" fontId="0" fillId="0" borderId="0" xfId="1" applyFont="1" applyFill="1" applyBorder="1" applyAlignment="1" applyProtection="1"/>
    <xf numFmtId="0" fontId="50" fillId="2" borderId="1" xfId="0" applyFont="1" applyFill="1" applyBorder="1" applyAlignment="1">
      <alignment horizontal="left"/>
    </xf>
    <xf numFmtId="164" fontId="52" fillId="3" borderId="1" xfId="1" applyFont="1" applyFill="1" applyBorder="1" applyAlignment="1" applyProtection="1"/>
    <xf numFmtId="164" fontId="53" fillId="3" borderId="1" xfId="1" applyFont="1" applyFill="1" applyBorder="1" applyAlignment="1" applyProtection="1"/>
    <xf numFmtId="16" fontId="52" fillId="3" borderId="1" xfId="0" applyNumberFormat="1" applyFont="1" applyFill="1" applyBorder="1"/>
    <xf numFmtId="0" fontId="54" fillId="4" borderId="2" xfId="0" applyFont="1" applyFill="1" applyBorder="1"/>
    <xf numFmtId="164" fontId="54" fillId="4" borderId="3" xfId="1" applyFont="1" applyFill="1" applyBorder="1" applyAlignment="1" applyProtection="1"/>
    <xf numFmtId="0" fontId="0" fillId="0" borderId="0" xfId="0" applyFont="1"/>
    <xf numFmtId="0" fontId="0" fillId="0" borderId="1" xfId="0" applyFont="1" applyBorder="1"/>
    <xf numFmtId="164" fontId="0" fillId="0" borderId="1" xfId="1" applyFont="1" applyFill="1" applyBorder="1" applyAlignment="1" applyProtection="1"/>
    <xf numFmtId="164" fontId="55" fillId="0" borderId="1" xfId="1" applyFont="1" applyFill="1" applyBorder="1" applyAlignment="1" applyProtection="1"/>
    <xf numFmtId="16" fontId="55" fillId="0" borderId="1" xfId="0" applyNumberFormat="1" applyFont="1" applyBorder="1"/>
    <xf numFmtId="0" fontId="54" fillId="4" borderId="4" xfId="0" applyFont="1" applyFill="1" applyBorder="1"/>
    <xf numFmtId="164" fontId="54" fillId="4" borderId="5" xfId="1" applyFont="1" applyFill="1" applyBorder="1" applyAlignment="1" applyProtection="1"/>
    <xf numFmtId="164" fontId="56" fillId="0" borderId="1" xfId="1" applyFont="1" applyFill="1" applyBorder="1" applyAlignment="1" applyProtection="1"/>
    <xf numFmtId="16" fontId="0" fillId="0" borderId="1" xfId="0" applyNumberFormat="1" applyBorder="1"/>
    <xf numFmtId="0" fontId="0" fillId="5" borderId="1" xfId="0" applyFill="1" applyBorder="1"/>
    <xf numFmtId="164" fontId="0" fillId="5" borderId="1" xfId="1" applyFont="1" applyFill="1" applyBorder="1" applyAlignment="1" applyProtection="1"/>
    <xf numFmtId="0" fontId="0" fillId="5" borderId="1" xfId="0" applyFont="1" applyFill="1" applyBorder="1"/>
    <xf numFmtId="0" fontId="0" fillId="0" borderId="1" xfId="0" applyFont="1" applyFill="1" applyBorder="1"/>
    <xf numFmtId="0" fontId="57" fillId="6" borderId="1" xfId="0" applyFont="1" applyFill="1" applyBorder="1"/>
    <xf numFmtId="164" fontId="57" fillId="6" borderId="1" xfId="1" applyFont="1" applyFill="1" applyBorder="1" applyAlignment="1" applyProtection="1"/>
    <xf numFmtId="164" fontId="58" fillId="0" borderId="1" xfId="1" applyFont="1" applyFill="1" applyBorder="1" applyAlignment="1" applyProtection="1"/>
    <xf numFmtId="16" fontId="58" fillId="0" borderId="1" xfId="0" applyNumberFormat="1" applyFont="1" applyBorder="1"/>
    <xf numFmtId="9" fontId="0" fillId="0" borderId="0" xfId="0" applyNumberFormat="1"/>
    <xf numFmtId="164" fontId="0" fillId="0" borderId="1" xfId="0" applyNumberFormat="1" applyBorder="1"/>
    <xf numFmtId="0" fontId="0" fillId="7" borderId="1" xfId="0" applyFont="1" applyFill="1" applyBorder="1"/>
    <xf numFmtId="164" fontId="0" fillId="7" borderId="1" xfId="0" applyNumberFormat="1" applyFill="1" applyBorder="1"/>
    <xf numFmtId="0" fontId="54" fillId="8" borderId="1" xfId="0" applyFont="1" applyFill="1" applyBorder="1"/>
    <xf numFmtId="164" fontId="54" fillId="8" borderId="1" xfId="0" applyNumberFormat="1" applyFont="1" applyFill="1" applyBorder="1"/>
    <xf numFmtId="9" fontId="0" fillId="0" borderId="1" xfId="2" applyFont="1" applyFill="1" applyBorder="1" applyAlignment="1" applyProtection="1"/>
    <xf numFmtId="165" fontId="0" fillId="0" borderId="0" xfId="0" applyNumberFormat="1"/>
    <xf numFmtId="165" fontId="50" fillId="2" borderId="1" xfId="0" applyNumberFormat="1" applyFont="1" applyFill="1" applyBorder="1" applyAlignment="1">
      <alignment horizontal="left"/>
    </xf>
    <xf numFmtId="164" fontId="59" fillId="0" borderId="1" xfId="1" applyFont="1" applyFill="1" applyBorder="1" applyAlignment="1" applyProtection="1"/>
    <xf numFmtId="166" fontId="59" fillId="0" borderId="1" xfId="0" applyNumberFormat="1" applyFont="1" applyBorder="1"/>
    <xf numFmtId="166" fontId="0" fillId="0" borderId="1" xfId="0" applyNumberFormat="1" applyBorder="1"/>
    <xf numFmtId="166" fontId="56" fillId="0" borderId="1" xfId="1" applyNumberFormat="1" applyFont="1" applyFill="1" applyBorder="1" applyAlignment="1" applyProtection="1"/>
    <xf numFmtId="0" fontId="0" fillId="0" borderId="4" xfId="0" applyFont="1" applyBorder="1"/>
    <xf numFmtId="164" fontId="0" fillId="0" borderId="5" xfId="1" applyFont="1" applyFill="1" applyBorder="1" applyAlignment="1" applyProtection="1"/>
    <xf numFmtId="166" fontId="59" fillId="0" borderId="1" xfId="1" applyNumberFormat="1" applyFont="1" applyFill="1" applyBorder="1" applyAlignment="1" applyProtection="1"/>
    <xf numFmtId="166" fontId="56" fillId="0" borderId="1" xfId="0" applyNumberFormat="1" applyFont="1" applyBorder="1"/>
    <xf numFmtId="0" fontId="51" fillId="6" borderId="1" xfId="0" applyFont="1" applyFill="1" applyBorder="1" applyAlignment="1">
      <alignment horizontal="left"/>
    </xf>
    <xf numFmtId="164" fontId="51" fillId="6" borderId="1" xfId="1" applyFont="1" applyFill="1" applyBorder="1" applyAlignment="1" applyProtection="1">
      <alignment horizontal="left"/>
    </xf>
    <xf numFmtId="166" fontId="51" fillId="6" borderId="1" xfId="0" applyNumberFormat="1" applyFont="1" applyFill="1" applyBorder="1" applyAlignment="1">
      <alignment horizontal="left"/>
    </xf>
    <xf numFmtId="164" fontId="60" fillId="0" borderId="1" xfId="1" applyFont="1" applyFill="1" applyBorder="1" applyAlignment="1" applyProtection="1"/>
    <xf numFmtId="166" fontId="60" fillId="0" borderId="1" xfId="0" applyNumberFormat="1" applyFont="1" applyBorder="1"/>
    <xf numFmtId="164" fontId="0" fillId="6" borderId="1" xfId="1" applyFont="1" applyFill="1" applyBorder="1" applyAlignment="1" applyProtection="1"/>
    <xf numFmtId="166" fontId="0" fillId="6" borderId="1" xfId="0" applyNumberFormat="1" applyFont="1" applyFill="1" applyBorder="1"/>
    <xf numFmtId="166" fontId="0" fillId="6" borderId="1" xfId="1" applyNumberFormat="1" applyFont="1" applyFill="1" applyBorder="1" applyAlignment="1" applyProtection="1"/>
    <xf numFmtId="0" fontId="56" fillId="0" borderId="1" xfId="0" applyFont="1" applyBorder="1"/>
    <xf numFmtId="165" fontId="56" fillId="0" borderId="1" xfId="0" applyNumberFormat="1" applyFont="1" applyBorder="1"/>
    <xf numFmtId="164" fontId="0" fillId="0" borderId="0" xfId="0" applyNumberFormat="1"/>
    <xf numFmtId="164" fontId="56" fillId="3" borderId="1" xfId="1" applyFont="1" applyFill="1" applyBorder="1" applyAlignment="1" applyProtection="1"/>
    <xf numFmtId="166" fontId="56" fillId="3" borderId="1" xfId="1" applyNumberFormat="1" applyFont="1" applyFill="1" applyBorder="1" applyAlignment="1" applyProtection="1"/>
    <xf numFmtId="0" fontId="61" fillId="9" borderId="1" xfId="0" applyFont="1" applyFill="1" applyBorder="1"/>
    <xf numFmtId="164" fontId="61" fillId="9" borderId="1" xfId="0" applyNumberFormat="1" applyFont="1" applyFill="1" applyBorder="1"/>
    <xf numFmtId="166" fontId="56" fillId="3" borderId="1" xfId="0" applyNumberFormat="1" applyFont="1" applyFill="1" applyBorder="1"/>
    <xf numFmtId="165" fontId="0" fillId="0" borderId="1" xfId="0" applyNumberFormat="1" applyBorder="1"/>
    <xf numFmtId="165" fontId="62" fillId="9" borderId="1" xfId="0" applyNumberFormat="1" applyFont="1" applyFill="1" applyBorder="1" applyAlignment="1">
      <alignment horizontal="left"/>
    </xf>
    <xf numFmtId="164" fontId="63" fillId="0" borderId="1" xfId="1" applyFont="1" applyFill="1" applyBorder="1" applyAlignment="1" applyProtection="1"/>
    <xf numFmtId="166" fontId="64" fillId="0" borderId="1" xfId="0" applyNumberFormat="1" applyFont="1" applyFill="1" applyBorder="1"/>
    <xf numFmtId="164" fontId="64" fillId="0" borderId="1" xfId="1" applyFont="1" applyFill="1" applyBorder="1" applyAlignment="1" applyProtection="1"/>
    <xf numFmtId="164" fontId="65" fillId="10" borderId="1" xfId="1" applyFont="1" applyFill="1" applyBorder="1" applyAlignment="1" applyProtection="1"/>
    <xf numFmtId="166" fontId="65" fillId="10" borderId="1" xfId="0" applyNumberFormat="1" applyFont="1" applyFill="1" applyBorder="1"/>
    <xf numFmtId="164" fontId="64" fillId="5" borderId="1" xfId="1" applyFont="1" applyFill="1" applyBorder="1" applyAlignment="1" applyProtection="1"/>
    <xf numFmtId="164" fontId="66" fillId="5" borderId="1" xfId="1" applyFont="1" applyFill="1" applyBorder="1" applyAlignment="1" applyProtection="1"/>
    <xf numFmtId="166" fontId="61" fillId="5" borderId="1" xfId="0" applyNumberFormat="1" applyFont="1" applyFill="1" applyBorder="1"/>
    <xf numFmtId="164" fontId="63" fillId="10" borderId="1" xfId="1" applyFont="1" applyFill="1" applyBorder="1" applyAlignment="1" applyProtection="1"/>
    <xf numFmtId="164" fontId="66" fillId="10" borderId="1" xfId="1" applyFont="1" applyFill="1" applyBorder="1" applyAlignment="1" applyProtection="1"/>
    <xf numFmtId="166" fontId="66" fillId="10" borderId="1" xfId="0" applyNumberFormat="1" applyFont="1" applyFill="1" applyBorder="1"/>
    <xf numFmtId="164" fontId="67" fillId="0" borderId="1" xfId="1" applyFont="1" applyFill="1" applyBorder="1" applyAlignment="1" applyProtection="1"/>
    <xf numFmtId="166" fontId="67" fillId="0" borderId="1" xfId="0" applyNumberFormat="1" applyFont="1" applyFill="1" applyBorder="1"/>
    <xf numFmtId="166" fontId="63" fillId="0" borderId="1" xfId="0" applyNumberFormat="1" applyFont="1" applyFill="1" applyBorder="1"/>
    <xf numFmtId="164" fontId="62" fillId="11" borderId="1" xfId="1" applyFont="1" applyFill="1" applyBorder="1" applyAlignment="1" applyProtection="1"/>
    <xf numFmtId="166" fontId="62" fillId="11" borderId="1" xfId="0" applyNumberFormat="1" applyFont="1" applyFill="1" applyBorder="1"/>
    <xf numFmtId="10" fontId="0" fillId="0" borderId="0" xfId="1" applyNumberFormat="1" applyFont="1" applyFill="1" applyBorder="1" applyAlignment="1" applyProtection="1"/>
    <xf numFmtId="10" fontId="0" fillId="0" borderId="0" xfId="0" applyNumberFormat="1"/>
    <xf numFmtId="0" fontId="0" fillId="7" borderId="0" xfId="0" applyFont="1" applyFill="1"/>
    <xf numFmtId="164" fontId="0" fillId="7" borderId="0" xfId="1" applyFont="1" applyFill="1" applyBorder="1" applyAlignment="1" applyProtection="1"/>
    <xf numFmtId="0" fontId="55" fillId="0" borderId="0" xfId="0" applyFont="1"/>
    <xf numFmtId="164" fontId="55" fillId="0" borderId="0" xfId="1" applyFont="1" applyFill="1" applyBorder="1" applyAlignment="1" applyProtection="1"/>
    <xf numFmtId="165" fontId="62" fillId="9" borderId="1" xfId="0" applyNumberFormat="1" applyFont="1" applyFill="1" applyBorder="1" applyAlignment="1">
      <alignment horizontal="center"/>
    </xf>
    <xf numFmtId="16" fontId="0" fillId="0" borderId="0" xfId="0" applyNumberFormat="1"/>
    <xf numFmtId="0" fontId="68" fillId="9" borderId="1" xfId="0" applyFont="1" applyFill="1" applyBorder="1" applyAlignment="1">
      <alignment horizontal="center"/>
    </xf>
    <xf numFmtId="167" fontId="67" fillId="0" borderId="1" xfId="1" applyNumberFormat="1" applyFont="1" applyFill="1" applyBorder="1" applyAlignment="1" applyProtection="1"/>
    <xf numFmtId="16" fontId="0" fillId="0" borderId="0" xfId="0" applyNumberFormat="1" applyBorder="1"/>
    <xf numFmtId="9" fontId="68" fillId="9" borderId="1" xfId="2" applyFont="1" applyFill="1" applyBorder="1" applyAlignment="1" applyProtection="1">
      <alignment horizontal="center"/>
    </xf>
    <xf numFmtId="0" fontId="0" fillId="12" borderId="1" xfId="0" applyFont="1" applyFill="1" applyBorder="1"/>
    <xf numFmtId="167" fontId="0" fillId="0" borderId="0" xfId="0" applyNumberFormat="1"/>
    <xf numFmtId="0" fontId="62" fillId="13" borderId="6" xfId="0" applyFont="1" applyFill="1" applyBorder="1" applyAlignment="1">
      <alignment horizontal="center"/>
    </xf>
    <xf numFmtId="167" fontId="67" fillId="14" borderId="1" xfId="1" applyNumberFormat="1" applyFont="1" applyFill="1" applyBorder="1" applyAlignment="1" applyProtection="1"/>
    <xf numFmtId="167" fontId="67" fillId="13" borderId="7" xfId="1" applyNumberFormat="1" applyFont="1" applyFill="1" applyBorder="1" applyAlignment="1" applyProtection="1"/>
    <xf numFmtId="164" fontId="67" fillId="14" borderId="1" xfId="1" applyNumberFormat="1" applyFont="1" applyFill="1" applyBorder="1" applyAlignment="1" applyProtection="1"/>
    <xf numFmtId="164" fontId="67" fillId="13" borderId="7" xfId="1" applyNumberFormat="1" applyFont="1" applyFill="1" applyBorder="1" applyAlignment="1" applyProtection="1"/>
    <xf numFmtId="164" fontId="67" fillId="0" borderId="1" xfId="1" applyNumberFormat="1" applyFont="1" applyFill="1" applyBorder="1" applyAlignment="1" applyProtection="1"/>
    <xf numFmtId="164" fontId="65" fillId="14" borderId="1" xfId="1" applyFont="1" applyFill="1" applyBorder="1" applyAlignment="1" applyProtection="1"/>
    <xf numFmtId="164" fontId="65" fillId="13" borderId="7" xfId="1" applyFont="1" applyFill="1" applyBorder="1" applyAlignment="1" applyProtection="1"/>
    <xf numFmtId="166" fontId="62" fillId="13" borderId="8" xfId="0" applyNumberFormat="1" applyFont="1" applyFill="1" applyBorder="1"/>
    <xf numFmtId="164" fontId="64" fillId="8" borderId="1" xfId="1" applyFont="1" applyFill="1" applyBorder="1" applyAlignment="1" applyProtection="1"/>
    <xf numFmtId="168" fontId="0" fillId="0" borderId="1" xfId="1" applyNumberFormat="1" applyFont="1" applyFill="1" applyBorder="1" applyAlignment="1" applyProtection="1"/>
    <xf numFmtId="167" fontId="62" fillId="11" borderId="1" xfId="1" applyNumberFormat="1" applyFont="1" applyFill="1" applyBorder="1" applyAlignment="1" applyProtection="1"/>
    <xf numFmtId="164" fontId="64" fillId="8" borderId="0" xfId="1" applyFont="1" applyFill="1" applyBorder="1" applyAlignment="1" applyProtection="1"/>
    <xf numFmtId="0" fontId="0" fillId="8" borderId="0" xfId="0" applyFill="1"/>
    <xf numFmtId="0" fontId="70" fillId="0" borderId="0" xfId="0" applyFont="1"/>
    <xf numFmtId="0" fontId="71" fillId="9" borderId="1" xfId="0" applyFont="1" applyFill="1" applyBorder="1" applyAlignment="1">
      <alignment horizontal="center" wrapText="1"/>
    </xf>
    <xf numFmtId="4" fontId="0" fillId="0" borderId="0" xfId="0" applyNumberFormat="1"/>
    <xf numFmtId="0" fontId="72" fillId="8" borderId="9" xfId="0" applyFont="1" applyFill="1" applyBorder="1" applyAlignment="1">
      <alignment horizontal="center"/>
    </xf>
    <xf numFmtId="0" fontId="72" fillId="8" borderId="10" xfId="0" applyFont="1" applyFill="1" applyBorder="1" applyAlignment="1">
      <alignment horizontal="center"/>
    </xf>
    <xf numFmtId="0" fontId="72" fillId="8" borderId="11" xfId="0" applyFont="1" applyFill="1" applyBorder="1" applyAlignment="1">
      <alignment horizontal="center"/>
    </xf>
    <xf numFmtId="0" fontId="0" fillId="0" borderId="9" xfId="0" applyFont="1" applyBorder="1"/>
    <xf numFmtId="164" fontId="0" fillId="0" borderId="10" xfId="1" applyFont="1" applyFill="1" applyBorder="1" applyAlignment="1" applyProtection="1"/>
    <xf numFmtId="16" fontId="0" fillId="0" borderId="11" xfId="1" applyNumberFormat="1" applyFont="1" applyFill="1" applyBorder="1" applyAlignment="1" applyProtection="1"/>
    <xf numFmtId="169" fontId="0" fillId="0" borderId="11" xfId="1" applyNumberFormat="1" applyFont="1" applyFill="1" applyBorder="1" applyAlignment="1" applyProtection="1"/>
    <xf numFmtId="164" fontId="0" fillId="0" borderId="11" xfId="1" applyFont="1" applyFill="1" applyBorder="1" applyAlignment="1" applyProtection="1"/>
    <xf numFmtId="0" fontId="0" fillId="0" borderId="12" xfId="0" applyBorder="1"/>
    <xf numFmtId="164" fontId="0" fillId="0" borderId="13" xfId="1" applyFont="1" applyFill="1" applyBorder="1" applyAlignment="1" applyProtection="1"/>
    <xf numFmtId="164" fontId="0" fillId="0" borderId="14" xfId="1" applyFont="1" applyFill="1" applyBorder="1" applyAlignment="1" applyProtection="1"/>
    <xf numFmtId="169" fontId="0" fillId="0" borderId="14" xfId="1" applyNumberFormat="1" applyFont="1" applyFill="1" applyBorder="1" applyAlignment="1" applyProtection="1"/>
    <xf numFmtId="0" fontId="0" fillId="0" borderId="15" xfId="0" applyFont="1" applyBorder="1" applyAlignment="1"/>
    <xf numFmtId="164" fontId="0" fillId="0" borderId="16" xfId="0" applyNumberFormat="1" applyBorder="1" applyAlignment="1"/>
    <xf numFmtId="164" fontId="0" fillId="5" borderId="5" xfId="1" applyFont="1" applyFill="1" applyBorder="1" applyAlignment="1" applyProtection="1"/>
    <xf numFmtId="164" fontId="0" fillId="0" borderId="16" xfId="1" applyFont="1" applyFill="1" applyBorder="1" applyAlignment="1" applyProtection="1"/>
    <xf numFmtId="169" fontId="0" fillId="5" borderId="5" xfId="1" applyNumberFormat="1" applyFont="1" applyFill="1" applyBorder="1" applyAlignment="1" applyProtection="1"/>
    <xf numFmtId="164" fontId="73" fillId="0" borderId="1" xfId="1" applyFont="1" applyFill="1" applyBorder="1" applyAlignment="1" applyProtection="1"/>
    <xf numFmtId="16" fontId="73" fillId="0" borderId="1" xfId="0" applyNumberFormat="1" applyFont="1" applyBorder="1"/>
    <xf numFmtId="16" fontId="0" fillId="0" borderId="1" xfId="0" applyNumberFormat="1" applyFont="1" applyBorder="1"/>
    <xf numFmtId="166" fontId="64" fillId="5" borderId="1" xfId="0" applyNumberFormat="1" applyFont="1" applyFill="1" applyBorder="1"/>
    <xf numFmtId="166" fontId="67" fillId="10" borderId="1" xfId="0" applyNumberFormat="1" applyFont="1" applyFill="1" applyBorder="1"/>
    <xf numFmtId="164" fontId="62" fillId="11" borderId="1" xfId="1" applyNumberFormat="1" applyFont="1" applyFill="1" applyBorder="1" applyAlignment="1" applyProtection="1"/>
    <xf numFmtId="170" fontId="0" fillId="0" borderId="1" xfId="1" applyNumberFormat="1" applyFont="1" applyFill="1" applyBorder="1" applyAlignment="1" applyProtection="1"/>
    <xf numFmtId="10" fontId="0" fillId="0" borderId="1" xfId="2" applyNumberFormat="1" applyFont="1" applyFill="1" applyBorder="1" applyAlignment="1" applyProtection="1"/>
    <xf numFmtId="171" fontId="0" fillId="0" borderId="10" xfId="1" applyNumberFormat="1" applyFont="1" applyFill="1" applyBorder="1" applyAlignment="1" applyProtection="1"/>
    <xf numFmtId="12" fontId="0" fillId="0" borderId="11" xfId="1" applyNumberFormat="1" applyFont="1" applyFill="1" applyBorder="1" applyAlignment="1" applyProtection="1"/>
    <xf numFmtId="0" fontId="74" fillId="0" borderId="0" xfId="0" applyFont="1" applyAlignment="1">
      <alignment wrapText="1"/>
    </xf>
    <xf numFmtId="171" fontId="0" fillId="0" borderId="16" xfId="1" applyNumberFormat="1" applyFont="1" applyFill="1" applyBorder="1" applyAlignment="1" applyProtection="1"/>
    <xf numFmtId="14" fontId="0" fillId="0" borderId="11" xfId="1" applyNumberFormat="1" applyFont="1" applyFill="1" applyBorder="1" applyAlignment="1" applyProtection="1"/>
    <xf numFmtId="14" fontId="0" fillId="0" borderId="14" xfId="1" applyNumberFormat="1" applyFont="1" applyFill="1" applyBorder="1" applyAlignment="1" applyProtection="1"/>
    <xf numFmtId="0" fontId="54" fillId="0" borderId="0" xfId="0" applyFont="1"/>
    <xf numFmtId="16" fontId="0" fillId="0" borderId="9" xfId="0" applyNumberFormat="1" applyBorder="1"/>
    <xf numFmtId="172" fontId="0" fillId="0" borderId="11" xfId="1" applyNumberFormat="1" applyFont="1" applyFill="1" applyBorder="1" applyAlignment="1" applyProtection="1"/>
    <xf numFmtId="16" fontId="0" fillId="0" borderId="12" xfId="0" applyNumberFormat="1" applyBorder="1"/>
    <xf numFmtId="172" fontId="0" fillId="0" borderId="14" xfId="1" applyNumberFormat="1" applyFont="1" applyFill="1" applyBorder="1" applyAlignment="1" applyProtection="1"/>
    <xf numFmtId="166" fontId="64" fillId="0" borderId="0" xfId="0" applyNumberFormat="1" applyFont="1" applyFill="1" applyBorder="1"/>
    <xf numFmtId="164" fontId="54" fillId="0" borderId="1" xfId="1" applyFont="1" applyFill="1" applyBorder="1" applyAlignment="1" applyProtection="1"/>
    <xf numFmtId="16" fontId="54" fillId="0" borderId="1" xfId="0" applyNumberFormat="1" applyFont="1" applyBorder="1"/>
    <xf numFmtId="0" fontId="75" fillId="15" borderId="0" xfId="0" applyFont="1" applyFill="1"/>
    <xf numFmtId="0" fontId="74" fillId="15" borderId="0" xfId="0" applyFont="1" applyFill="1"/>
    <xf numFmtId="0" fontId="74" fillId="15" borderId="0" xfId="0" applyFont="1" applyFill="1" applyAlignment="1">
      <alignment wrapText="1"/>
    </xf>
    <xf numFmtId="0" fontId="75" fillId="15" borderId="0" xfId="0" applyFont="1" applyFill="1" applyAlignment="1">
      <alignment horizontal="left" vertical="top" wrapText="1"/>
    </xf>
    <xf numFmtId="0" fontId="75" fillId="15" borderId="0" xfId="0" applyFont="1" applyFill="1" applyAlignment="1">
      <alignment horizontal="right" vertical="top" wrapText="1"/>
    </xf>
    <xf numFmtId="0" fontId="75" fillId="15" borderId="0" xfId="0" applyFont="1" applyFill="1" applyAlignment="1">
      <alignment horizontal="right"/>
    </xf>
    <xf numFmtId="0" fontId="75" fillId="0" borderId="0" xfId="0" applyFont="1" applyAlignment="1">
      <alignment horizontal="left" vertical="top" wrapText="1"/>
    </xf>
    <xf numFmtId="0" fontId="75" fillId="0" borderId="0" xfId="0" applyFont="1"/>
    <xf numFmtId="0" fontId="74" fillId="0" borderId="0" xfId="0" applyFont="1"/>
    <xf numFmtId="0" fontId="75" fillId="0" borderId="0" xfId="0" applyFont="1" applyAlignment="1">
      <alignment horizontal="right" vertical="top" wrapText="1"/>
    </xf>
    <xf numFmtId="0" fontId="75" fillId="0" borderId="0" xfId="0" applyFont="1" applyAlignment="1">
      <alignment horizontal="right"/>
    </xf>
    <xf numFmtId="0" fontId="0" fillId="15" borderId="0" xfId="0" applyFill="1"/>
    <xf numFmtId="164" fontId="0" fillId="0" borderId="13" xfId="1" applyFont="1" applyFill="1" applyBorder="1" applyAlignment="1" applyProtection="1">
      <alignment wrapText="1"/>
    </xf>
    <xf numFmtId="173" fontId="0" fillId="0" borderId="1" xfId="1" applyNumberFormat="1" applyFont="1" applyFill="1" applyBorder="1" applyAlignment="1" applyProtection="1"/>
    <xf numFmtId="16" fontId="63" fillId="0" borderId="1" xfId="0" applyNumberFormat="1" applyFont="1" applyBorder="1"/>
    <xf numFmtId="174" fontId="0" fillId="0" borderId="0" xfId="0" applyNumberFormat="1"/>
    <xf numFmtId="164" fontId="0" fillId="0" borderId="1" xfId="1" applyFont="1" applyFill="1" applyBorder="1" applyAlignment="1" applyProtection="1">
      <alignment wrapText="1"/>
    </xf>
    <xf numFmtId="164" fontId="65" fillId="5" borderId="1" xfId="1" applyFont="1" applyFill="1" applyBorder="1" applyAlignment="1" applyProtection="1"/>
    <xf numFmtId="166" fontId="65" fillId="5" borderId="1" xfId="0" applyNumberFormat="1" applyFont="1" applyFill="1" applyBorder="1"/>
    <xf numFmtId="164" fontId="76" fillId="16" borderId="1" xfId="1" applyFont="1" applyFill="1" applyBorder="1" applyAlignment="1" applyProtection="1"/>
    <xf numFmtId="16" fontId="56" fillId="0" borderId="1" xfId="0" applyNumberFormat="1" applyFont="1" applyBorder="1"/>
    <xf numFmtId="0" fontId="69" fillId="9" borderId="8" xfId="0" applyFont="1" applyFill="1" applyBorder="1" applyAlignment="1">
      <alignment horizontal="center"/>
    </xf>
    <xf numFmtId="164" fontId="77" fillId="0" borderId="1" xfId="1" applyFont="1" applyFill="1" applyBorder="1" applyAlignment="1" applyProtection="1"/>
    <xf numFmtId="0" fontId="0" fillId="17" borderId="1" xfId="0" applyFont="1" applyFill="1" applyBorder="1"/>
    <xf numFmtId="164" fontId="0" fillId="17" borderId="1" xfId="0" applyNumberFormat="1" applyFill="1" applyBorder="1"/>
    <xf numFmtId="0" fontId="78" fillId="18" borderId="1" xfId="0" applyFont="1" applyFill="1" applyBorder="1"/>
    <xf numFmtId="164" fontId="78" fillId="18" borderId="1" xfId="1" applyFont="1" applyFill="1" applyBorder="1" applyAlignment="1" applyProtection="1"/>
    <xf numFmtId="164" fontId="64" fillId="19" borderId="1" xfId="1" applyFont="1" applyFill="1" applyBorder="1" applyAlignment="1" applyProtection="1"/>
    <xf numFmtId="164" fontId="65" fillId="6" borderId="1" xfId="1" applyFont="1" applyFill="1" applyBorder="1" applyAlignment="1" applyProtection="1"/>
    <xf numFmtId="164" fontId="79" fillId="0" borderId="1" xfId="1" applyFont="1" applyFill="1" applyBorder="1" applyAlignment="1" applyProtection="1"/>
    <xf numFmtId="164" fontId="64" fillId="17" borderId="1" xfId="1" applyFont="1" applyFill="1" applyBorder="1" applyAlignment="1" applyProtection="1"/>
    <xf numFmtId="164" fontId="65" fillId="17" borderId="1" xfId="1" applyFont="1" applyFill="1" applyBorder="1" applyAlignment="1" applyProtection="1"/>
    <xf numFmtId="164" fontId="65" fillId="17" borderId="7" xfId="1" applyFont="1" applyFill="1" applyBorder="1" applyAlignment="1" applyProtection="1"/>
    <xf numFmtId="0" fontId="80" fillId="0" borderId="0" xfId="0" applyFont="1" applyBorder="1"/>
    <xf numFmtId="0" fontId="80" fillId="0" borderId="0" xfId="0" applyFont="1"/>
    <xf numFmtId="0" fontId="81" fillId="0" borderId="0" xfId="0" applyFont="1" applyBorder="1"/>
    <xf numFmtId="0" fontId="81" fillId="0" borderId="0" xfId="0" applyFont="1"/>
    <xf numFmtId="0" fontId="80" fillId="0" borderId="0" xfId="0" applyFont="1" applyAlignment="1">
      <alignment horizontal="right"/>
    </xf>
    <xf numFmtId="0" fontId="0" fillId="0" borderId="1" xfId="1" applyNumberFormat="1" applyFont="1" applyFill="1" applyBorder="1" applyAlignment="1" applyProtection="1">
      <alignment horizontal="center"/>
    </xf>
    <xf numFmtId="0" fontId="0" fillId="0" borderId="1" xfId="0" applyNumberFormat="1" applyBorder="1" applyAlignment="1">
      <alignment horizontal="center"/>
    </xf>
    <xf numFmtId="0" fontId="67" fillId="0" borderId="1" xfId="1" applyNumberFormat="1" applyFont="1" applyFill="1" applyBorder="1" applyAlignment="1" applyProtection="1"/>
    <xf numFmtId="0" fontId="82" fillId="0" borderId="0" xfId="0" applyFont="1"/>
    <xf numFmtId="167" fontId="83" fillId="11" borderId="1" xfId="1" applyNumberFormat="1" applyFont="1" applyFill="1" applyBorder="1" applyAlignment="1" applyProtection="1"/>
    <xf numFmtId="175" fontId="0" fillId="0" borderId="0" xfId="2" applyNumberFormat="1" applyFont="1" applyFill="1" applyBorder="1" applyAlignment="1" applyProtection="1"/>
    <xf numFmtId="164" fontId="84" fillId="5" borderId="1" xfId="1" applyFont="1" applyFill="1" applyBorder="1" applyAlignment="1" applyProtection="1"/>
    <xf numFmtId="166" fontId="84" fillId="5" borderId="1" xfId="0" applyNumberFormat="1" applyFont="1" applyFill="1" applyBorder="1"/>
    <xf numFmtId="43" fontId="82" fillId="0" borderId="0" xfId="0" applyNumberFormat="1" applyFont="1"/>
    <xf numFmtId="164" fontId="85" fillId="0" borderId="0" xfId="1"/>
    <xf numFmtId="0" fontId="0" fillId="0" borderId="1" xfId="0" applyBorder="1"/>
    <xf numFmtId="164" fontId="85" fillId="0" borderId="1" xfId="1" applyBorder="1"/>
    <xf numFmtId="0" fontId="67" fillId="21" borderId="1" xfId="1" applyNumberFormat="1" applyFont="1" applyFill="1" applyBorder="1" applyAlignment="1" applyProtection="1"/>
    <xf numFmtId="167" fontId="67" fillId="22" borderId="1" xfId="1" applyNumberFormat="1" applyFont="1" applyFill="1" applyBorder="1" applyAlignment="1" applyProtection="1"/>
    <xf numFmtId="167" fontId="67" fillId="23" borderId="1" xfId="1" applyNumberFormat="1" applyFont="1" applyFill="1" applyBorder="1" applyAlignment="1" applyProtection="1"/>
    <xf numFmtId="43" fontId="0" fillId="0" borderId="0" xfId="0" applyNumberFormat="1"/>
    <xf numFmtId="0" fontId="69" fillId="9" borderId="17" xfId="0" applyFont="1" applyFill="1" applyBorder="1" applyAlignment="1"/>
    <xf numFmtId="164" fontId="87" fillId="9" borderId="0" xfId="1" applyFont="1" applyFill="1" applyBorder="1" applyAlignment="1"/>
    <xf numFmtId="176" fontId="69" fillId="9" borderId="17" xfId="0" applyNumberFormat="1" applyFont="1" applyFill="1" applyBorder="1" applyAlignment="1"/>
    <xf numFmtId="0" fontId="69" fillId="9" borderId="18" xfId="0" applyFont="1" applyFill="1" applyBorder="1" applyAlignment="1"/>
    <xf numFmtId="164" fontId="87" fillId="9" borderId="18" xfId="1" applyFont="1" applyFill="1" applyBorder="1" applyAlignment="1"/>
    <xf numFmtId="43" fontId="0" fillId="0" borderId="18" xfId="0" applyNumberFormat="1" applyBorder="1"/>
    <xf numFmtId="0" fontId="0" fillId="0" borderId="18" xfId="0" applyBorder="1"/>
    <xf numFmtId="176" fontId="69" fillId="9" borderId="18" xfId="0" applyNumberFormat="1" applyFont="1" applyFill="1" applyBorder="1" applyAlignment="1"/>
    <xf numFmtId="164" fontId="85" fillId="0" borderId="1" xfId="1" applyBorder="1" applyAlignment="1">
      <alignment horizontal="center"/>
    </xf>
    <xf numFmtId="164" fontId="88" fillId="24" borderId="1" xfId="1" applyFont="1" applyFill="1" applyBorder="1" applyAlignment="1" applyProtection="1"/>
    <xf numFmtId="164" fontId="88" fillId="22" borderId="1" xfId="1" applyFont="1" applyFill="1" applyBorder="1" applyAlignment="1" applyProtection="1"/>
    <xf numFmtId="0" fontId="89" fillId="0" borderId="0" xfId="0" applyFont="1"/>
    <xf numFmtId="164" fontId="64" fillId="8" borderId="7" xfId="1" applyFont="1" applyFill="1" applyBorder="1" applyAlignment="1" applyProtection="1"/>
    <xf numFmtId="164" fontId="54" fillId="0" borderId="7" xfId="1" applyFont="1" applyFill="1" applyBorder="1" applyAlignment="1" applyProtection="1"/>
    <xf numFmtId="164" fontId="54" fillId="0" borderId="19" xfId="1" applyFont="1" applyFill="1" applyBorder="1" applyAlignment="1" applyProtection="1"/>
    <xf numFmtId="164" fontId="86" fillId="0" borderId="26" xfId="3" applyNumberFormat="1"/>
    <xf numFmtId="0" fontId="86" fillId="0" borderId="26" xfId="3"/>
    <xf numFmtId="0" fontId="69" fillId="9" borderId="20" xfId="0" applyFont="1" applyFill="1" applyBorder="1" applyAlignment="1"/>
    <xf numFmtId="164" fontId="90" fillId="9" borderId="20" xfId="1" applyFont="1" applyFill="1" applyBorder="1" applyAlignment="1"/>
    <xf numFmtId="164" fontId="85" fillId="0" borderId="0" xfId="1" applyFill="1" applyBorder="1"/>
    <xf numFmtId="0" fontId="62" fillId="9" borderId="1" xfId="0" applyFont="1" applyFill="1" applyBorder="1" applyAlignment="1">
      <alignment horizontal="center"/>
    </xf>
    <xf numFmtId="0" fontId="69" fillId="9" borderId="1" xfId="0" applyFont="1" applyFill="1" applyBorder="1" applyAlignment="1">
      <alignment horizontal="center"/>
    </xf>
    <xf numFmtId="0" fontId="69" fillId="9" borderId="1" xfId="0" applyFont="1" applyFill="1" applyBorder="1" applyAlignment="1">
      <alignment horizontal="center"/>
    </xf>
    <xf numFmtId="0" fontId="62" fillId="9" borderId="1" xfId="0" applyFont="1" applyFill="1" applyBorder="1" applyAlignment="1">
      <alignment horizontal="center"/>
    </xf>
    <xf numFmtId="0" fontId="62" fillId="9" borderId="28" xfId="0" applyFont="1" applyFill="1" applyBorder="1" applyAlignment="1">
      <alignment horizontal="center"/>
    </xf>
    <xf numFmtId="164" fontId="65" fillId="14" borderId="1" xfId="1" applyFont="1" applyFill="1" applyBorder="1" applyAlignment="1" applyProtection="1">
      <alignment wrapText="1"/>
    </xf>
    <xf numFmtId="166" fontId="65" fillId="10" borderId="1" xfId="0" applyNumberFormat="1" applyFont="1" applyFill="1" applyBorder="1" applyAlignment="1">
      <alignment wrapText="1"/>
    </xf>
    <xf numFmtId="0" fontId="62" fillId="9" borderId="29" xfId="0" applyFont="1" applyFill="1" applyBorder="1" applyAlignment="1">
      <alignment horizontal="center"/>
    </xf>
    <xf numFmtId="164" fontId="67" fillId="0" borderId="28" xfId="1" applyFont="1" applyFill="1" applyBorder="1" applyAlignment="1" applyProtection="1"/>
    <xf numFmtId="164" fontId="64" fillId="8" borderId="28" xfId="1" applyFont="1" applyFill="1" applyBorder="1" applyAlignment="1" applyProtection="1"/>
    <xf numFmtId="164" fontId="64" fillId="8" borderId="28" xfId="1" applyFont="1" applyFill="1" applyBorder="1" applyAlignment="1" applyProtection="1">
      <alignment wrapText="1"/>
    </xf>
    <xf numFmtId="165" fontId="62" fillId="9" borderId="27" xfId="0" applyNumberFormat="1" applyFont="1" applyFill="1" applyBorder="1" applyAlignment="1">
      <alignment horizontal="center"/>
    </xf>
    <xf numFmtId="166" fontId="67" fillId="0" borderId="27" xfId="0" applyNumberFormat="1" applyFont="1" applyFill="1" applyBorder="1"/>
    <xf numFmtId="166" fontId="65" fillId="10" borderId="27" xfId="0" applyNumberFormat="1" applyFont="1" applyFill="1" applyBorder="1"/>
    <xf numFmtId="166" fontId="65" fillId="10" borderId="27" xfId="0" applyNumberFormat="1" applyFont="1" applyFill="1" applyBorder="1" applyAlignment="1">
      <alignment wrapText="1"/>
    </xf>
    <xf numFmtId="166" fontId="84" fillId="5" borderId="27" xfId="0" applyNumberFormat="1" applyFont="1" applyFill="1" applyBorder="1"/>
    <xf numFmtId="0" fontId="62" fillId="9" borderId="30" xfId="0" applyFont="1" applyFill="1" applyBorder="1" applyAlignment="1">
      <alignment horizontal="center"/>
    </xf>
    <xf numFmtId="0" fontId="62" fillId="9" borderId="31" xfId="0" applyFont="1" applyFill="1" applyBorder="1" applyAlignment="1">
      <alignment horizontal="center"/>
    </xf>
    <xf numFmtId="0" fontId="62" fillId="9" borderId="8" xfId="0" applyFont="1" applyFill="1" applyBorder="1" applyAlignment="1">
      <alignment horizontal="center"/>
    </xf>
    <xf numFmtId="165" fontId="62" fillId="9" borderId="8" xfId="0" applyNumberFormat="1" applyFont="1" applyFill="1" applyBorder="1" applyAlignment="1">
      <alignment horizontal="center"/>
    </xf>
    <xf numFmtId="165" fontId="62" fillId="9" borderId="32" xfId="0" applyNumberFormat="1" applyFont="1" applyFill="1" applyBorder="1" applyAlignment="1">
      <alignment horizontal="center"/>
    </xf>
    <xf numFmtId="177" fontId="62" fillId="11" borderId="1" xfId="0" applyNumberFormat="1" applyFont="1" applyFill="1" applyBorder="1"/>
    <xf numFmtId="164" fontId="91" fillId="8" borderId="28" xfId="1" applyFont="1" applyFill="1" applyBorder="1" applyAlignment="1" applyProtection="1"/>
    <xf numFmtId="164" fontId="92" fillId="14" borderId="1" xfId="1" applyFont="1" applyFill="1" applyBorder="1" applyAlignment="1" applyProtection="1"/>
    <xf numFmtId="0" fontId="62" fillId="9" borderId="1" xfId="0" applyFont="1" applyFill="1" applyBorder="1" applyAlignment="1">
      <alignment horizontal="center"/>
    </xf>
    <xf numFmtId="0" fontId="69" fillId="9" borderId="1" xfId="0" applyFont="1" applyFill="1" applyBorder="1" applyAlignment="1">
      <alignment horizontal="center"/>
    </xf>
    <xf numFmtId="164" fontId="92" fillId="25" borderId="1" xfId="1" applyFont="1" applyFill="1" applyBorder="1" applyAlignment="1" applyProtection="1"/>
    <xf numFmtId="0" fontId="62" fillId="9" borderId="1" xfId="0" applyFont="1" applyFill="1" applyBorder="1" applyAlignment="1">
      <alignment horizontal="center"/>
    </xf>
    <xf numFmtId="0" fontId="69" fillId="9" borderId="1" xfId="0" applyFont="1" applyFill="1" applyBorder="1" applyAlignment="1">
      <alignment horizontal="center"/>
    </xf>
    <xf numFmtId="164" fontId="62" fillId="27" borderId="1" xfId="1" applyFont="1" applyFill="1" applyBorder="1" applyAlignment="1" applyProtection="1"/>
    <xf numFmtId="167" fontId="83" fillId="27" borderId="1" xfId="1" applyNumberFormat="1" applyFont="1" applyFill="1" applyBorder="1" applyAlignment="1" applyProtection="1"/>
    <xf numFmtId="177" fontId="62" fillId="27" borderId="1" xfId="0" applyNumberFormat="1" applyFont="1" applyFill="1" applyBorder="1"/>
    <xf numFmtId="166" fontId="62" fillId="27" borderId="1" xfId="0" applyNumberFormat="1" applyFont="1" applyFill="1" applyBorder="1"/>
    <xf numFmtId="164" fontId="93" fillId="26" borderId="26" xfId="3" applyNumberFormat="1" applyFont="1" applyFill="1" applyAlignment="1" applyProtection="1"/>
    <xf numFmtId="167" fontId="93" fillId="26" borderId="26" xfId="3" applyNumberFormat="1" applyFont="1" applyFill="1" applyAlignment="1" applyProtection="1"/>
    <xf numFmtId="177" fontId="93" fillId="26" borderId="26" xfId="3" applyNumberFormat="1" applyFont="1" applyFill="1"/>
    <xf numFmtId="166" fontId="93" fillId="26" borderId="26" xfId="3" applyNumberFormat="1" applyFont="1" applyFill="1"/>
    <xf numFmtId="0" fontId="62" fillId="9" borderId="1" xfId="0" applyFont="1" applyFill="1" applyBorder="1" applyAlignment="1">
      <alignment horizontal="center"/>
    </xf>
    <xf numFmtId="0" fontId="69" fillId="9" borderId="1" xfId="0" applyFont="1" applyFill="1" applyBorder="1" applyAlignment="1">
      <alignment horizontal="center"/>
    </xf>
    <xf numFmtId="0" fontId="62" fillId="9" borderId="1" xfId="0" applyFont="1" applyFill="1" applyBorder="1" applyAlignment="1">
      <alignment horizontal="center"/>
    </xf>
    <xf numFmtId="0" fontId="69" fillId="9" borderId="1" xfId="0" applyFont="1" applyFill="1" applyBorder="1" applyAlignment="1">
      <alignment horizontal="center"/>
    </xf>
    <xf numFmtId="178" fontId="0" fillId="0" borderId="0" xfId="0" applyNumberFormat="1"/>
    <xf numFmtId="166" fontId="94" fillId="5" borderId="1" xfId="0" applyNumberFormat="1" applyFont="1" applyFill="1" applyBorder="1"/>
    <xf numFmtId="166" fontId="94" fillId="5" borderId="27" xfId="0" applyNumberFormat="1" applyFont="1" applyFill="1" applyBorder="1"/>
    <xf numFmtId="0" fontId="62" fillId="9" borderId="1" xfId="0" applyFont="1" applyFill="1" applyBorder="1" applyAlignment="1">
      <alignment horizontal="center"/>
    </xf>
    <xf numFmtId="164" fontId="85" fillId="0" borderId="26" xfId="1" applyBorder="1"/>
    <xf numFmtId="0" fontId="49" fillId="0" borderId="0" xfId="9"/>
    <xf numFmtId="0" fontId="97" fillId="29" borderId="0" xfId="6"/>
    <xf numFmtId="0" fontId="98" fillId="30" borderId="0" xfId="7"/>
    <xf numFmtId="0" fontId="96" fillId="28" borderId="0" xfId="5"/>
    <xf numFmtId="44" fontId="0" fillId="0" borderId="0" xfId="10" applyFont="1"/>
    <xf numFmtId="0" fontId="100" fillId="32" borderId="26" xfId="3" applyFont="1" applyFill="1"/>
    <xf numFmtId="44" fontId="100" fillId="32" borderId="26" xfId="3" applyNumberFormat="1" applyFont="1" applyFill="1"/>
    <xf numFmtId="7" fontId="0" fillId="0" borderId="0" xfId="10" applyNumberFormat="1" applyFont="1"/>
    <xf numFmtId="0" fontId="99" fillId="31" borderId="0" xfId="8"/>
    <xf numFmtId="44" fontId="99" fillId="31" borderId="0" xfId="8" applyNumberFormat="1"/>
    <xf numFmtId="0" fontId="95" fillId="0" borderId="33" xfId="4"/>
    <xf numFmtId="0" fontId="95" fillId="0" borderId="33" xfId="4" applyAlignment="1">
      <alignment horizontal="center"/>
    </xf>
    <xf numFmtId="44" fontId="102" fillId="34" borderId="34" xfId="10" applyFont="1" applyFill="1" applyBorder="1" applyAlignment="1">
      <alignment horizontal="right" indent="1"/>
    </xf>
    <xf numFmtId="0" fontId="102" fillId="35" borderId="35" xfId="9" applyFont="1" applyFill="1" applyBorder="1" applyAlignment="1">
      <alignment horizontal="left" indent="1"/>
    </xf>
    <xf numFmtId="0" fontId="102" fillId="34" borderId="36" xfId="9" applyFont="1" applyFill="1" applyBorder="1" applyAlignment="1">
      <alignment horizontal="left" indent="1"/>
    </xf>
    <xf numFmtId="0" fontId="102" fillId="34" borderId="35" xfId="9" applyFont="1" applyFill="1" applyBorder="1" applyAlignment="1">
      <alignment horizontal="left" indent="1"/>
    </xf>
    <xf numFmtId="44" fontId="102" fillId="35" borderId="34" xfId="10" applyFont="1" applyFill="1" applyBorder="1" applyAlignment="1">
      <alignment horizontal="right" indent="1"/>
    </xf>
    <xf numFmtId="44" fontId="102" fillId="35" borderId="37" xfId="10" applyFont="1" applyFill="1" applyBorder="1" applyAlignment="1">
      <alignment horizontal="right" indent="1"/>
    </xf>
    <xf numFmtId="0" fontId="102" fillId="35" borderId="36" xfId="9" applyFont="1" applyFill="1" applyBorder="1" applyAlignment="1">
      <alignment horizontal="left" indent="1"/>
    </xf>
    <xf numFmtId="0" fontId="102" fillId="34" borderId="38" xfId="9" applyFont="1" applyFill="1" applyBorder="1" applyAlignment="1">
      <alignment horizontal="left" indent="1"/>
    </xf>
    <xf numFmtId="0" fontId="100" fillId="32" borderId="39" xfId="3" applyFont="1" applyFill="1" applyBorder="1"/>
    <xf numFmtId="44" fontId="100" fillId="32" borderId="39" xfId="3" applyNumberFormat="1" applyFont="1" applyFill="1" applyBorder="1"/>
    <xf numFmtId="0" fontId="104" fillId="36" borderId="40" xfId="9" applyFont="1" applyFill="1" applyBorder="1" applyAlignment="1">
      <alignment horizontal="left" indent="1"/>
    </xf>
    <xf numFmtId="44" fontId="104" fillId="36" borderId="41" xfId="10" applyFont="1" applyFill="1" applyBorder="1" applyAlignment="1">
      <alignment horizontal="right" indent="1"/>
    </xf>
    <xf numFmtId="0" fontId="103" fillId="36" borderId="41" xfId="9" applyFont="1" applyFill="1" applyBorder="1"/>
    <xf numFmtId="0" fontId="103" fillId="36" borderId="42" xfId="5" applyFont="1" applyFill="1" applyBorder="1"/>
    <xf numFmtId="0" fontId="102" fillId="35" borderId="35" xfId="0" applyFont="1" applyFill="1" applyBorder="1"/>
    <xf numFmtId="0" fontId="102" fillId="34" borderId="35" xfId="0" applyFont="1" applyFill="1" applyBorder="1"/>
    <xf numFmtId="0" fontId="102" fillId="35" borderId="36" xfId="0" applyFont="1" applyFill="1" applyBorder="1"/>
    <xf numFmtId="0" fontId="0" fillId="0" borderId="43" xfId="0" applyBorder="1"/>
    <xf numFmtId="44" fontId="0" fillId="0" borderId="43" xfId="1" applyNumberFormat="1" applyFont="1" applyBorder="1"/>
    <xf numFmtId="164" fontId="85" fillId="0" borderId="43" xfId="1" applyBorder="1"/>
    <xf numFmtId="164" fontId="85" fillId="36" borderId="43" xfId="1" applyFill="1" applyBorder="1"/>
    <xf numFmtId="179" fontId="0" fillId="36" borderId="0" xfId="0" applyNumberFormat="1" applyFill="1"/>
    <xf numFmtId="181" fontId="0" fillId="0" borderId="0" xfId="0" applyNumberFormat="1"/>
    <xf numFmtId="180" fontId="0" fillId="36" borderId="0" xfId="0" applyNumberFormat="1" applyFill="1"/>
    <xf numFmtId="182" fontId="0" fillId="36" borderId="0" xfId="11" applyNumberFormat="1" applyFont="1" applyFill="1"/>
    <xf numFmtId="44" fontId="0" fillId="0" borderId="0" xfId="0" applyNumberFormat="1"/>
    <xf numFmtId="44" fontId="0" fillId="0" borderId="0" xfId="1" applyNumberFormat="1" applyFont="1"/>
    <xf numFmtId="164" fontId="0" fillId="0" borderId="10" xfId="1" applyFont="1" applyBorder="1"/>
    <xf numFmtId="164" fontId="85" fillId="0" borderId="10" xfId="1" applyBorder="1"/>
    <xf numFmtId="164" fontId="0" fillId="0" borderId="46" xfId="1" applyFont="1" applyBorder="1"/>
    <xf numFmtId="164" fontId="85" fillId="0" borderId="46" xfId="1" applyBorder="1"/>
    <xf numFmtId="179" fontId="0" fillId="36" borderId="43" xfId="0" applyNumberFormat="1" applyFill="1" applyBorder="1"/>
    <xf numFmtId="179" fontId="0" fillId="0" borderId="43" xfId="0" applyNumberFormat="1" applyBorder="1"/>
    <xf numFmtId="0" fontId="0" fillId="0" borderId="47" xfId="0" applyBorder="1"/>
    <xf numFmtId="9" fontId="0" fillId="0" borderId="47" xfId="0" applyNumberFormat="1" applyBorder="1"/>
    <xf numFmtId="0" fontId="70" fillId="37" borderId="10" xfId="0" applyFont="1" applyFill="1" applyBorder="1" applyAlignment="1">
      <alignment horizontal="center"/>
    </xf>
    <xf numFmtId="0" fontId="70" fillId="41" borderId="10" xfId="0" applyFont="1" applyFill="1" applyBorder="1" applyAlignment="1">
      <alignment horizontal="center"/>
    </xf>
    <xf numFmtId="0" fontId="106" fillId="40" borderId="0" xfId="0" applyFont="1" applyFill="1"/>
    <xf numFmtId="44" fontId="106" fillId="40" borderId="0" xfId="1" applyNumberFormat="1" applyFont="1" applyFill="1"/>
    <xf numFmtId="0" fontId="0" fillId="36" borderId="0" xfId="0" applyFill="1" applyAlignment="1">
      <alignment horizontal="center"/>
    </xf>
    <xf numFmtId="44" fontId="0" fillId="36" borderId="43" xfId="0" applyNumberFormat="1" applyFill="1" applyBorder="1"/>
    <xf numFmtId="44" fontId="0" fillId="0" borderId="43" xfId="0" applyNumberFormat="1" applyBorder="1"/>
    <xf numFmtId="8" fontId="0" fillId="36" borderId="43" xfId="1" applyNumberFormat="1" applyFont="1" applyFill="1" applyBorder="1"/>
    <xf numFmtId="44" fontId="0" fillId="36" borderId="43" xfId="1" applyNumberFormat="1" applyFont="1" applyFill="1" applyBorder="1"/>
    <xf numFmtId="0" fontId="70" fillId="44" borderId="43" xfId="0" applyFont="1" applyFill="1" applyBorder="1" applyAlignment="1"/>
    <xf numFmtId="44" fontId="86" fillId="0" borderId="26" xfId="3" applyNumberFormat="1"/>
    <xf numFmtId="164" fontId="62" fillId="46" borderId="1" xfId="1" applyFont="1" applyFill="1" applyBorder="1" applyAlignment="1" applyProtection="1"/>
    <xf numFmtId="167" fontId="83" fillId="46" borderId="1" xfId="1" applyNumberFormat="1" applyFont="1" applyFill="1" applyBorder="1" applyAlignment="1" applyProtection="1"/>
    <xf numFmtId="177" fontId="62" fillId="46" borderId="1" xfId="0" applyNumberFormat="1" applyFont="1" applyFill="1" applyBorder="1"/>
    <xf numFmtId="166" fontId="62" fillId="46" borderId="1" xfId="0" applyNumberFormat="1" applyFont="1" applyFill="1" applyBorder="1"/>
    <xf numFmtId="164" fontId="86" fillId="0" borderId="26" xfId="3" applyNumberFormat="1" applyFont="1"/>
    <xf numFmtId="164" fontId="54" fillId="0" borderId="26" xfId="1" applyFont="1" applyBorder="1"/>
    <xf numFmtId="0" fontId="70" fillId="37" borderId="10" xfId="0" applyFont="1" applyFill="1" applyBorder="1" applyAlignment="1">
      <alignment horizontal="center"/>
    </xf>
    <xf numFmtId="0" fontId="48" fillId="0" borderId="0" xfId="9" applyFont="1"/>
    <xf numFmtId="14" fontId="0" fillId="0" borderId="43" xfId="0" applyNumberFormat="1" applyBorder="1"/>
    <xf numFmtId="14" fontId="0" fillId="36" borderId="43" xfId="0" applyNumberFormat="1" applyFill="1" applyBorder="1"/>
    <xf numFmtId="0" fontId="47" fillId="0" borderId="0" xfId="9" applyFont="1"/>
    <xf numFmtId="0" fontId="46" fillId="0" borderId="0" xfId="9" applyFont="1"/>
    <xf numFmtId="0" fontId="45" fillId="0" borderId="0" xfId="9" applyFont="1"/>
    <xf numFmtId="0" fontId="44" fillId="0" borderId="0" xfId="9" applyFont="1"/>
    <xf numFmtId="0" fontId="43" fillId="0" borderId="0" xfId="9" applyFont="1"/>
    <xf numFmtId="0" fontId="102" fillId="34" borderId="48" xfId="0" applyFont="1" applyFill="1" applyBorder="1"/>
    <xf numFmtId="0" fontId="42" fillId="0" borderId="0" xfId="9" applyFont="1"/>
    <xf numFmtId="9" fontId="0" fillId="0" borderId="43" xfId="2" applyFont="1" applyBorder="1"/>
    <xf numFmtId="9" fontId="0" fillId="0" borderId="43" xfId="0" applyNumberFormat="1" applyBorder="1"/>
    <xf numFmtId="0" fontId="41" fillId="0" borderId="0" xfId="9" applyFont="1"/>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40" fillId="0" borderId="0" xfId="9" applyFont="1"/>
    <xf numFmtId="16" fontId="0" fillId="0" borderId="10" xfId="0" applyNumberFormat="1" applyBorder="1"/>
    <xf numFmtId="44" fontId="49" fillId="0" borderId="0" xfId="9" applyNumberFormat="1"/>
    <xf numFmtId="0" fontId="102" fillId="34" borderId="50" xfId="0" applyFont="1" applyFill="1" applyBorder="1"/>
    <xf numFmtId="0" fontId="99" fillId="31" borderId="51" xfId="8" applyBorder="1"/>
    <xf numFmtId="44" fontId="99" fillId="31" borderId="51" xfId="8" applyNumberFormat="1" applyBorder="1"/>
    <xf numFmtId="164" fontId="107" fillId="8" borderId="28" xfId="1" applyFont="1" applyFill="1" applyBorder="1" applyAlignment="1" applyProtection="1"/>
    <xf numFmtId="164" fontId="108" fillId="14" borderId="1" xfId="1" applyFont="1" applyFill="1" applyBorder="1" applyAlignment="1" applyProtection="1"/>
    <xf numFmtId="43" fontId="89" fillId="0" borderId="0" xfId="0" applyNumberFormat="1" applyFont="1"/>
    <xf numFmtId="0" fontId="102" fillId="34" borderId="36" xfId="0" applyFont="1" applyFill="1" applyBorder="1"/>
    <xf numFmtId="164" fontId="86" fillId="0" borderId="39" xfId="3" applyNumberFormat="1" applyFont="1" applyBorder="1"/>
    <xf numFmtId="164" fontId="54" fillId="0" borderId="39" xfId="1" applyFont="1" applyBorder="1"/>
    <xf numFmtId="164" fontId="109" fillId="8" borderId="28" xfId="1" applyFont="1" applyFill="1" applyBorder="1" applyAlignment="1" applyProtection="1"/>
    <xf numFmtId="164" fontId="110" fillId="14" borderId="1" xfId="1" applyFont="1" applyFill="1" applyBorder="1" applyAlignment="1" applyProtection="1"/>
    <xf numFmtId="164" fontId="111" fillId="8" borderId="28" xfId="1" applyFont="1" applyFill="1" applyBorder="1" applyAlignment="1" applyProtection="1"/>
    <xf numFmtId="164" fontId="112" fillId="14" borderId="1" xfId="1" applyFont="1" applyFill="1" applyBorder="1" applyAlignment="1" applyProtection="1"/>
    <xf numFmtId="0" fontId="38" fillId="0" borderId="0" xfId="9" applyFont="1"/>
    <xf numFmtId="164" fontId="113" fillId="8" borderId="28" xfId="1" applyFont="1" applyFill="1" applyBorder="1" applyAlignment="1" applyProtection="1"/>
    <xf numFmtId="164" fontId="114" fillId="14" borderId="1" xfId="1" applyFont="1" applyFill="1" applyBorder="1" applyAlignment="1" applyProtection="1"/>
    <xf numFmtId="0" fontId="102" fillId="35" borderId="50" xfId="0" applyFont="1" applyFill="1" applyBorder="1"/>
    <xf numFmtId="167" fontId="115" fillId="14" borderId="1" xfId="1" applyNumberFormat="1" applyFont="1" applyFill="1" applyBorder="1" applyAlignment="1" applyProtection="1"/>
    <xf numFmtId="16" fontId="0" fillId="49" borderId="0" xfId="0" applyNumberFormat="1" applyFill="1"/>
    <xf numFmtId="164" fontId="116" fillId="8" borderId="28" xfId="1" applyFont="1" applyFill="1" applyBorder="1" applyAlignment="1" applyProtection="1"/>
    <xf numFmtId="164" fontId="117" fillId="14" borderId="1" xfId="1" applyFont="1" applyFill="1" applyBorder="1" applyAlignment="1" applyProtection="1"/>
    <xf numFmtId="0" fontId="37" fillId="0" borderId="0" xfId="9" applyFont="1"/>
    <xf numFmtId="0" fontId="36" fillId="0" borderId="0" xfId="9" applyFont="1"/>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35" fillId="0" borderId="0" xfId="9" applyFont="1"/>
    <xf numFmtId="0" fontId="85" fillId="0" borderId="10" xfId="1" applyNumberFormat="1" applyBorder="1"/>
    <xf numFmtId="0" fontId="70" fillId="50" borderId="10" xfId="0" applyFont="1" applyFill="1" applyBorder="1" applyAlignment="1">
      <alignment horizontal="center"/>
    </xf>
    <xf numFmtId="164" fontId="119" fillId="8" borderId="28" xfId="1" applyFont="1" applyFill="1" applyBorder="1" applyAlignment="1" applyProtection="1"/>
    <xf numFmtId="164" fontId="120" fillId="14" borderId="1" xfId="1" applyFont="1" applyFill="1" applyBorder="1" applyAlignment="1" applyProtection="1"/>
    <xf numFmtId="0" fontId="121" fillId="52" borderId="53" xfId="0" applyFont="1" applyFill="1" applyBorder="1" applyAlignment="1">
      <alignment horizontal="center" wrapText="1" readingOrder="1"/>
    </xf>
    <xf numFmtId="0" fontId="121" fillId="52" borderId="52" xfId="0" applyFont="1" applyFill="1" applyBorder="1" applyAlignment="1">
      <alignment horizontal="center" wrapText="1" readingOrder="1"/>
    </xf>
    <xf numFmtId="0" fontId="122" fillId="51" borderId="0" xfId="0" applyFont="1" applyFill="1" applyAlignment="1">
      <alignment horizontal="left" vertical="top" readingOrder="1"/>
    </xf>
    <xf numFmtId="4" fontId="122" fillId="51" borderId="0" xfId="0" applyNumberFormat="1" applyFont="1" applyFill="1" applyAlignment="1">
      <alignment horizontal="right" vertical="top" readingOrder="1"/>
    </xf>
    <xf numFmtId="0" fontId="122" fillId="53" borderId="0" xfId="0" applyFont="1" applyFill="1" applyAlignment="1">
      <alignment horizontal="left" vertical="top" readingOrder="1"/>
    </xf>
    <xf numFmtId="4" fontId="122" fillId="53" borderId="0" xfId="0" applyNumberFormat="1" applyFont="1" applyFill="1" applyAlignment="1">
      <alignment horizontal="right" vertical="top" readingOrder="1"/>
    </xf>
    <xf numFmtId="164" fontId="85" fillId="51" borderId="0" xfId="1" applyFill="1" applyAlignment="1">
      <alignment horizontal="right" vertical="top" readingOrder="1"/>
    </xf>
    <xf numFmtId="164" fontId="85" fillId="53" borderId="0" xfId="1" applyFill="1" applyAlignment="1">
      <alignment horizontal="right" vertical="top" readingOrder="1"/>
    </xf>
    <xf numFmtId="0" fontId="121" fillId="52" borderId="54" xfId="0" applyFont="1" applyFill="1" applyBorder="1" applyAlignment="1">
      <alignment horizontal="center" wrapText="1" readingOrder="1"/>
    </xf>
    <xf numFmtId="0" fontId="122" fillId="47" borderId="0" xfId="0" applyFont="1" applyFill="1" applyAlignment="1">
      <alignment horizontal="left" vertical="top" readingOrder="1"/>
    </xf>
    <xf numFmtId="164" fontId="85" fillId="47" borderId="0" xfId="1" applyFill="1" applyAlignment="1">
      <alignment horizontal="right" vertical="top" readingOrder="1"/>
    </xf>
    <xf numFmtId="10" fontId="85" fillId="0" borderId="0" xfId="2" applyNumberFormat="1"/>
    <xf numFmtId="0" fontId="122" fillId="51" borderId="0" xfId="0" applyFont="1" applyFill="1" applyAlignment="1">
      <alignment horizontal="center" vertical="top" readingOrder="1"/>
    </xf>
    <xf numFmtId="0" fontId="122" fillId="53" borderId="0" xfId="0" applyFont="1" applyFill="1" applyAlignment="1">
      <alignment horizontal="center" vertical="top" readingOrder="1"/>
    </xf>
    <xf numFmtId="0" fontId="124" fillId="33" borderId="0" xfId="0" applyFont="1" applyFill="1"/>
    <xf numFmtId="164" fontId="124" fillId="33" borderId="0" xfId="1" applyFont="1" applyFill="1"/>
    <xf numFmtId="164" fontId="124" fillId="33" borderId="0" xfId="1" applyFont="1" applyFill="1" applyBorder="1" applyAlignment="1">
      <alignment horizontal="right" wrapText="1" readingOrder="1"/>
    </xf>
    <xf numFmtId="10" fontId="124" fillId="33" borderId="0" xfId="0" applyNumberFormat="1" applyFont="1" applyFill="1"/>
    <xf numFmtId="16" fontId="0" fillId="49" borderId="43" xfId="0" applyNumberFormat="1" applyFill="1" applyBorder="1"/>
    <xf numFmtId="164" fontId="85" fillId="0" borderId="43" xfId="1" applyFill="1" applyBorder="1"/>
    <xf numFmtId="0" fontId="118" fillId="33" borderId="26" xfId="3" applyFont="1" applyFill="1"/>
    <xf numFmtId="164" fontId="118" fillId="33" borderId="26" xfId="3" applyNumberFormat="1" applyFont="1" applyFill="1" applyAlignment="1">
      <alignment horizontal="right" wrapText="1" readingOrder="1"/>
    </xf>
    <xf numFmtId="10" fontId="0" fillId="0" borderId="43" xfId="0" applyNumberFormat="1" applyBorder="1"/>
    <xf numFmtId="10" fontId="85" fillId="47" borderId="0" xfId="2" applyNumberFormat="1" applyFill="1"/>
    <xf numFmtId="43" fontId="0" fillId="47" borderId="0" xfId="0" applyNumberFormat="1" applyFill="1"/>
    <xf numFmtId="183" fontId="122" fillId="51" borderId="0" xfId="0" applyNumberFormat="1" applyFont="1" applyFill="1" applyAlignment="1">
      <alignment horizontal="center" vertical="top" readingOrder="1"/>
    </xf>
    <xf numFmtId="183" fontId="122" fillId="53" borderId="0" xfId="0" applyNumberFormat="1" applyFont="1" applyFill="1" applyAlignment="1">
      <alignment horizontal="center" vertical="top" readingOrder="1"/>
    </xf>
    <xf numFmtId="164" fontId="126" fillId="8" borderId="28" xfId="1" applyFont="1" applyFill="1" applyBorder="1" applyAlignment="1" applyProtection="1"/>
    <xf numFmtId="164" fontId="127" fillId="14" borderId="1" xfId="1" applyFont="1" applyFill="1" applyBorder="1" applyAlignment="1" applyProtection="1"/>
    <xf numFmtId="44" fontId="50" fillId="0" borderId="0" xfId="0" applyNumberFormat="1" applyFont="1"/>
    <xf numFmtId="164" fontId="0" fillId="47" borderId="0" xfId="1" applyFont="1" applyFill="1" applyAlignment="1">
      <alignment horizontal="right" vertical="top" readingOrder="1"/>
    </xf>
    <xf numFmtId="0" fontId="128" fillId="57" borderId="0" xfId="0" applyFont="1" applyFill="1" applyBorder="1"/>
    <xf numFmtId="164" fontId="129" fillId="8" borderId="28" xfId="1" applyFont="1" applyFill="1" applyBorder="1" applyAlignment="1" applyProtection="1"/>
    <xf numFmtId="164" fontId="130" fillId="14" borderId="1" xfId="1" applyFont="1" applyFill="1" applyBorder="1" applyAlignment="1" applyProtection="1"/>
    <xf numFmtId="0" fontId="62" fillId="9" borderId="1" xfId="0" applyFont="1" applyFill="1" applyBorder="1" applyAlignment="1">
      <alignment horizontal="center"/>
    </xf>
    <xf numFmtId="164" fontId="131" fillId="8" borderId="28" xfId="1" applyFont="1" applyFill="1" applyBorder="1" applyAlignment="1" applyProtection="1"/>
    <xf numFmtId="164" fontId="132" fillId="14" borderId="1" xfId="1" applyFont="1" applyFill="1" applyBorder="1" applyAlignment="1" applyProtection="1"/>
    <xf numFmtId="0" fontId="99" fillId="31" borderId="55" xfId="8" applyBorder="1"/>
    <xf numFmtId="44" fontId="99" fillId="31" borderId="55" xfId="8" applyNumberFormat="1" applyBorder="1"/>
    <xf numFmtId="0" fontId="104" fillId="36" borderId="56" xfId="9" applyFont="1" applyFill="1" applyBorder="1" applyAlignment="1">
      <alignment horizontal="left" indent="1"/>
    </xf>
    <xf numFmtId="44" fontId="104" fillId="36" borderId="57" xfId="10" applyFont="1" applyFill="1" applyBorder="1" applyAlignment="1">
      <alignment horizontal="right" indent="1"/>
    </xf>
    <xf numFmtId="0" fontId="103" fillId="36" borderId="57" xfId="9" applyFont="1" applyFill="1" applyBorder="1"/>
    <xf numFmtId="0" fontId="103" fillId="36" borderId="58" xfId="5" applyFont="1" applyFill="1" applyBorder="1"/>
    <xf numFmtId="44" fontId="102" fillId="34" borderId="43" xfId="10" applyFont="1" applyFill="1" applyBorder="1" applyAlignment="1">
      <alignment horizontal="right" indent="1"/>
    </xf>
    <xf numFmtId="0" fontId="49" fillId="0" borderId="43" xfId="9" applyBorder="1"/>
    <xf numFmtId="0" fontId="96" fillId="28" borderId="43" xfId="5" applyBorder="1"/>
    <xf numFmtId="0" fontId="102" fillId="0" borderId="43" xfId="0" applyFont="1" applyFill="1" applyBorder="1"/>
    <xf numFmtId="44" fontId="102" fillId="0" borderId="43" xfId="10" applyFont="1" applyFill="1" applyBorder="1" applyAlignment="1">
      <alignment horizontal="right" indent="1"/>
    </xf>
    <xf numFmtId="0" fontId="49" fillId="0" borderId="43" xfId="9" applyFill="1" applyBorder="1"/>
    <xf numFmtId="0" fontId="46" fillId="0" borderId="43" xfId="9" applyFont="1" applyBorder="1"/>
    <xf numFmtId="0" fontId="96" fillId="56" borderId="43" xfId="5" applyFill="1" applyBorder="1"/>
    <xf numFmtId="0" fontId="34" fillId="0" borderId="43" xfId="9" applyFont="1" applyBorder="1"/>
    <xf numFmtId="0" fontId="33" fillId="0" borderId="43" xfId="9" applyFont="1" applyBorder="1"/>
    <xf numFmtId="0" fontId="32" fillId="0" borderId="43" xfId="9" applyFont="1" applyBorder="1"/>
    <xf numFmtId="0" fontId="31" fillId="0" borderId="43" xfId="9" applyFont="1" applyBorder="1"/>
    <xf numFmtId="0" fontId="30" fillId="0" borderId="43" xfId="9" applyFont="1" applyBorder="1"/>
    <xf numFmtId="0" fontId="37" fillId="0" borderId="43" xfId="9" applyFont="1" applyBorder="1"/>
    <xf numFmtId="0" fontId="36" fillId="0" borderId="43" xfId="9" applyFont="1" applyBorder="1"/>
    <xf numFmtId="0" fontId="35" fillId="0" borderId="43" xfId="9" applyFont="1" applyBorder="1"/>
    <xf numFmtId="0" fontId="102" fillId="47" borderId="43" xfId="0" applyFont="1" applyFill="1" applyBorder="1"/>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0" fontId="29" fillId="0" borderId="43" xfId="9" applyFont="1" applyBorder="1"/>
    <xf numFmtId="164" fontId="133" fillId="8" borderId="28" xfId="1" applyFont="1" applyFill="1" applyBorder="1" applyAlignment="1" applyProtection="1"/>
    <xf numFmtId="164" fontId="134" fillId="14" borderId="1" xfId="1" applyFont="1" applyFill="1" applyBorder="1" applyAlignment="1" applyProtection="1"/>
    <xf numFmtId="44" fontId="102" fillId="56" borderId="43" xfId="10" applyFont="1" applyFill="1" applyBorder="1" applyAlignment="1">
      <alignment horizontal="right" indent="1"/>
    </xf>
    <xf numFmtId="0" fontId="49" fillId="56" borderId="43" xfId="9" applyFill="1" applyBorder="1"/>
    <xf numFmtId="0" fontId="30" fillId="56" borderId="43" xfId="9" applyFont="1" applyFill="1" applyBorder="1"/>
    <xf numFmtId="0" fontId="0" fillId="36" borderId="43" xfId="0" applyFill="1" applyBorder="1"/>
    <xf numFmtId="0" fontId="28" fillId="0" borderId="43" xfId="9" applyFont="1" applyBorder="1"/>
    <xf numFmtId="0" fontId="27" fillId="0" borderId="43" xfId="9" applyFont="1" applyBorder="1"/>
    <xf numFmtId="16" fontId="0" fillId="0" borderId="59" xfId="0" applyNumberFormat="1" applyBorder="1" applyAlignment="1"/>
    <xf numFmtId="164" fontId="135" fillId="14" borderId="1" xfId="1" applyFont="1" applyFill="1" applyBorder="1" applyAlignment="1" applyProtection="1"/>
    <xf numFmtId="0" fontId="26" fillId="0" borderId="43" xfId="9" applyFont="1" applyBorder="1"/>
    <xf numFmtId="0" fontId="25" fillId="0" borderId="43" xfId="9" applyFont="1" applyBorder="1"/>
    <xf numFmtId="0" fontId="136" fillId="32" borderId="0" xfId="0" applyFont="1" applyFill="1"/>
    <xf numFmtId="164" fontId="85" fillId="56" borderId="43" xfId="1" applyFill="1" applyBorder="1"/>
    <xf numFmtId="0" fontId="24" fillId="0" borderId="43" xfId="9" applyFont="1" applyBorder="1"/>
    <xf numFmtId="164" fontId="85" fillId="45" borderId="43" xfId="1" applyFill="1" applyBorder="1"/>
    <xf numFmtId="0" fontId="0" fillId="0" borderId="0" xfId="0" applyAlignment="1">
      <alignment horizontal="center"/>
    </xf>
    <xf numFmtId="184" fontId="86" fillId="38" borderId="26" xfId="3" applyNumberFormat="1" applyFill="1" applyAlignment="1"/>
    <xf numFmtId="164" fontId="85" fillId="38" borderId="26" xfId="1" applyFill="1" applyBorder="1" applyAlignment="1"/>
    <xf numFmtId="0" fontId="137" fillId="32" borderId="0" xfId="0" applyFont="1" applyFill="1" applyAlignment="1">
      <alignment horizontal="center"/>
    </xf>
    <xf numFmtId="0" fontId="0" fillId="32" borderId="43" xfId="0" applyFill="1" applyBorder="1"/>
    <xf numFmtId="164" fontId="85" fillId="0" borderId="0" xfId="1" applyAlignment="1">
      <alignment horizontal="center"/>
    </xf>
    <xf numFmtId="0" fontId="0" fillId="56" borderId="0" xfId="0" applyFill="1" applyAlignment="1">
      <alignment horizontal="center"/>
    </xf>
    <xf numFmtId="0" fontId="0" fillId="39" borderId="43" xfId="0" applyFill="1" applyBorder="1" applyAlignment="1">
      <alignment horizontal="right"/>
    </xf>
    <xf numFmtId="16" fontId="0" fillId="0" borderId="43" xfId="0" applyNumberFormat="1" applyBorder="1" applyAlignment="1">
      <alignment horizontal="right"/>
    </xf>
    <xf numFmtId="0" fontId="0" fillId="0" borderId="43" xfId="0" applyBorder="1" applyAlignment="1">
      <alignment horizontal="right"/>
    </xf>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164" fontId="139" fillId="8" borderId="28" xfId="1" applyFont="1" applyFill="1" applyBorder="1" applyAlignment="1" applyProtection="1"/>
    <xf numFmtId="164" fontId="140" fillId="14" borderId="1" xfId="1" applyFont="1" applyFill="1" applyBorder="1" applyAlignment="1" applyProtection="1"/>
    <xf numFmtId="0" fontId="23" fillId="56" borderId="43" xfId="9" applyFont="1" applyFill="1" applyBorder="1"/>
    <xf numFmtId="164" fontId="0" fillId="36" borderId="43" xfId="1" applyFont="1" applyFill="1" applyBorder="1"/>
    <xf numFmtId="164" fontId="141" fillId="14" borderId="1" xfId="1" applyFont="1" applyFill="1" applyBorder="1" applyAlignment="1" applyProtection="1"/>
    <xf numFmtId="0" fontId="22" fillId="0" borderId="43" xfId="9" applyFont="1" applyBorder="1"/>
    <xf numFmtId="0" fontId="21" fillId="0" borderId="43" xfId="9" applyFont="1" applyBorder="1"/>
    <xf numFmtId="0" fontId="20" fillId="0" borderId="43" xfId="9" applyFont="1" applyBorder="1"/>
    <xf numFmtId="164" fontId="142" fillId="14" borderId="1" xfId="1" applyFont="1" applyFill="1" applyBorder="1" applyAlignment="1" applyProtection="1"/>
    <xf numFmtId="43" fontId="118" fillId="33" borderId="26" xfId="3" applyNumberFormat="1" applyFont="1" applyFill="1" applyAlignment="1">
      <alignment horizontal="right" wrapText="1" readingOrder="1"/>
    </xf>
    <xf numFmtId="164" fontId="143" fillId="8" borderId="28" xfId="1" applyFont="1" applyFill="1" applyBorder="1" applyAlignment="1" applyProtection="1"/>
    <xf numFmtId="0" fontId="19" fillId="0" borderId="43" xfId="9" applyFont="1" applyBorder="1"/>
    <xf numFmtId="0" fontId="19" fillId="57" borderId="43" xfId="9" applyFont="1" applyFill="1" applyBorder="1"/>
    <xf numFmtId="44" fontId="102" fillId="57" borderId="43" xfId="10" applyFont="1" applyFill="1" applyBorder="1" applyAlignment="1">
      <alignment horizontal="right" indent="1"/>
    </xf>
    <xf numFmtId="0" fontId="35" fillId="57" borderId="43" xfId="9" applyFont="1" applyFill="1" applyBorder="1"/>
    <xf numFmtId="0" fontId="18" fillId="0" borderId="43" xfId="9" applyFont="1" applyBorder="1"/>
    <xf numFmtId="44" fontId="0" fillId="45" borderId="43" xfId="0" applyNumberFormat="1" applyFill="1" applyBorder="1" applyAlignment="1">
      <alignment horizontal="right"/>
    </xf>
    <xf numFmtId="0" fontId="17" fillId="0" borderId="43" xfId="9" applyFont="1" applyBorder="1"/>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0" fontId="16" fillId="56" borderId="43" xfId="9" applyFont="1" applyFill="1" applyBorder="1"/>
    <xf numFmtId="164" fontId="144" fillId="8" borderId="28" xfId="1" applyFont="1" applyFill="1" applyBorder="1" applyAlignment="1" applyProtection="1"/>
    <xf numFmtId="164" fontId="145" fillId="14" borderId="1" xfId="1" applyFont="1" applyFill="1" applyBorder="1" applyAlignment="1" applyProtection="1"/>
    <xf numFmtId="0" fontId="15" fillId="0" borderId="43" xfId="9" applyFont="1" applyBorder="1"/>
    <xf numFmtId="164" fontId="146" fillId="8" borderId="28" xfId="1" applyFont="1" applyFill="1" applyBorder="1" applyAlignment="1" applyProtection="1"/>
    <xf numFmtId="164" fontId="147" fillId="14" borderId="1" xfId="1" applyFont="1" applyFill="1" applyBorder="1" applyAlignment="1" applyProtection="1"/>
    <xf numFmtId="164" fontId="148" fillId="0" borderId="43" xfId="1" applyFont="1" applyBorder="1"/>
    <xf numFmtId="164" fontId="149" fillId="8" borderId="28" xfId="1" applyFont="1" applyFill="1" applyBorder="1" applyAlignment="1" applyProtection="1"/>
    <xf numFmtId="164" fontId="150" fillId="14" borderId="1" xfId="1" applyFont="1" applyFill="1" applyBorder="1" applyAlignment="1" applyProtection="1"/>
    <xf numFmtId="0" fontId="14" fillId="0" borderId="43" xfId="9" applyFont="1" applyBorder="1"/>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0" fontId="13" fillId="0" borderId="43" xfId="9" applyFont="1" applyBorder="1"/>
    <xf numFmtId="164" fontId="64" fillId="8" borderId="60" xfId="1" applyNumberFormat="1" applyFont="1" applyFill="1" applyBorder="1" applyAlignment="1"/>
    <xf numFmtId="0" fontId="12" fillId="0" borderId="43" xfId="9" applyFont="1" applyBorder="1"/>
    <xf numFmtId="164" fontId="151" fillId="8" borderId="28" xfId="1" applyFont="1" applyFill="1" applyBorder="1" applyAlignment="1" applyProtection="1"/>
    <xf numFmtId="164" fontId="152" fillId="14" borderId="1" xfId="1" applyNumberFormat="1" applyFont="1" applyFill="1" applyBorder="1" applyAlignment="1" applyProtection="1"/>
    <xf numFmtId="0" fontId="11" fillId="0" borderId="43" xfId="9" applyFont="1" applyBorder="1"/>
    <xf numFmtId="0" fontId="10" fillId="0" borderId="43" xfId="9" applyFont="1" applyBorder="1"/>
    <xf numFmtId="164" fontId="153" fillId="8" borderId="28" xfId="1" applyFont="1" applyFill="1" applyBorder="1" applyAlignment="1" applyProtection="1"/>
    <xf numFmtId="164" fontId="154" fillId="14" borderId="1" xfId="1" applyNumberFormat="1" applyFont="1" applyFill="1" applyBorder="1" applyAlignment="1" applyProtection="1"/>
    <xf numFmtId="0" fontId="9" fillId="0" borderId="43" xfId="9" applyFont="1" applyBorder="1"/>
    <xf numFmtId="164" fontId="155" fillId="8" borderId="28" xfId="1" applyFont="1" applyFill="1" applyBorder="1" applyAlignment="1" applyProtection="1"/>
    <xf numFmtId="164" fontId="156" fillId="14" borderId="1" xfId="1" applyNumberFormat="1" applyFont="1" applyFill="1" applyBorder="1" applyAlignment="1" applyProtection="1"/>
    <xf numFmtId="185" fontId="0" fillId="0" borderId="0" xfId="0" applyNumberFormat="1"/>
    <xf numFmtId="186" fontId="0" fillId="0" borderId="0" xfId="0" applyNumberFormat="1"/>
    <xf numFmtId="0" fontId="8" fillId="0" borderId="43" xfId="9" applyFont="1" applyBorder="1"/>
    <xf numFmtId="164" fontId="65" fillId="14" borderId="1" xfId="1" applyNumberFormat="1" applyFont="1" applyFill="1" applyBorder="1" applyAlignment="1" applyProtection="1"/>
    <xf numFmtId="0" fontId="62" fillId="9" borderId="1" xfId="0" applyFont="1" applyFill="1" applyBorder="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164" fontId="0" fillId="59" borderId="10" xfId="1" applyFont="1" applyFill="1" applyBorder="1"/>
    <xf numFmtId="164" fontId="85" fillId="59" borderId="10" xfId="1" applyFill="1" applyBorder="1"/>
    <xf numFmtId="164" fontId="157" fillId="8" borderId="28" xfId="1" applyFont="1" applyFill="1" applyBorder="1" applyAlignment="1" applyProtection="1"/>
    <xf numFmtId="164" fontId="158" fillId="14" borderId="1" xfId="1" applyNumberFormat="1" applyFont="1" applyFill="1" applyBorder="1" applyAlignment="1" applyProtection="1"/>
    <xf numFmtId="164" fontId="159" fillId="5" borderId="1" xfId="1" applyFont="1" applyFill="1" applyBorder="1" applyAlignment="1" applyProtection="1"/>
    <xf numFmtId="0" fontId="7" fillId="56" borderId="43" xfId="9" applyFont="1" applyFill="1" applyBorder="1"/>
    <xf numFmtId="164" fontId="160" fillId="8" borderId="28" xfId="1" applyFont="1" applyFill="1" applyBorder="1" applyAlignment="1" applyProtection="1"/>
    <xf numFmtId="164" fontId="161" fillId="14" borderId="1" xfId="1" applyNumberFormat="1" applyFont="1" applyFill="1" applyBorder="1" applyAlignment="1" applyProtection="1"/>
    <xf numFmtId="0" fontId="6" fillId="0" borderId="43" xfId="9" applyFont="1" applyBorder="1"/>
    <xf numFmtId="0" fontId="0" fillId="0" borderId="0" xfId="0" applyAlignment="1">
      <alignment horizontal="center"/>
    </xf>
    <xf numFmtId="0" fontId="5" fillId="0" borderId="43" xfId="9" applyFont="1" applyBorder="1"/>
    <xf numFmtId="0" fontId="0" fillId="0" borderId="0" xfId="0" applyAlignment="1">
      <alignment horizontal="center"/>
    </xf>
    <xf numFmtId="0" fontId="4" fillId="0" borderId="43" xfId="9" applyFont="1" applyBorder="1"/>
    <xf numFmtId="164" fontId="162" fillId="8" borderId="28" xfId="1" applyFont="1" applyFill="1" applyBorder="1" applyAlignment="1" applyProtection="1"/>
    <xf numFmtId="164" fontId="163" fillId="14" borderId="1" xfId="1" applyNumberFormat="1" applyFont="1" applyFill="1" applyBorder="1" applyAlignment="1" applyProtection="1"/>
    <xf numFmtId="0" fontId="3" fillId="0" borderId="43" xfId="9" applyFont="1" applyBorder="1"/>
    <xf numFmtId="0" fontId="2" fillId="36" borderId="43" xfId="9" applyFont="1" applyFill="1" applyBorder="1"/>
    <xf numFmtId="44" fontId="102" fillId="36" borderId="43" xfId="10" applyFont="1" applyFill="1" applyBorder="1" applyAlignment="1">
      <alignment horizontal="right" indent="1"/>
    </xf>
    <xf numFmtId="0" fontId="62" fillId="9" borderId="1" xfId="0" applyFont="1" applyFill="1" applyBorder="1" applyAlignment="1">
      <alignment horizontal="center"/>
    </xf>
    <xf numFmtId="0" fontId="67" fillId="0" borderId="28" xfId="1" applyNumberFormat="1" applyFont="1" applyFill="1" applyBorder="1" applyAlignment="1" applyProtection="1">
      <alignment horizontal="left"/>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50" borderId="10" xfId="0" applyFont="1" applyFill="1" applyBorder="1" applyAlignment="1">
      <alignment horizontal="center"/>
    </xf>
    <xf numFmtId="0" fontId="70" fillId="41" borderId="10" xfId="0" applyFont="1" applyFill="1" applyBorder="1" applyAlignment="1">
      <alignment horizontal="center"/>
    </xf>
    <xf numFmtId="0" fontId="121" fillId="52" borderId="43" xfId="0" applyFont="1" applyFill="1" applyBorder="1" applyAlignment="1">
      <alignment horizontal="center" wrapText="1" readingOrder="1"/>
    </xf>
    <xf numFmtId="0" fontId="122" fillId="51" borderId="43" xfId="0" applyFont="1" applyFill="1" applyBorder="1" applyAlignment="1">
      <alignment horizontal="left" vertical="top" readingOrder="1"/>
    </xf>
    <xf numFmtId="164" fontId="85" fillId="51" borderId="43" xfId="1" applyFill="1" applyBorder="1" applyAlignment="1">
      <alignment horizontal="right" vertical="top" readingOrder="1"/>
    </xf>
    <xf numFmtId="10" fontId="85" fillId="0" borderId="43" xfId="2" applyNumberFormat="1" applyBorder="1"/>
    <xf numFmtId="43" fontId="0" fillId="0" borderId="43" xfId="0" applyNumberFormat="1" applyBorder="1"/>
    <xf numFmtId="0" fontId="122" fillId="47" borderId="43" xfId="0" applyFont="1" applyFill="1" applyBorder="1" applyAlignment="1">
      <alignment horizontal="left" vertical="top" readingOrder="1"/>
    </xf>
    <xf numFmtId="164" fontId="0" fillId="47" borderId="43" xfId="1" applyFont="1" applyFill="1" applyBorder="1" applyAlignment="1">
      <alignment horizontal="right" vertical="top" readingOrder="1"/>
    </xf>
    <xf numFmtId="10" fontId="85" fillId="47" borderId="43" xfId="2" applyNumberFormat="1" applyFill="1" applyBorder="1"/>
    <xf numFmtId="43" fontId="0" fillId="47" borderId="43" xfId="0" applyNumberFormat="1" applyFill="1" applyBorder="1"/>
    <xf numFmtId="164" fontId="85" fillId="47" borderId="43" xfId="1" applyFill="1" applyBorder="1" applyAlignment="1">
      <alignment horizontal="right" vertical="top" readingOrder="1"/>
    </xf>
    <xf numFmtId="0" fontId="124" fillId="33" borderId="43" xfId="0" applyFont="1" applyFill="1" applyBorder="1"/>
    <xf numFmtId="164" fontId="124" fillId="33" borderId="43" xfId="1" applyFont="1" applyFill="1" applyBorder="1" applyAlignment="1">
      <alignment horizontal="right" wrapText="1" readingOrder="1"/>
    </xf>
    <xf numFmtId="10" fontId="124" fillId="33" borderId="43" xfId="0" applyNumberFormat="1" applyFont="1" applyFill="1" applyBorder="1"/>
    <xf numFmtId="164" fontId="0" fillId="0" borderId="0" xfId="1" applyFont="1"/>
    <xf numFmtId="0" fontId="1" fillId="0" borderId="43" xfId="9" applyFont="1" applyBorder="1"/>
    <xf numFmtId="0" fontId="0" fillId="0" borderId="0" xfId="0" applyAlignment="1">
      <alignment horizontal="center"/>
    </xf>
    <xf numFmtId="0" fontId="5" fillId="36" borderId="43" xfId="9" applyFont="1" applyFill="1" applyBorder="1"/>
    <xf numFmtId="0" fontId="1" fillId="36" borderId="43" xfId="9" applyFont="1" applyFill="1" applyBorder="1"/>
    <xf numFmtId="0" fontId="28" fillId="36" borderId="43" xfId="9" applyFont="1" applyFill="1" applyBorder="1"/>
    <xf numFmtId="0" fontId="0" fillId="7" borderId="1" xfId="0" applyFont="1" applyFill="1" applyBorder="1" applyAlignment="1">
      <alignment horizontal="center"/>
    </xf>
    <xf numFmtId="0" fontId="50" fillId="2" borderId="1" xfId="0" applyFont="1" applyFill="1" applyBorder="1" applyAlignment="1">
      <alignment horizontal="center"/>
    </xf>
    <xf numFmtId="0" fontId="51" fillId="8" borderId="1" xfId="0" applyFont="1" applyFill="1" applyBorder="1" applyAlignment="1">
      <alignment horizontal="center"/>
    </xf>
    <xf numFmtId="0" fontId="0" fillId="8" borderId="21" xfId="0" applyFont="1" applyFill="1" applyBorder="1" applyAlignment="1">
      <alignment horizontal="center"/>
    </xf>
    <xf numFmtId="0" fontId="0" fillId="8" borderId="1" xfId="0" applyFont="1" applyFill="1" applyBorder="1" applyAlignment="1">
      <alignment horizontal="center"/>
    </xf>
    <xf numFmtId="0" fontId="62" fillId="9" borderId="1" xfId="0" applyFont="1" applyFill="1" applyBorder="1" applyAlignment="1">
      <alignment horizontal="center"/>
    </xf>
    <xf numFmtId="0" fontId="69" fillId="9" borderId="22" xfId="0" applyFont="1" applyFill="1" applyBorder="1" applyAlignment="1">
      <alignment horizontal="center"/>
    </xf>
    <xf numFmtId="0" fontId="72" fillId="14" borderId="23" xfId="0" applyFont="1" applyFill="1" applyBorder="1" applyAlignment="1">
      <alignment horizontal="center"/>
    </xf>
    <xf numFmtId="0" fontId="72" fillId="14" borderId="24" xfId="0" applyFont="1" applyFill="1" applyBorder="1" applyAlignment="1">
      <alignment horizontal="center"/>
    </xf>
    <xf numFmtId="0" fontId="61" fillId="20" borderId="1" xfId="0" applyFont="1" applyFill="1" applyBorder="1" applyAlignment="1">
      <alignment horizontal="center"/>
    </xf>
    <xf numFmtId="0" fontId="69" fillId="9" borderId="25" xfId="0" applyFont="1" applyFill="1" applyBorder="1" applyAlignment="1">
      <alignment horizontal="center"/>
    </xf>
    <xf numFmtId="0" fontId="69" fillId="9" borderId="17" xfId="0" applyFont="1" applyFill="1" applyBorder="1" applyAlignment="1">
      <alignment horizontal="center"/>
    </xf>
    <xf numFmtId="0" fontId="69" fillId="9" borderId="0" xfId="0" applyFont="1" applyFill="1" applyBorder="1" applyAlignment="1">
      <alignment horizontal="center"/>
    </xf>
    <xf numFmtId="0" fontId="69" fillId="9" borderId="1" xfId="0" applyFont="1" applyFill="1" applyBorder="1" applyAlignment="1">
      <alignment horizontal="center"/>
    </xf>
    <xf numFmtId="0" fontId="101" fillId="33" borderId="0" xfId="9" applyFont="1" applyFill="1" applyAlignment="1">
      <alignment horizontal="center"/>
    </xf>
    <xf numFmtId="0" fontId="0" fillId="48" borderId="43" xfId="0" applyFill="1" applyBorder="1" applyAlignment="1">
      <alignment horizontal="center"/>
    </xf>
    <xf numFmtId="0" fontId="86" fillId="0" borderId="26" xfId="3" applyAlignment="1">
      <alignment horizontal="center"/>
    </xf>
    <xf numFmtId="0" fontId="0" fillId="0" borderId="43" xfId="0" applyBorder="1" applyAlignment="1">
      <alignment horizontal="center"/>
    </xf>
    <xf numFmtId="0" fontId="0" fillId="47" borderId="0" xfId="0" applyFill="1" applyAlignment="1">
      <alignment horizontal="center"/>
    </xf>
    <xf numFmtId="0" fontId="70" fillId="37" borderId="10" xfId="0" applyFont="1" applyFill="1" applyBorder="1" applyAlignment="1">
      <alignment horizontal="center"/>
    </xf>
    <xf numFmtId="0" fontId="70" fillId="41" borderId="10" xfId="0" applyFont="1" applyFill="1" applyBorder="1" applyAlignment="1">
      <alignment horizontal="center"/>
    </xf>
    <xf numFmtId="0" fontId="70" fillId="43" borderId="43" xfId="0" applyFont="1" applyFill="1" applyBorder="1" applyAlignment="1">
      <alignment horizontal="center"/>
    </xf>
    <xf numFmtId="0" fontId="70" fillId="42" borderId="43" xfId="0" applyFont="1" applyFill="1" applyBorder="1" applyAlignment="1">
      <alignment horizontal="center"/>
    </xf>
    <xf numFmtId="0" fontId="105" fillId="40" borderId="44" xfId="0" applyFont="1" applyFill="1" applyBorder="1" applyAlignment="1">
      <alignment horizontal="center"/>
    </xf>
    <xf numFmtId="0" fontId="105" fillId="40" borderId="45" xfId="0" applyFont="1" applyFill="1" applyBorder="1" applyAlignment="1">
      <alignment horizontal="center"/>
    </xf>
    <xf numFmtId="0" fontId="70" fillId="45" borderId="43" xfId="0" applyFont="1" applyFill="1" applyBorder="1" applyAlignment="1">
      <alignment horizontal="center"/>
    </xf>
    <xf numFmtId="0" fontId="70" fillId="39" borderId="44" xfId="0" applyFont="1" applyFill="1" applyBorder="1" applyAlignment="1">
      <alignment horizontal="center"/>
    </xf>
    <xf numFmtId="0" fontId="70" fillId="39" borderId="45" xfId="0" applyFont="1" applyFill="1" applyBorder="1" applyAlignment="1">
      <alignment horizontal="center"/>
    </xf>
    <xf numFmtId="0" fontId="0" fillId="47" borderId="43" xfId="0" applyFill="1" applyBorder="1" applyAlignment="1">
      <alignment horizontal="center"/>
    </xf>
    <xf numFmtId="0" fontId="39" fillId="0" borderId="0" xfId="9" applyFont="1" applyAlignment="1">
      <alignment horizontal="left"/>
    </xf>
    <xf numFmtId="0" fontId="39" fillId="0" borderId="49" xfId="9" applyFont="1" applyBorder="1" applyAlignment="1">
      <alignment horizontal="left"/>
    </xf>
    <xf numFmtId="0" fontId="70" fillId="50" borderId="10" xfId="0" applyFont="1" applyFill="1" applyBorder="1" applyAlignment="1">
      <alignment horizontal="center"/>
    </xf>
    <xf numFmtId="0" fontId="123" fillId="54" borderId="0" xfId="0" applyFont="1" applyFill="1" applyBorder="1" applyAlignment="1">
      <alignment horizontal="center"/>
    </xf>
    <xf numFmtId="0" fontId="125" fillId="55" borderId="43" xfId="0" applyFont="1" applyFill="1" applyBorder="1" applyAlignment="1">
      <alignment horizontal="center"/>
    </xf>
    <xf numFmtId="0" fontId="70" fillId="39" borderId="43" xfId="0" applyFont="1" applyFill="1" applyBorder="1" applyAlignment="1">
      <alignment horizontal="center"/>
    </xf>
    <xf numFmtId="0" fontId="70" fillId="45" borderId="44" xfId="0" applyFont="1" applyFill="1" applyBorder="1" applyAlignment="1">
      <alignment horizontal="center"/>
    </xf>
    <xf numFmtId="0" fontId="70" fillId="45" borderId="45" xfId="0" applyFont="1" applyFill="1" applyBorder="1" applyAlignment="1">
      <alignment horizontal="center"/>
    </xf>
    <xf numFmtId="0" fontId="125" fillId="55" borderId="44" xfId="0" applyFont="1" applyFill="1" applyBorder="1" applyAlignment="1">
      <alignment horizontal="center"/>
    </xf>
    <xf numFmtId="0" fontId="125" fillId="55" borderId="45" xfId="0" applyFont="1" applyFill="1" applyBorder="1" applyAlignment="1">
      <alignment horizontal="center"/>
    </xf>
    <xf numFmtId="0" fontId="123" fillId="54" borderId="43" xfId="0" applyFont="1" applyFill="1" applyBorder="1" applyAlignment="1">
      <alignment horizontal="center"/>
    </xf>
    <xf numFmtId="0" fontId="105" fillId="58" borderId="44" xfId="0" applyFont="1" applyFill="1" applyBorder="1" applyAlignment="1">
      <alignment horizontal="center"/>
    </xf>
    <xf numFmtId="0" fontId="105" fillId="58" borderId="45" xfId="0" applyFont="1" applyFill="1" applyBorder="1" applyAlignment="1">
      <alignment horizontal="center"/>
    </xf>
    <xf numFmtId="0" fontId="0" fillId="0" borderId="0" xfId="0" applyAlignment="1">
      <alignment horizontal="center"/>
    </xf>
    <xf numFmtId="184" fontId="86" fillId="38" borderId="26" xfId="3" applyNumberFormat="1" applyFill="1" applyAlignment="1">
      <alignment horizontal="center"/>
    </xf>
    <xf numFmtId="0" fontId="105" fillId="33" borderId="44" xfId="0" applyFont="1" applyFill="1" applyBorder="1" applyAlignment="1">
      <alignment horizontal="center"/>
    </xf>
    <xf numFmtId="0" fontId="105" fillId="33" borderId="45" xfId="0" applyFont="1" applyFill="1" applyBorder="1" applyAlignment="1">
      <alignment horizontal="center"/>
    </xf>
    <xf numFmtId="0" fontId="138" fillId="33" borderId="0" xfId="0" applyFont="1" applyFill="1" applyAlignment="1">
      <alignment horizontal="center"/>
    </xf>
  </cellXfs>
  <cellStyles count="12">
    <cellStyle name="Bom" xfId="5" builtinId="26"/>
    <cellStyle name="Ênfase1" xfId="8" builtinId="29"/>
    <cellStyle name="Incorreto" xfId="6" builtinId="27"/>
    <cellStyle name="Moeda" xfId="1" builtinId="4"/>
    <cellStyle name="Moeda 2" xfId="10"/>
    <cellStyle name="Neutra" xfId="7" builtinId="28"/>
    <cellStyle name="Normal" xfId="0" builtinId="0"/>
    <cellStyle name="Normal 2" xfId="9"/>
    <cellStyle name="Porcentagem" xfId="2" builtinId="5"/>
    <cellStyle name="Separador de milhares" xfId="11" builtinId="3"/>
    <cellStyle name="Título 1" xfId="4" builtinId="16"/>
    <cellStyle name="Total" xfId="3" builtinId="25"/>
  </cellStyles>
  <dxfs count="88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numFmt numFmtId="164" formatCode="_(&quot;R$ &quot;* #,##0.00_);_(&quot;R$ &quot;* \(#,##0.00\);_(&quot;R$ &quot;* \-??_);_(@_)"/>
      <fill>
        <patternFill patternType="solid">
          <fgColor indexed="13"/>
          <bgColor indexed="51"/>
        </patternFill>
      </fill>
      <alignment horizontal="general" vertical="bottom" textRotation="0" wrapText="0" indent="0" relativeIndent="255" justifyLastLine="0" shrinkToFit="0" readingOrder="0"/>
      <border diagonalUp="0" diagonalDown="0" outline="0">
        <left style="thin">
          <color indexed="63"/>
        </left>
        <right style="thin">
          <color indexed="63"/>
        </right>
        <top style="thin">
          <color indexed="63"/>
        </top>
        <bottom style="thin">
          <color indexed="63"/>
        </bottom>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numFmt numFmtId="164" formatCode="_(&quot;R$ &quot;* #,##0.00_);_(&quot;R$ &quot;* \(#,##0.00\);_(&quot;R$ &quot;* \-??_);_(@_)"/>
      <fill>
        <patternFill patternType="solid">
          <fgColor indexed="13"/>
          <bgColor indexed="51"/>
        </patternFill>
      </fill>
      <alignment horizontal="general" vertical="bottom" textRotation="0" wrapText="0" indent="0" relativeIndent="255" justifyLastLine="0" shrinkToFit="0" readingOrder="0"/>
      <border diagonalUp="0" diagonalDown="0" outline="0">
        <left style="thin">
          <color indexed="63"/>
        </left>
        <right style="thin">
          <color indexed="63"/>
        </right>
        <top style="thin">
          <color indexed="63"/>
        </top>
        <bottom style="thin">
          <color indexed="63"/>
        </bottom>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numFmt numFmtId="164" formatCode="_(&quot;R$ &quot;* #,##0.00_);_(&quot;R$ &quot;* \(#,##0.00\);_(&quot;R$ &quot;* \-??_);_(@_)"/>
      <fill>
        <patternFill patternType="solid">
          <fgColor indexed="13"/>
          <bgColor indexed="51"/>
        </patternFill>
      </fill>
      <alignment horizontal="general" vertical="bottom" textRotation="0" wrapText="0" indent="0" relativeIndent="255" justifyLastLine="0" shrinkToFit="0" readingOrder="0"/>
      <border diagonalUp="0" diagonalDown="0" outline="0">
        <left style="thin">
          <color indexed="63"/>
        </left>
        <right style="thin">
          <color indexed="63"/>
        </right>
        <top style="thin">
          <color indexed="63"/>
        </top>
        <bottom style="thin">
          <color indexed="63"/>
        </bottom>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numFmt numFmtId="164" formatCode="_(&quot;R$ &quot;* #,##0.00_);_(&quot;R$ &quot;* \(#,##0.00\);_(&quot;R$ &quot;* \-??_);_(@_)"/>
      <fill>
        <patternFill patternType="solid">
          <fgColor indexed="13"/>
          <bgColor indexed="51"/>
        </patternFill>
      </fill>
      <alignment horizontal="general" vertical="bottom" textRotation="0" wrapText="0" indent="0" relativeIndent="255" justifyLastLine="0" shrinkToFit="0" readingOrder="0"/>
      <border diagonalUp="0" diagonalDown="0" outline="0">
        <left style="thin">
          <color indexed="63"/>
        </left>
        <right style="thin">
          <color indexed="63"/>
        </right>
        <top style="thin">
          <color indexed="63"/>
        </top>
        <bottom style="thin">
          <color indexed="63"/>
        </bottom>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rgb="FF3C3C3C"/>
        </left>
        <right style="thin">
          <color rgb="FF3C3C3C"/>
        </right>
        <top style="thin">
          <color rgb="FF3C3C3C"/>
        </top>
      </border>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indexed="63"/>
        </left>
        <right style="thin">
          <color indexed="63"/>
        </right>
        <top style="thin">
          <color indexed="63"/>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indexed="63"/>
        </left>
        <right style="thin">
          <color indexed="63"/>
        </right>
        <top style="thin">
          <color indexed="63"/>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numFmt numFmtId="166" formatCode="d&quot; de &quot;mmm&quot; de &quot;yy"/>
      <fill>
        <patternFill patternType="solid">
          <fgColor indexed="58"/>
          <bgColor indexed="8"/>
        </patternFill>
      </fill>
      <border diagonalUp="0" diagonalDown="0">
        <left style="thin">
          <color indexed="63"/>
        </left>
        <right style="thin">
          <color indexed="63"/>
        </right>
        <top style="thin">
          <color indexed="63"/>
        </top>
        <bottom style="thin">
          <color indexed="63"/>
        </bottom>
        <vertical/>
        <horizontal/>
      </border>
    </dxf>
    <dxf>
      <font>
        <b/>
        <i val="0"/>
        <strike val="0"/>
        <condense val="0"/>
        <extend val="0"/>
        <outline val="0"/>
        <shadow val="0"/>
        <u val="none"/>
        <vertAlign val="baseline"/>
        <sz val="10"/>
        <color indexed="16"/>
        <name val="Arial"/>
        <scheme val="none"/>
      </font>
      <fill>
        <patternFill patternType="solid">
          <fgColor indexed="58"/>
          <bgColor indexed="8"/>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7"/>
        <name val="Arial"/>
        <scheme val="none"/>
      </font>
      <fill>
        <patternFill patternType="solid">
          <fgColor indexed="13"/>
          <bgColor indexed="51"/>
        </patternFill>
      </fill>
      <alignment horizontal="general" vertical="bottom" textRotation="0" wrapText="0" indent="0" relativeIndent="255"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i val="0"/>
        <strike val="0"/>
        <condense val="0"/>
        <extend val="0"/>
        <outline val="0"/>
        <shadow val="0"/>
        <u val="none"/>
        <vertAlign val="baseline"/>
        <sz val="10"/>
        <color indexed="10"/>
        <name val="Arial"/>
        <scheme val="none"/>
      </font>
      <fill>
        <patternFill patternType="solid">
          <fgColor indexed="26"/>
          <bgColor indexed="43"/>
        </patternFill>
      </fill>
      <alignment horizontal="general" vertical="bottom" textRotation="0" wrapText="0" indent="0" relativeIndent="255" justifyLastLine="0" shrinkToFit="0" readingOrder="0"/>
      <border diagonalUp="0" diagonalDown="0">
        <left/>
        <right style="thin">
          <color indexed="63"/>
        </right>
        <top style="thin">
          <color indexed="63"/>
        </top>
        <bottom style="thin">
          <color indexed="63"/>
        </bottom>
        <vertical/>
        <horizontal/>
      </border>
      <protection locked="1" hidden="0"/>
    </dxf>
    <dxf>
      <border outline="0">
        <left style="thin">
          <color indexed="63"/>
        </left>
        <right style="thin">
          <color indexed="63"/>
        </right>
        <top style="thin">
          <color indexed="63"/>
        </top>
      </border>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mruColors>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autoTitleDeleted val="1"/>
    <c:plotArea>
      <c:layout/>
      <c:pieChart>
        <c:varyColors val="1"/>
        <c:ser>
          <c:idx val="0"/>
          <c:order val="0"/>
          <c:dLbls>
            <c:spPr>
              <a:noFill/>
              <a:ln>
                <a:noFill/>
              </a:ln>
              <a:effectLst/>
            </c:spPr>
            <c:showCatName val="1"/>
            <c:showPercent val="1"/>
            <c:showLeaderLines val="1"/>
            <c:extLst xmlns:c16r2="http://schemas.microsoft.com/office/drawing/2015/06/chart">
              <c:ext xmlns:c15="http://schemas.microsoft.com/office/drawing/2012/chart" uri="{CE6537A1-D6FC-4f65-9D91-7224C49458BB}"/>
            </c:extLst>
          </c:dLbls>
          <c:cat>
            <c:strRef>
              <c:f>'Jul17'!$J$11:$J$14</c:f>
              <c:strCache>
                <c:ptCount val="4"/>
                <c:pt idx="0">
                  <c:v>Tesouro IPCA+ 2019 (NTNB Princ)</c:v>
                </c:pt>
                <c:pt idx="1">
                  <c:v>Tesouro Prefixado 2019 (LTN)</c:v>
                </c:pt>
                <c:pt idx="2">
                  <c:v>Tesouro Prefixado 2023 (LTN)</c:v>
                </c:pt>
                <c:pt idx="3">
                  <c:v>Tesouro Selic 2021 (LFT)</c:v>
                </c:pt>
              </c:strCache>
            </c:strRef>
          </c:cat>
          <c:val>
            <c:numRef>
              <c:f>'Jul17'!$K$11:$K$14</c:f>
              <c:numCache>
                <c:formatCode>_("R$ "* #,##0.00_);_("R$ "* \(#,##0.00\);_("R$ "* \-??_);_(@_)</c:formatCode>
                <c:ptCount val="4"/>
                <c:pt idx="0">
                  <c:v>2447.21</c:v>
                </c:pt>
                <c:pt idx="1">
                  <c:v>1503.32</c:v>
                </c:pt>
                <c:pt idx="2">
                  <c:v>1481.07</c:v>
                </c:pt>
                <c:pt idx="3">
                  <c:v>7923.53</c:v>
                </c:pt>
              </c:numCache>
            </c:numRef>
          </c:val>
          <c:extLst xmlns:c16r2="http://schemas.microsoft.com/office/drawing/2015/06/chart">
            <c:ext xmlns:c16="http://schemas.microsoft.com/office/drawing/2014/chart" uri="{C3380CC4-5D6E-409C-BE32-E72D297353CC}">
              <c16:uniqueId val="{00000000-B3F9-4314-B409-C07B936437E7}"/>
            </c:ext>
          </c:extLst>
        </c:ser>
        <c:dLbls>
          <c:showCatName val="1"/>
          <c:showPercent val="1"/>
        </c:dLbls>
        <c:firstSliceAng val="0"/>
      </c:pieChart>
    </c:plotArea>
    <c:plotVisOnly val="1"/>
    <c:dispBlanksAs val="zero"/>
  </c:chart>
  <c:printSettings>
    <c:headerFooter/>
    <c:pageMargins b="0.78740157499999996" l="0.511811024" r="0.511811024" t="0.78740157499999996" header="0.31496062000003588" footer="0.31496062000003588"/>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101600</xdr:colOff>
      <xdr:row>16</xdr:row>
      <xdr:rowOff>50800</xdr:rowOff>
    </xdr:from>
    <xdr:to>
      <xdr:col>14</xdr:col>
      <xdr:colOff>444500</xdr:colOff>
      <xdr:row>31</xdr:row>
      <xdr:rowOff>88900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ela1" displayName="Tabela1" ref="B2:F54" totalsRowShown="0" tableBorderDxfId="133">
  <autoFilter ref="B2:F54"/>
  <tableColumns count="5">
    <tableColumn id="1" name="Colunas1" dataDxfId="132" dataCellStyle="Moeda"/>
    <tableColumn id="2" name="Colunas2" dataDxfId="131" dataCellStyle="Moeda"/>
    <tableColumn id="4" name="Colunas4" dataDxfId="130" dataCellStyle="Moeda"/>
    <tableColumn id="5" name="Colunas5" dataDxfId="129"/>
    <tableColumn id="6" name="Colunas6" dataDxfId="128"/>
  </tableColumns>
  <tableStyleInfo name="TableStyleMedium2" showFirstColumn="0" showLastColumn="0" showRowStripes="1" showColumnStripes="0"/>
</table>
</file>

<file path=xl/tables/table10.xml><?xml version="1.0" encoding="utf-8"?>
<table xmlns="http://schemas.openxmlformats.org/spreadsheetml/2006/main" id="11" name="Tabela134567891012" displayName="Tabela134567891012" ref="B2:D33" totalsRowShown="0" tableBorderDxfId="42">
  <autoFilter ref="B2:D33"/>
  <tableColumns count="3">
    <tableColumn id="1" name="Colunas1" dataDxfId="41" dataCellStyle="Moeda"/>
    <tableColumn id="2" name="Colunas2" dataDxfId="40" dataCellStyle="Moeda"/>
    <tableColumn id="4" name="Colunas3" dataDxfId="39" dataCellStyle="Moeda"/>
  </tableColumns>
  <tableStyleInfo name="TableStyleMedium2" showFirstColumn="0" showLastColumn="0" showRowStripes="1" showColumnStripes="0"/>
</table>
</file>

<file path=xl/tables/table11.xml><?xml version="1.0" encoding="utf-8"?>
<table xmlns="http://schemas.openxmlformats.org/spreadsheetml/2006/main" id="10" name="Tabela13456789101211" displayName="Tabela13456789101211" ref="B2:D36" totalsRowShown="0" tableBorderDxfId="35">
  <autoFilter ref="B2:D36"/>
  <tableColumns count="3">
    <tableColumn id="1" name="Colunas1" dataDxfId="34" dataCellStyle="Moeda"/>
    <tableColumn id="2" name="Colunas2" dataDxfId="33" dataCellStyle="Moeda"/>
    <tableColumn id="4" name="Colunas3" dataDxfId="32" dataCellStyle="Moeda"/>
  </tableColumns>
  <tableStyleInfo name="TableStyleMedium2" showFirstColumn="0" showLastColumn="0" showRowStripes="1" showColumnStripes="0"/>
</table>
</file>

<file path=xl/tables/table12.xml><?xml version="1.0" encoding="utf-8"?>
<table xmlns="http://schemas.openxmlformats.org/spreadsheetml/2006/main" id="12" name="Tabela1345678910121113" displayName="Tabela1345678910121113" ref="B2:D32" totalsRowShown="0" tableBorderDxfId="27">
  <autoFilter ref="B2:D32"/>
  <tableColumns count="3">
    <tableColumn id="1" name="Colunas1" dataDxfId="26" dataCellStyle="Moeda"/>
    <tableColumn id="2" name="Colunas2" dataDxfId="25" dataCellStyle="Moeda"/>
    <tableColumn id="4" name="Colunas3" dataDxfId="24" dataCellStyle="Moeda"/>
  </tableColumns>
  <tableStyleInfo name="TableStyleMedium2" showFirstColumn="0" showLastColumn="0" showRowStripes="1" showColumnStripes="0"/>
</table>
</file>

<file path=xl/tables/table13.xml><?xml version="1.0" encoding="utf-8"?>
<table xmlns="http://schemas.openxmlformats.org/spreadsheetml/2006/main" id="13" name="Tabela134567891012111314" displayName="Tabela134567891012111314" ref="B2:D38" totalsRowShown="0" tableBorderDxfId="20">
  <autoFilter ref="B2:D38"/>
  <tableColumns count="3">
    <tableColumn id="1" name="Colunas1" dataDxfId="19" dataCellStyle="Moeda"/>
    <tableColumn id="2" name="Colunas2" dataDxfId="18" dataCellStyle="Moeda"/>
    <tableColumn id="4" name="Colunas3" dataDxfId="17" dataCellStyle="Moeda"/>
  </tableColumns>
  <tableStyleInfo name="TableStyleMedium2" showFirstColumn="0" showLastColumn="0" showRowStripes="1" showColumnStripes="0"/>
</table>
</file>

<file path=xl/tables/table14.xml><?xml version="1.0" encoding="utf-8"?>
<table xmlns="http://schemas.openxmlformats.org/spreadsheetml/2006/main" id="14" name="Tabela13456789101211131415" displayName="Tabela13456789101211131415" ref="B2:D32" totalsRowShown="0" tableBorderDxfId="9">
  <autoFilter ref="B2:D32"/>
  <tableColumns count="3">
    <tableColumn id="1" name="Colunas1" dataDxfId="8" dataCellStyle="Moeda"/>
    <tableColumn id="2" name="Colunas2" dataDxfId="7" dataCellStyle="Moeda"/>
    <tableColumn id="4" name="Colunas3" dataDxfId="6" dataCellStyle="Moeda"/>
  </tableColumns>
  <tableStyleInfo name="TableStyleMedium2" showFirstColumn="0" showLastColumn="0" showRowStripes="1" showColumnStripes="0"/>
</table>
</file>

<file path=xl/tables/table2.xml><?xml version="1.0" encoding="utf-8"?>
<table xmlns="http://schemas.openxmlformats.org/spreadsheetml/2006/main" id="2" name="Tabela13" displayName="Tabela13" ref="B2:F42" totalsRowShown="0" tableBorderDxfId="120">
  <autoFilter ref="B2:F42"/>
  <tableColumns count="5">
    <tableColumn id="1" name="Colunas1" dataDxfId="119" dataCellStyle="Moeda"/>
    <tableColumn id="2" name="Colunas2" dataDxfId="118" dataCellStyle="Moeda"/>
    <tableColumn id="4" name="Colunas4" dataDxfId="117" dataCellStyle="Moeda"/>
    <tableColumn id="5" name="Colunas5" dataDxfId="116"/>
    <tableColumn id="6" name="Colunas6" dataDxfId="115"/>
  </tableColumns>
  <tableStyleInfo name="TableStyleMedium2" showFirstColumn="0" showLastColumn="0" showRowStripes="1" showColumnStripes="0"/>
</table>
</file>

<file path=xl/tables/table3.xml><?xml version="1.0" encoding="utf-8"?>
<table xmlns="http://schemas.openxmlformats.org/spreadsheetml/2006/main" id="3" name="Tabela134" displayName="Tabela134" ref="B2:F33" totalsRowShown="0" tableBorderDxfId="111">
  <autoFilter ref="B2:F33"/>
  <tableColumns count="5">
    <tableColumn id="1" name="Colunas1" dataDxfId="110" dataCellStyle="Moeda"/>
    <tableColumn id="2" name="Colunas2" dataDxfId="109" dataCellStyle="Moeda"/>
    <tableColumn id="4" name="Colunas4" dataDxfId="108" dataCellStyle="Moeda"/>
    <tableColumn id="5" name="Colunas5" dataDxfId="107"/>
    <tableColumn id="6" name="Colunas6" dataDxfId="106"/>
  </tableColumns>
  <tableStyleInfo name="TableStyleMedium2" showFirstColumn="0" showLastColumn="0" showRowStripes="1" showColumnStripes="0"/>
</table>
</file>

<file path=xl/tables/table4.xml><?xml version="1.0" encoding="utf-8"?>
<table xmlns="http://schemas.openxmlformats.org/spreadsheetml/2006/main" id="4" name="Tabela1345" displayName="Tabela1345" ref="B2:F31" totalsRowShown="0" tableBorderDxfId="103">
  <autoFilter ref="B2:F31"/>
  <tableColumns count="5">
    <tableColumn id="1" name="Colunas1" dataDxfId="102" dataCellStyle="Moeda"/>
    <tableColumn id="2" name="Colunas2" dataDxfId="101" dataCellStyle="Moeda"/>
    <tableColumn id="4" name="Colunas4" dataDxfId="100" dataCellStyle="Moeda"/>
    <tableColumn id="5" name="Colunas5" dataDxfId="99"/>
    <tableColumn id="6" name="Colunas6" dataDxfId="98"/>
  </tableColumns>
  <tableStyleInfo name="TableStyleMedium2" showFirstColumn="0" showLastColumn="0" showRowStripes="1" showColumnStripes="0"/>
</table>
</file>

<file path=xl/tables/table5.xml><?xml version="1.0" encoding="utf-8"?>
<table xmlns="http://schemas.openxmlformats.org/spreadsheetml/2006/main" id="5" name="Tabela13456" displayName="Tabela13456" ref="B2:F33" totalsRowShown="0" tableBorderDxfId="92">
  <autoFilter ref="B2:F33"/>
  <tableColumns count="5">
    <tableColumn id="1" name="Colunas1" dataDxfId="91" dataCellStyle="Moeda"/>
    <tableColumn id="2" name="Colunas2" dataDxfId="90" dataCellStyle="Moeda"/>
    <tableColumn id="4" name="Colunas4" dataDxfId="89" dataCellStyle="Moeda"/>
    <tableColumn id="5" name="Colunas5" dataDxfId="88"/>
    <tableColumn id="6" name="Colunas6" dataDxfId="87"/>
  </tableColumns>
  <tableStyleInfo name="TableStyleMedium2" showFirstColumn="0" showLastColumn="0" showRowStripes="1" showColumnStripes="0"/>
</table>
</file>

<file path=xl/tables/table6.xml><?xml version="1.0" encoding="utf-8"?>
<table xmlns="http://schemas.openxmlformats.org/spreadsheetml/2006/main" id="6" name="Tabela134567" displayName="Tabela134567" ref="B2:F34" totalsRowShown="0" tableBorderDxfId="83">
  <autoFilter ref="B2:F34"/>
  <tableColumns count="5">
    <tableColumn id="1" name="Colunas1" dataDxfId="82" dataCellStyle="Moeda"/>
    <tableColumn id="2" name="Colunas2" dataDxfId="81" dataCellStyle="Moeda"/>
    <tableColumn id="4" name="Colunas3" dataDxfId="80" dataCellStyle="Moeda"/>
    <tableColumn id="5" name="Colunas4" dataDxfId="79"/>
    <tableColumn id="6" name="Colunas5" dataDxfId="78"/>
  </tableColumns>
  <tableStyleInfo name="TableStyleMedium2" showFirstColumn="0" showLastColumn="0" showRowStripes="1" showColumnStripes="0"/>
</table>
</file>

<file path=xl/tables/table7.xml><?xml version="1.0" encoding="utf-8"?>
<table xmlns="http://schemas.openxmlformats.org/spreadsheetml/2006/main" id="7" name="Tabela1345678" displayName="Tabela1345678" ref="B2:D40" totalsRowShown="0" tableBorderDxfId="74">
  <autoFilter ref="B2:D40"/>
  <tableColumns count="3">
    <tableColumn id="1" name="Colunas1" dataDxfId="73" dataCellStyle="Moeda"/>
    <tableColumn id="2" name="Colunas2" dataDxfId="72" dataCellStyle="Moeda"/>
    <tableColumn id="4" name="Colunas3" dataDxfId="71" dataCellStyle="Moeda"/>
  </tableColumns>
  <tableStyleInfo name="TableStyleMedium2" showFirstColumn="0" showLastColumn="0" showRowStripes="1" showColumnStripes="0"/>
</table>
</file>

<file path=xl/tables/table8.xml><?xml version="1.0" encoding="utf-8"?>
<table xmlns="http://schemas.openxmlformats.org/spreadsheetml/2006/main" id="8" name="Tabela13456789" displayName="Tabela13456789" ref="B2:D36" totalsRowShown="0" tableBorderDxfId="67">
  <autoFilter ref="B2:D36"/>
  <tableColumns count="3">
    <tableColumn id="1" name="Colunas1" dataDxfId="66" dataCellStyle="Moeda"/>
    <tableColumn id="2" name="Colunas2" dataDxfId="65" dataCellStyle="Moeda"/>
    <tableColumn id="4" name="Colunas3" dataDxfId="64" dataCellStyle="Moeda"/>
  </tableColumns>
  <tableStyleInfo name="TableStyleMedium2" showFirstColumn="0" showLastColumn="0" showRowStripes="1" showColumnStripes="0"/>
</table>
</file>

<file path=xl/tables/table9.xml><?xml version="1.0" encoding="utf-8"?>
<table xmlns="http://schemas.openxmlformats.org/spreadsheetml/2006/main" id="9" name="Tabela1345678910" displayName="Tabela1345678910" ref="B2:D39" totalsRowShown="0" tableBorderDxfId="60">
  <autoFilter ref="B2:D39"/>
  <tableColumns count="3">
    <tableColumn id="1" name="Colunas1" dataDxfId="59" dataCellStyle="Moeda"/>
    <tableColumn id="2" name="Colunas2" dataDxfId="58" dataCellStyle="Moeda"/>
    <tableColumn id="4" name="Colunas3" dataDxfId="57" dataCellStyle="Moed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12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4.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6.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8.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3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3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2.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3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3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3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4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8.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0.xml.rels><?xml version="1.0" encoding="UTF-8" standalone="yes"?>
<Relationships xmlns="http://schemas.openxmlformats.org/package/2006/relationships"><Relationship Id="rId13" Type="http://schemas.openxmlformats.org/officeDocument/2006/relationships/hyperlink" Target="http://investing.money.msn.com/investments/stock-price?symbol=/DKKUS" TargetMode="External"/><Relationship Id="rId18" Type="http://schemas.openxmlformats.org/officeDocument/2006/relationships/hyperlink" Target="http://investing.money.msn.com/investments/stock-price?symbol=/INRUS" TargetMode="External"/><Relationship Id="rId26" Type="http://schemas.openxmlformats.org/officeDocument/2006/relationships/hyperlink" Target="http://investing.money.msn.com/investments/stock-price?symbol=/MYRUS" TargetMode="External"/><Relationship Id="rId39" Type="http://schemas.openxmlformats.org/officeDocument/2006/relationships/hyperlink" Target="http://investing.money.msn.com/investments/stock-price?symbol=/THBUS" TargetMode="External"/><Relationship Id="rId3" Type="http://schemas.openxmlformats.org/officeDocument/2006/relationships/hyperlink" Target="http://investing.money.msn.com/investments/stock-price?symbol=/AUDUS" TargetMode="External"/><Relationship Id="rId21" Type="http://schemas.openxmlformats.org/officeDocument/2006/relationships/hyperlink" Target="http://investing.money.msn.com/investments/stock-price?symbol=/JODUS" TargetMode="External"/><Relationship Id="rId34" Type="http://schemas.openxmlformats.org/officeDocument/2006/relationships/hyperlink" Target="http://investing.money.msn.com/investments/stock-price?symbol=/SGDUS" TargetMode="External"/><Relationship Id="rId42" Type="http://schemas.openxmlformats.org/officeDocument/2006/relationships/hyperlink" Target="http://investing.money.msn.com/investments/stock-price?symbol=/VEFUS" TargetMode="External"/><Relationship Id="rId47" Type="http://schemas.openxmlformats.org/officeDocument/2006/relationships/hyperlink" Target="http://advertising.microsoft.com/msn" TargetMode="External"/><Relationship Id="rId50" Type="http://schemas.openxmlformats.org/officeDocument/2006/relationships/hyperlink" Target="http://www.microsoft.com/" TargetMode="External"/><Relationship Id="rId7" Type="http://schemas.openxmlformats.org/officeDocument/2006/relationships/hyperlink" Target="http://investing.money.msn.com/investments/stock-price?symbol=/GBPUS" TargetMode="External"/><Relationship Id="rId12" Type="http://schemas.openxmlformats.org/officeDocument/2006/relationships/hyperlink" Target="http://investing.money.msn.com/investments/stock-price?symbol=/CZKUS" TargetMode="External"/><Relationship Id="rId17" Type="http://schemas.openxmlformats.org/officeDocument/2006/relationships/hyperlink" Target="http://investing.money.msn.com/investments/stock-price?symbol=/HUFUS" TargetMode="External"/><Relationship Id="rId25" Type="http://schemas.openxmlformats.org/officeDocument/2006/relationships/hyperlink" Target="http://investing.money.msn.com/investments/stock-price?symbol=/MADUS" TargetMode="External"/><Relationship Id="rId33" Type="http://schemas.openxmlformats.org/officeDocument/2006/relationships/hyperlink" Target="http://investing.money.msn.com/investments/stock-price?symbol=/SARUS" TargetMode="External"/><Relationship Id="rId38" Type="http://schemas.openxmlformats.org/officeDocument/2006/relationships/hyperlink" Target="http://investing.money.msn.com/investments/stock-price?symbol=/TWDUS" TargetMode="External"/><Relationship Id="rId46" Type="http://schemas.openxmlformats.org/officeDocument/2006/relationships/hyperlink" Target="http://g.msn.com/0TO_/enus" TargetMode="External"/><Relationship Id="rId2" Type="http://schemas.openxmlformats.org/officeDocument/2006/relationships/hyperlink" Target="http://investing.money.msn.com/investments/stock-price?symbol=/ARSUS" TargetMode="External"/><Relationship Id="rId16" Type="http://schemas.openxmlformats.org/officeDocument/2006/relationships/hyperlink" Target="http://investing.money.msn.com/investments/stock-price?symbol=/HKDUS" TargetMode="External"/><Relationship Id="rId20" Type="http://schemas.openxmlformats.org/officeDocument/2006/relationships/hyperlink" Target="http://investing.money.msn.com/investments/stock-price?symbol=/JPYUS" TargetMode="External"/><Relationship Id="rId29" Type="http://schemas.openxmlformats.org/officeDocument/2006/relationships/hyperlink" Target="http://investing.money.msn.com/investments/stock-price?symbol=/OMRUS" TargetMode="External"/><Relationship Id="rId41" Type="http://schemas.openxmlformats.org/officeDocument/2006/relationships/hyperlink" Target="http://investing.money.msn.com/investments/stock-price?symbol=/AEDUS" TargetMode="External"/><Relationship Id="rId1" Type="http://schemas.openxmlformats.org/officeDocument/2006/relationships/hyperlink" Target="http://money.msn.com/" TargetMode="External"/><Relationship Id="rId6" Type="http://schemas.openxmlformats.org/officeDocument/2006/relationships/hyperlink" Target="http://investing.money.msn.com/investments/stock-price?symbol=/BRLUS" TargetMode="External"/><Relationship Id="rId11" Type="http://schemas.openxmlformats.org/officeDocument/2006/relationships/hyperlink" Target="http://investing.money.msn.com/investments/stock-price?symbol=/COPUS" TargetMode="External"/><Relationship Id="rId24" Type="http://schemas.openxmlformats.org/officeDocument/2006/relationships/hyperlink" Target="http://investing.money.msn.com/investments/stock-price?symbol=/KWDUS" TargetMode="External"/><Relationship Id="rId32" Type="http://schemas.openxmlformats.org/officeDocument/2006/relationships/hyperlink" Target="http://investing.money.msn.com/investments/stock-price?symbol=/PKRUS" TargetMode="External"/><Relationship Id="rId37" Type="http://schemas.openxmlformats.org/officeDocument/2006/relationships/hyperlink" Target="http://investing.money.msn.com/investments/stock-price?symbol=/CHFUS" TargetMode="External"/><Relationship Id="rId40" Type="http://schemas.openxmlformats.org/officeDocument/2006/relationships/hyperlink" Target="http://investing.money.msn.com/investments/stock-price?symbol=/TNDUS" TargetMode="External"/><Relationship Id="rId45" Type="http://schemas.openxmlformats.org/officeDocument/2006/relationships/hyperlink" Target="http://go.microsoft.com/fwlink/?LinkId=74170" TargetMode="External"/><Relationship Id="rId5" Type="http://schemas.openxmlformats.org/officeDocument/2006/relationships/hyperlink" Target="http://investing.money.msn.com/investments/stock-price?symbol=/BOBUS" TargetMode="External"/><Relationship Id="rId15" Type="http://schemas.openxmlformats.org/officeDocument/2006/relationships/hyperlink" Target="http://investing.money.msn.com/investments/stock-price?symbol=/EGPUS" TargetMode="External"/><Relationship Id="rId23" Type="http://schemas.openxmlformats.org/officeDocument/2006/relationships/hyperlink" Target="http://investing.money.msn.com/investments/stock-price?symbol=/KRWUS" TargetMode="External"/><Relationship Id="rId28" Type="http://schemas.openxmlformats.org/officeDocument/2006/relationships/hyperlink" Target="http://investing.money.msn.com/investments/stock-price?symbol=/NOKUS" TargetMode="External"/><Relationship Id="rId36" Type="http://schemas.openxmlformats.org/officeDocument/2006/relationships/hyperlink" Target="http://investing.money.msn.com/investments/stock-price?symbol=/SEKUS" TargetMode="External"/><Relationship Id="rId49" Type="http://schemas.openxmlformats.org/officeDocument/2006/relationships/hyperlink" Target="http://g.msn.com/AIPRIV/en-us" TargetMode="External"/><Relationship Id="rId10" Type="http://schemas.openxmlformats.org/officeDocument/2006/relationships/hyperlink" Target="http://investing.money.msn.com/investments/stock-price?symbol=/CNYUS" TargetMode="External"/><Relationship Id="rId19" Type="http://schemas.openxmlformats.org/officeDocument/2006/relationships/hyperlink" Target="http://investing.money.msn.com/investments/stock-price?symbol=/IDRUS" TargetMode="External"/><Relationship Id="rId31" Type="http://schemas.openxmlformats.org/officeDocument/2006/relationships/hyperlink" Target="http://investing.money.msn.com/investments/stock-price?symbol=/PHPUS" TargetMode="External"/><Relationship Id="rId44" Type="http://schemas.openxmlformats.org/officeDocument/2006/relationships/hyperlink" Target="http://officeupdate.microsoft.com/" TargetMode="External"/><Relationship Id="rId4" Type="http://schemas.openxmlformats.org/officeDocument/2006/relationships/hyperlink" Target="http://investing.money.msn.com/investments/stock-price?symbol=/BHDUS" TargetMode="External"/><Relationship Id="rId9" Type="http://schemas.openxmlformats.org/officeDocument/2006/relationships/hyperlink" Target="http://investing.money.msn.com/investments/stock-price?symbol=/CLPUS" TargetMode="External"/><Relationship Id="rId14" Type="http://schemas.openxmlformats.org/officeDocument/2006/relationships/hyperlink" Target="http://investing.money.msn.com/investments/stock-price?symbol=/ECUUS" TargetMode="External"/><Relationship Id="rId22" Type="http://schemas.openxmlformats.org/officeDocument/2006/relationships/hyperlink" Target="http://investing.money.msn.com/investments/stock-price?symbol=/KESUS" TargetMode="External"/><Relationship Id="rId27" Type="http://schemas.openxmlformats.org/officeDocument/2006/relationships/hyperlink" Target="http://investing.money.msn.com/investments/stock-price?symbol=/MXNUS" TargetMode="External"/><Relationship Id="rId30" Type="http://schemas.openxmlformats.org/officeDocument/2006/relationships/hyperlink" Target="http://investing.money.msn.com/investments/stock-price?symbol=/PENUS" TargetMode="External"/><Relationship Id="rId35" Type="http://schemas.openxmlformats.org/officeDocument/2006/relationships/hyperlink" Target="http://investing.money.msn.com/investments/stock-price?symbol=/ZARUS" TargetMode="External"/><Relationship Id="rId43" Type="http://schemas.openxmlformats.org/officeDocument/2006/relationships/hyperlink" Target="http://money.msn.com/" TargetMode="External"/><Relationship Id="rId48" Type="http://schemas.openxmlformats.org/officeDocument/2006/relationships/hyperlink" Target="http://www.msn.com/worldwide.aspx" TargetMode="External"/><Relationship Id="rId8" Type="http://schemas.openxmlformats.org/officeDocument/2006/relationships/hyperlink" Target="http://investing.money.msn.com/investments/stock-price?symbol=/CADUS" TargetMode="External"/></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autoPageBreaks="0"/>
  </sheetPr>
  <dimension ref="B2:M22"/>
  <sheetViews>
    <sheetView showGridLines="0" workbookViewId="0">
      <selection activeCell="G28" activeCellId="1" sqref="G13 G28"/>
    </sheetView>
  </sheetViews>
  <sheetFormatPr defaultColWidth="8.85546875" defaultRowHeight="12.75"/>
  <cols>
    <col min="1" max="1" width="1" customWidth="1"/>
    <col min="2" max="2" width="16" customWidth="1"/>
    <col min="3" max="3" width="16.7109375" style="1" customWidth="1"/>
    <col min="4" max="4" width="10.28515625" customWidth="1"/>
    <col min="5" max="5" width="3" customWidth="1"/>
    <col min="6" max="6" width="12.42578125" customWidth="1"/>
    <col min="7" max="7" width="14.42578125" customWidth="1"/>
    <col min="8" max="8" width="2.140625" customWidth="1"/>
    <col min="9" max="9" width="14.85546875" customWidth="1"/>
    <col min="10" max="10" width="14" customWidth="1"/>
    <col min="11" max="11" width="1.42578125" customWidth="1"/>
    <col min="12" max="12" width="14.85546875" customWidth="1"/>
    <col min="13" max="13" width="13.85546875" customWidth="1"/>
  </cols>
  <sheetData>
    <row r="2" spans="2:13" ht="18">
      <c r="B2" s="575" t="s">
        <v>0</v>
      </c>
      <c r="C2" s="575"/>
      <c r="D2" s="2" t="s">
        <v>1</v>
      </c>
      <c r="I2" s="576" t="s">
        <v>2</v>
      </c>
      <c r="J2" s="576"/>
      <c r="L2" s="576" t="s">
        <v>3</v>
      </c>
      <c r="M2" s="576"/>
    </row>
    <row r="3" spans="2:13" ht="15">
      <c r="B3" s="3" t="s">
        <v>4</v>
      </c>
      <c r="C3" s="4">
        <v>-136.13999999999999</v>
      </c>
      <c r="D3" s="5"/>
      <c r="F3" s="6" t="s">
        <v>5</v>
      </c>
      <c r="G3" s="7">
        <v>3640</v>
      </c>
      <c r="H3" s="8"/>
      <c r="I3" s="9" t="s">
        <v>6</v>
      </c>
      <c r="J3" s="10">
        <v>65000</v>
      </c>
      <c r="L3" s="9" t="s">
        <v>6</v>
      </c>
      <c r="M3" s="10">
        <v>65000</v>
      </c>
    </row>
    <row r="4" spans="2:13">
      <c r="B4" s="11" t="s">
        <v>7</v>
      </c>
      <c r="C4" s="11">
        <v>6.15</v>
      </c>
      <c r="D4" s="12"/>
      <c r="F4" s="13" t="s">
        <v>8</v>
      </c>
      <c r="G4" s="14">
        <f>+G3/2</f>
        <v>1820</v>
      </c>
      <c r="I4" s="9" t="s">
        <v>9</v>
      </c>
      <c r="J4" s="10">
        <f>+J3/2</f>
        <v>32500</v>
      </c>
      <c r="L4" s="9" t="s">
        <v>10</v>
      </c>
      <c r="M4" s="10">
        <v>-25000</v>
      </c>
    </row>
    <row r="5" spans="2:13">
      <c r="B5" s="11" t="s">
        <v>11</v>
      </c>
      <c r="C5" s="11">
        <v>293.37</v>
      </c>
      <c r="D5" s="12"/>
      <c r="I5" s="9" t="s">
        <v>12</v>
      </c>
      <c r="J5" s="10">
        <f>+J4/2</f>
        <v>16250</v>
      </c>
      <c r="L5" s="9" t="s">
        <v>13</v>
      </c>
      <c r="M5" s="10">
        <f>SUM(M3:M4)</f>
        <v>40000</v>
      </c>
    </row>
    <row r="6" spans="2:13">
      <c r="B6" s="15" t="s">
        <v>14</v>
      </c>
      <c r="C6" s="15">
        <v>-15.98</v>
      </c>
      <c r="D6" s="16"/>
      <c r="F6" s="8" t="s">
        <v>15</v>
      </c>
      <c r="G6" s="1">
        <v>300</v>
      </c>
      <c r="I6" s="9" t="s">
        <v>16</v>
      </c>
      <c r="J6" s="10">
        <f>+J4/2</f>
        <v>16250</v>
      </c>
      <c r="K6" s="8"/>
      <c r="L6" s="17"/>
      <c r="M6" s="18"/>
    </row>
    <row r="7" spans="2:13">
      <c r="B7" s="15" t="s">
        <v>17</v>
      </c>
      <c r="C7" s="15">
        <f>-7*3.5</f>
        <v>-24.5</v>
      </c>
      <c r="D7" s="16"/>
      <c r="F7" s="8" t="s">
        <v>18</v>
      </c>
      <c r="G7" s="1">
        <v>50</v>
      </c>
      <c r="I7" s="19"/>
      <c r="J7" s="18"/>
      <c r="K7" s="8"/>
      <c r="L7" s="9" t="s">
        <v>9</v>
      </c>
      <c r="M7" s="10">
        <f>+M5/2</f>
        <v>20000</v>
      </c>
    </row>
    <row r="8" spans="2:13" s="8" customFormat="1">
      <c r="B8" s="15" t="s">
        <v>19</v>
      </c>
      <c r="C8" s="15">
        <v>-506.46</v>
      </c>
      <c r="D8" s="16"/>
      <c r="F8" s="8" t="s">
        <v>20</v>
      </c>
      <c r="G8" s="1">
        <v>15</v>
      </c>
      <c r="H8"/>
      <c r="I8" s="9" t="s">
        <v>10</v>
      </c>
      <c r="J8" s="10">
        <v>-25000</v>
      </c>
      <c r="L8" s="20" t="s">
        <v>12</v>
      </c>
      <c r="M8" s="10">
        <f>+M7/2</f>
        <v>10000</v>
      </c>
    </row>
    <row r="9" spans="2:13" s="8" customFormat="1" ht="15.75">
      <c r="B9" s="21" t="s">
        <v>21</v>
      </c>
      <c r="C9" s="22">
        <f>SUM(C3:C8)</f>
        <v>-383.55999999999995</v>
      </c>
      <c r="D9" s="16">
        <v>38822</v>
      </c>
      <c r="F9" s="8" t="s">
        <v>22</v>
      </c>
      <c r="G9" s="1">
        <f>27</f>
        <v>27</v>
      </c>
      <c r="H9"/>
      <c r="I9" s="9" t="s">
        <v>23</v>
      </c>
      <c r="J9" s="10">
        <f>+J4+J8</f>
        <v>7500</v>
      </c>
      <c r="L9" s="20" t="s">
        <v>16</v>
      </c>
      <c r="M9" s="10">
        <f>+M7/2</f>
        <v>10000</v>
      </c>
    </row>
    <row r="10" spans="2:13" s="8" customFormat="1" ht="15.75">
      <c r="B10" s="23" t="s">
        <v>5</v>
      </c>
      <c r="C10" s="23">
        <v>1017.12</v>
      </c>
      <c r="D10" s="24">
        <v>38838</v>
      </c>
      <c r="F10" s="8" t="s">
        <v>24</v>
      </c>
      <c r="G10" s="1">
        <v>60</v>
      </c>
      <c r="H10"/>
      <c r="L10" s="19"/>
      <c r="M10" s="19"/>
    </row>
    <row r="11" spans="2:13" s="8" customFormat="1" ht="15">
      <c r="B11" s="3" t="s">
        <v>4</v>
      </c>
      <c r="C11" s="3">
        <f>SUM(C9:C10)</f>
        <v>633.56000000000006</v>
      </c>
      <c r="D11" s="5"/>
      <c r="F11" s="8" t="s">
        <v>25</v>
      </c>
      <c r="G11" s="1">
        <f>(50-35.7)*2</f>
        <v>28.599999999999994</v>
      </c>
      <c r="H11"/>
      <c r="L11" s="20" t="s">
        <v>26</v>
      </c>
      <c r="M11" s="10">
        <v>25000</v>
      </c>
    </row>
    <row r="12" spans="2:13" s="8" customFormat="1">
      <c r="B12" s="15" t="s">
        <v>27</v>
      </c>
      <c r="C12" s="15">
        <v>-500</v>
      </c>
      <c r="D12" s="16">
        <v>38838</v>
      </c>
      <c r="F12" s="25">
        <v>0.1</v>
      </c>
      <c r="G12" s="1">
        <f>SUM(G6:G11)*10%</f>
        <v>48.06</v>
      </c>
      <c r="H12"/>
      <c r="L12" s="20" t="s">
        <v>9</v>
      </c>
      <c r="M12" s="10">
        <f>+M11/2</f>
        <v>12500</v>
      </c>
    </row>
    <row r="13" spans="2:13" s="8" customFormat="1">
      <c r="B13" s="15" t="s">
        <v>28</v>
      </c>
      <c r="C13" s="15">
        <v>-698</v>
      </c>
      <c r="D13" s="16">
        <v>38841</v>
      </c>
      <c r="F13" s="25"/>
      <c r="G13" s="1"/>
      <c r="H13"/>
      <c r="L13" s="20" t="s">
        <v>12</v>
      </c>
      <c r="M13" s="10">
        <f>+M12/2</f>
        <v>6250</v>
      </c>
    </row>
    <row r="14" spans="2:13" s="8" customFormat="1" ht="15.75">
      <c r="B14" s="15" t="s">
        <v>29</v>
      </c>
      <c r="C14" s="15">
        <v>-240</v>
      </c>
      <c r="D14" s="16">
        <v>38841</v>
      </c>
      <c r="F14" s="574" t="s">
        <v>30</v>
      </c>
      <c r="G14" s="574"/>
      <c r="H14"/>
      <c r="I14" s="576" t="s">
        <v>31</v>
      </c>
      <c r="J14" s="576"/>
      <c r="L14" s="20" t="s">
        <v>16</v>
      </c>
      <c r="M14" s="10">
        <f>+M12/2</f>
        <v>6250</v>
      </c>
    </row>
    <row r="15" spans="2:13" s="8" customFormat="1">
      <c r="B15" s="15" t="s">
        <v>32</v>
      </c>
      <c r="C15" s="15">
        <v>-50</v>
      </c>
      <c r="D15" s="16">
        <v>38844</v>
      </c>
      <c r="F15" s="9" t="s">
        <v>33</v>
      </c>
      <c r="G15" s="26">
        <f>-260</f>
        <v>-260</v>
      </c>
      <c r="H15"/>
      <c r="I15" s="9" t="s">
        <v>34</v>
      </c>
      <c r="J15" s="10">
        <f>+G3/4</f>
        <v>910</v>
      </c>
      <c r="K15"/>
      <c r="L15"/>
    </row>
    <row r="16" spans="2:13" s="8" customFormat="1">
      <c r="B16" s="15" t="s">
        <v>35</v>
      </c>
      <c r="C16" s="15">
        <v>-130</v>
      </c>
      <c r="D16" s="16">
        <v>38840</v>
      </c>
      <c r="F16" s="9" t="s">
        <v>36</v>
      </c>
      <c r="G16" s="26">
        <f>-160</f>
        <v>-160</v>
      </c>
      <c r="H16"/>
      <c r="I16" s="9" t="s">
        <v>37</v>
      </c>
      <c r="J16" s="10">
        <f>+G3*1.3</f>
        <v>4732</v>
      </c>
      <c r="K16"/>
      <c r="L16"/>
    </row>
    <row r="17" spans="2:12" s="8" customFormat="1">
      <c r="B17" s="15" t="s">
        <v>38</v>
      </c>
      <c r="C17" s="15">
        <v>-260</v>
      </c>
      <c r="D17" s="16">
        <v>38843</v>
      </c>
      <c r="F17" s="9" t="s">
        <v>39</v>
      </c>
      <c r="G17" s="26">
        <v>-1500</v>
      </c>
      <c r="H17"/>
      <c r="I17" s="9" t="s">
        <v>40</v>
      </c>
      <c r="J17" s="10">
        <f>(J16/12)*3</f>
        <v>1183</v>
      </c>
      <c r="K17"/>
      <c r="L17"/>
    </row>
    <row r="18" spans="2:12" s="8" customFormat="1">
      <c r="B18" s="15" t="s">
        <v>41</v>
      </c>
      <c r="C18" s="15">
        <v>-100</v>
      </c>
      <c r="D18" s="16">
        <v>38848</v>
      </c>
      <c r="F18" s="9" t="s">
        <v>42</v>
      </c>
      <c r="G18" s="26">
        <f>-275*3</f>
        <v>-825</v>
      </c>
      <c r="I18" s="9" t="s">
        <v>43</v>
      </c>
      <c r="J18" s="10">
        <f>+(G3/12)*4</f>
        <v>1213.3333333333333</v>
      </c>
    </row>
    <row r="19" spans="2:12" s="8" customFormat="1">
      <c r="B19" s="15" t="s">
        <v>44</v>
      </c>
      <c r="C19" s="15">
        <v>-70</v>
      </c>
      <c r="D19" s="16">
        <v>38848</v>
      </c>
      <c r="F19" s="27" t="s">
        <v>21</v>
      </c>
      <c r="G19" s="28">
        <f>SUM(G15:G18)</f>
        <v>-2745</v>
      </c>
      <c r="I19" s="29" t="s">
        <v>45</v>
      </c>
      <c r="J19" s="30">
        <f>SUM(J15:J18)</f>
        <v>8038.333333333333</v>
      </c>
    </row>
    <row r="20" spans="2:12" s="8" customFormat="1">
      <c r="B20" s="11" t="s">
        <v>9</v>
      </c>
      <c r="C20" s="11">
        <f>+(C17+C16+C8)*(-1)</f>
        <v>896.46</v>
      </c>
      <c r="D20" s="12"/>
      <c r="F20"/>
      <c r="I20"/>
      <c r="J20"/>
    </row>
    <row r="21" spans="2:12" ht="15.75">
      <c r="B21" s="21" t="s">
        <v>45</v>
      </c>
      <c r="C21" s="22">
        <f>SUM(C11:C20)</f>
        <v>-517.98</v>
      </c>
      <c r="D21" s="16"/>
      <c r="F21" s="574" t="s">
        <v>46</v>
      </c>
      <c r="G21" s="574"/>
    </row>
    <row r="22" spans="2:12">
      <c r="C22"/>
      <c r="F22" s="31" t="s">
        <v>47</v>
      </c>
      <c r="G22" s="26">
        <v>979</v>
      </c>
    </row>
  </sheetData>
  <sheetProtection selectLockedCells="1" selectUnlockedCells="1"/>
  <mergeCells count="6">
    <mergeCell ref="F21:G21"/>
    <mergeCell ref="B2:C2"/>
    <mergeCell ref="I2:J2"/>
    <mergeCell ref="L2:M2"/>
    <mergeCell ref="F14:G14"/>
    <mergeCell ref="I14:J14"/>
  </mergeCells>
  <pageMargins left="0.35" right="0.25972222222222224" top="1" bottom="1" header="0.51180555555555551" footer="0.51180555555555551"/>
  <pageSetup firstPageNumber="0" orientation="landscape" horizontalDpi="300" verticalDpi="300"/>
  <headerFooter alignWithMargins="0"/>
</worksheet>
</file>

<file path=xl/worksheets/sheet10.xml><?xml version="1.0" encoding="utf-8"?>
<worksheet xmlns="http://schemas.openxmlformats.org/spreadsheetml/2006/main" xmlns:r="http://schemas.openxmlformats.org/officeDocument/2006/relationships">
  <sheetPr>
    <pageSetUpPr autoPageBreaks="0"/>
  </sheetPr>
  <dimension ref="B2:J38"/>
  <sheetViews>
    <sheetView showGridLines="0" topLeftCell="A10" workbookViewId="0">
      <selection activeCell="H22" activeCellId="1" sqref="G13 H22"/>
    </sheetView>
  </sheetViews>
  <sheetFormatPr defaultColWidth="8.85546875" defaultRowHeight="12.75"/>
  <cols>
    <col min="2" max="2" width="21.85546875" customWidth="1"/>
    <col min="3" max="3" width="19.140625" customWidth="1"/>
    <col min="4" max="4" width="9.42578125" customWidth="1"/>
    <col min="8" max="8" width="19" customWidth="1"/>
    <col min="9" max="9" width="18" customWidth="1"/>
  </cols>
  <sheetData>
    <row r="2" spans="2:10" ht="18">
      <c r="B2" s="579" t="s">
        <v>0</v>
      </c>
      <c r="C2" s="579"/>
      <c r="D2" s="59" t="s">
        <v>1</v>
      </c>
      <c r="E2" s="59" t="s">
        <v>57</v>
      </c>
      <c r="H2" t="s">
        <v>104</v>
      </c>
    </row>
    <row r="3" spans="2:10">
      <c r="B3" s="71" t="s">
        <v>7</v>
      </c>
      <c r="C3" s="71">
        <v>3.34</v>
      </c>
      <c r="D3" s="72"/>
      <c r="E3" s="72"/>
      <c r="H3" s="1">
        <v>4767.33</v>
      </c>
    </row>
    <row r="4" spans="2:10">
      <c r="B4" s="62" t="s">
        <v>11</v>
      </c>
      <c r="C4" s="62">
        <v>-439.01</v>
      </c>
      <c r="D4" s="61"/>
      <c r="E4" s="61"/>
    </row>
    <row r="5" spans="2:10">
      <c r="B5" s="62" t="s">
        <v>56</v>
      </c>
      <c r="C5" s="62">
        <v>-138.26</v>
      </c>
      <c r="D5" s="61"/>
      <c r="E5" s="61"/>
    </row>
    <row r="6" spans="2:10" s="8" customFormat="1">
      <c r="B6" s="63" t="s">
        <v>14</v>
      </c>
      <c r="C6" s="63">
        <v>0</v>
      </c>
      <c r="D6" s="64">
        <v>39020</v>
      </c>
      <c r="E6" s="64" t="s">
        <v>58</v>
      </c>
      <c r="G6"/>
      <c r="H6"/>
      <c r="I6" s="1"/>
      <c r="J6"/>
    </row>
    <row r="7" spans="2:10" s="8" customFormat="1">
      <c r="B7" s="63" t="s">
        <v>105</v>
      </c>
      <c r="C7" s="63">
        <v>0</v>
      </c>
      <c r="D7" s="64"/>
      <c r="E7" s="64" t="s">
        <v>58</v>
      </c>
      <c r="G7"/>
      <c r="H7"/>
      <c r="I7" s="1"/>
      <c r="J7"/>
    </row>
    <row r="8" spans="2:10" s="8" customFormat="1">
      <c r="B8" s="63" t="s">
        <v>81</v>
      </c>
      <c r="C8" s="63">
        <v>0</v>
      </c>
      <c r="D8" s="64"/>
      <c r="E8" s="64"/>
      <c r="G8"/>
      <c r="H8"/>
      <c r="I8" s="1"/>
      <c r="J8"/>
    </row>
    <row r="9" spans="2:10" s="8" customFormat="1">
      <c r="B9" s="63" t="s">
        <v>28</v>
      </c>
      <c r="C9" s="63">
        <v>0</v>
      </c>
      <c r="D9" s="64">
        <v>39027</v>
      </c>
      <c r="E9" s="64" t="s">
        <v>58</v>
      </c>
      <c r="G9"/>
      <c r="H9"/>
      <c r="I9" s="1"/>
      <c r="J9"/>
    </row>
    <row r="10" spans="2:10" s="8" customFormat="1">
      <c r="B10" s="63" t="s">
        <v>106</v>
      </c>
      <c r="C10" s="63">
        <v>0</v>
      </c>
      <c r="D10" s="64">
        <v>39022</v>
      </c>
      <c r="E10" s="64" t="s">
        <v>58</v>
      </c>
      <c r="G10"/>
      <c r="H10"/>
      <c r="I10" s="1"/>
      <c r="J10"/>
    </row>
    <row r="11" spans="2:10" s="8" customFormat="1">
      <c r="B11" s="63" t="s">
        <v>103</v>
      </c>
      <c r="C11" s="63">
        <v>0</v>
      </c>
      <c r="D11" s="64">
        <v>39022</v>
      </c>
      <c r="E11" s="64" t="s">
        <v>58</v>
      </c>
      <c r="G11"/>
      <c r="H11"/>
      <c r="I11" s="1"/>
      <c r="J11"/>
    </row>
    <row r="12" spans="2:10" s="8" customFormat="1">
      <c r="B12" s="63" t="s">
        <v>85</v>
      </c>
      <c r="C12" s="63">
        <v>0</v>
      </c>
      <c r="D12" s="64"/>
      <c r="E12" s="64" t="s">
        <v>58</v>
      </c>
      <c r="G12"/>
      <c r="H12"/>
      <c r="I12" s="1"/>
      <c r="J12"/>
    </row>
    <row r="13" spans="2:10" s="8" customFormat="1">
      <c r="B13" s="63" t="s">
        <v>96</v>
      </c>
      <c r="C13" s="63">
        <v>0</v>
      </c>
      <c r="D13" s="64"/>
      <c r="E13" s="64" t="s">
        <v>58</v>
      </c>
      <c r="G13"/>
      <c r="H13" s="1"/>
      <c r="I13" s="76"/>
      <c r="J13"/>
    </row>
    <row r="14" spans="2:10" s="8" customFormat="1">
      <c r="B14" s="63" t="s">
        <v>29</v>
      </c>
      <c r="C14" s="63">
        <v>0</v>
      </c>
      <c r="D14" s="64">
        <v>39029</v>
      </c>
      <c r="E14" s="64" t="s">
        <v>58</v>
      </c>
      <c r="G14"/>
      <c r="H14"/>
      <c r="I14" s="1"/>
      <c r="J14"/>
    </row>
    <row r="15" spans="2:10" s="8" customFormat="1">
      <c r="B15" s="60" t="s">
        <v>107</v>
      </c>
      <c r="C15" s="60">
        <v>0</v>
      </c>
      <c r="D15" s="73"/>
      <c r="E15" s="73"/>
      <c r="G15"/>
      <c r="H15"/>
      <c r="I15" s="1"/>
      <c r="J15"/>
    </row>
    <row r="16" spans="2:10" s="8" customFormat="1">
      <c r="B16" s="63" t="s">
        <v>41</v>
      </c>
      <c r="C16" s="63">
        <v>0</v>
      </c>
      <c r="D16" s="64">
        <v>39032</v>
      </c>
      <c r="E16" s="64" t="s">
        <v>58</v>
      </c>
      <c r="G16"/>
      <c r="H16" s="52"/>
      <c r="I16" s="1"/>
      <c r="J16"/>
    </row>
    <row r="17" spans="2:10" s="8" customFormat="1">
      <c r="B17" s="63" t="s">
        <v>98</v>
      </c>
      <c r="C17" s="63">
        <v>0</v>
      </c>
      <c r="D17" s="64">
        <v>39033</v>
      </c>
      <c r="E17" s="64"/>
      <c r="G17"/>
      <c r="H17"/>
      <c r="I17"/>
      <c r="J17"/>
    </row>
    <row r="18" spans="2:10">
      <c r="B18" s="63" t="s">
        <v>91</v>
      </c>
      <c r="C18" s="63">
        <v>0</v>
      </c>
      <c r="D18" s="64">
        <v>39036</v>
      </c>
      <c r="E18" s="64" t="s">
        <v>58</v>
      </c>
    </row>
    <row r="19" spans="2:10" s="8" customFormat="1">
      <c r="B19" s="63" t="s">
        <v>82</v>
      </c>
      <c r="C19" s="63">
        <v>0</v>
      </c>
      <c r="D19" s="64"/>
      <c r="E19" s="64"/>
      <c r="G19"/>
      <c r="H19"/>
      <c r="I19" s="1"/>
      <c r="J19"/>
    </row>
    <row r="20" spans="2:10" s="8" customFormat="1">
      <c r="B20" s="63" t="s">
        <v>35</v>
      </c>
      <c r="C20" s="63">
        <v>0</v>
      </c>
      <c r="D20" s="64">
        <v>39022</v>
      </c>
      <c r="E20" s="64" t="s">
        <v>58</v>
      </c>
      <c r="G20"/>
      <c r="H20"/>
      <c r="I20" s="1"/>
      <c r="J20"/>
    </row>
    <row r="21" spans="2:10" s="8" customFormat="1">
      <c r="B21" s="63" t="s">
        <v>52</v>
      </c>
      <c r="C21" s="63">
        <v>0</v>
      </c>
      <c r="D21" s="64">
        <v>39041</v>
      </c>
      <c r="E21" s="64" t="s">
        <v>58</v>
      </c>
      <c r="G21"/>
      <c r="H21"/>
      <c r="I21" s="1"/>
      <c r="J21"/>
    </row>
    <row r="22" spans="2:10" ht="18">
      <c r="B22" s="74" t="s">
        <v>45</v>
      </c>
      <c r="C22" s="74">
        <f>SUM(C3:C21)</f>
        <v>-573.93000000000006</v>
      </c>
      <c r="D22" s="75"/>
      <c r="E22" s="75"/>
    </row>
    <row r="23" spans="2:10" ht="18">
      <c r="B23" s="74" t="s">
        <v>5</v>
      </c>
      <c r="C23" s="74">
        <f>+H3</f>
        <v>4767.33</v>
      </c>
      <c r="D23" s="75"/>
      <c r="E23" s="75"/>
    </row>
    <row r="24" spans="2:10">
      <c r="B24" s="65" t="s">
        <v>84</v>
      </c>
      <c r="C24" s="66">
        <v>-250</v>
      </c>
      <c r="D24" s="67"/>
      <c r="E24" s="67"/>
    </row>
    <row r="25" spans="2:10">
      <c r="B25" s="65" t="s">
        <v>14</v>
      </c>
      <c r="C25" s="66">
        <v>-14.39</v>
      </c>
      <c r="D25" s="67">
        <v>39050</v>
      </c>
      <c r="E25" s="67"/>
    </row>
    <row r="26" spans="2:10">
      <c r="B26" s="65" t="s">
        <v>108</v>
      </c>
      <c r="C26" s="66">
        <v>-334.91</v>
      </c>
      <c r="D26" s="67">
        <v>39052</v>
      </c>
      <c r="E26" s="67"/>
    </row>
    <row r="27" spans="2:10">
      <c r="B27" s="65" t="s">
        <v>42</v>
      </c>
      <c r="C27" s="66">
        <v>-129</v>
      </c>
      <c r="D27" s="67"/>
      <c r="E27" s="67"/>
    </row>
    <row r="28" spans="2:10">
      <c r="B28" s="65" t="s">
        <v>28</v>
      </c>
      <c r="C28" s="66">
        <v>-688.58</v>
      </c>
      <c r="D28" s="67">
        <v>39055</v>
      </c>
      <c r="E28" s="67"/>
    </row>
    <row r="29" spans="2:10">
      <c r="B29" s="65" t="s">
        <v>102</v>
      </c>
      <c r="C29" s="66">
        <v>-1000</v>
      </c>
      <c r="D29" s="67"/>
      <c r="E29" s="67"/>
    </row>
    <row r="30" spans="2:10">
      <c r="B30" s="65" t="s">
        <v>109</v>
      </c>
      <c r="C30" s="66">
        <v>-1286.0899999999999</v>
      </c>
      <c r="D30" s="67">
        <v>39052</v>
      </c>
      <c r="E30" s="67"/>
    </row>
    <row r="31" spans="2:10">
      <c r="B31" s="65" t="s">
        <v>96</v>
      </c>
      <c r="C31" s="66">
        <v>-77.680000000000007</v>
      </c>
      <c r="D31" s="67">
        <v>39055</v>
      </c>
      <c r="E31" s="67"/>
    </row>
    <row r="32" spans="2:10">
      <c r="B32" s="65" t="s">
        <v>29</v>
      </c>
      <c r="C32" s="66">
        <v>-250.1</v>
      </c>
      <c r="D32" s="67">
        <v>39058</v>
      </c>
      <c r="E32" s="67"/>
    </row>
    <row r="33" spans="2:5">
      <c r="B33" s="65" t="s">
        <v>41</v>
      </c>
      <c r="C33" s="66">
        <v>-90</v>
      </c>
      <c r="D33" s="67"/>
      <c r="E33" s="67"/>
    </row>
    <row r="34" spans="2:5">
      <c r="B34" s="65" t="s">
        <v>98</v>
      </c>
      <c r="C34" s="66">
        <v>-65</v>
      </c>
      <c r="D34" s="67"/>
      <c r="E34" s="67"/>
    </row>
    <row r="35" spans="2:5">
      <c r="B35" s="65" t="s">
        <v>91</v>
      </c>
      <c r="C35" s="66">
        <v>-100</v>
      </c>
      <c r="D35" s="67"/>
      <c r="E35" s="67"/>
    </row>
    <row r="36" spans="2:5">
      <c r="B36" s="65" t="s">
        <v>77</v>
      </c>
      <c r="C36" s="66">
        <v>-99</v>
      </c>
      <c r="D36" s="67"/>
      <c r="E36" s="67"/>
    </row>
    <row r="37" spans="2:5">
      <c r="B37" s="65" t="s">
        <v>83</v>
      </c>
      <c r="C37" s="66">
        <v>-68.5</v>
      </c>
      <c r="D37" s="67"/>
      <c r="E37" s="67"/>
    </row>
    <row r="38" spans="2:5" ht="18">
      <c r="B38" s="74" t="s">
        <v>21</v>
      </c>
      <c r="C38" s="74">
        <f>SUM(C22:C37)</f>
        <v>-259.84999999999991</v>
      </c>
      <c r="D38" s="75"/>
      <c r="E38" s="75"/>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00.xml><?xml version="1.0" encoding="utf-8"?>
<worksheet xmlns="http://schemas.openxmlformats.org/spreadsheetml/2006/main" xmlns:r="http://schemas.openxmlformats.org/officeDocument/2006/relationships">
  <sheetPr>
    <pageSetUpPr autoPageBreaks="0"/>
  </sheetPr>
  <dimension ref="B1:O34"/>
  <sheetViews>
    <sheetView zoomScale="75" zoomScaleNormal="75" zoomScalePageLayoutView="75" workbookViewId="0">
      <selection activeCell="E25" sqref="E25:G25"/>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1973.58</v>
      </c>
      <c r="F3" s="72"/>
      <c r="G3" s="72"/>
      <c r="I3" s="10">
        <v>88.5</v>
      </c>
      <c r="J3" s="10" t="s">
        <v>914</v>
      </c>
      <c r="L3" s="10">
        <f>100*2.3</f>
        <v>229.99999999999997</v>
      </c>
      <c r="M3" s="10" t="s">
        <v>1125</v>
      </c>
      <c r="N3" s="194" t="s">
        <v>45</v>
      </c>
      <c r="O3" s="195">
        <v>10775.03</v>
      </c>
    </row>
    <row r="4" spans="2:15" ht="12" customHeight="1">
      <c r="B4" s="71" t="s">
        <v>5</v>
      </c>
      <c r="C4" s="91">
        <v>8176.92</v>
      </c>
      <c r="D4" s="92"/>
      <c r="E4" s="95">
        <v>0</v>
      </c>
      <c r="F4" s="72"/>
      <c r="G4" s="72"/>
      <c r="I4" s="10">
        <v>2338.1</v>
      </c>
      <c r="J4" s="10" t="s">
        <v>915</v>
      </c>
      <c r="L4" s="10">
        <f>200*2.24</f>
        <v>448.00000000000006</v>
      </c>
      <c r="M4" s="10" t="s">
        <v>716</v>
      </c>
      <c r="N4" s="194" t="s">
        <v>993</v>
      </c>
      <c r="O4" s="195">
        <f>O3/2</f>
        <v>5387.5150000000003</v>
      </c>
    </row>
    <row r="5" spans="2:15" ht="12" customHeight="1">
      <c r="B5" s="71" t="s">
        <v>1152</v>
      </c>
      <c r="C5" s="91">
        <v>4619.7</v>
      </c>
      <c r="D5" s="92"/>
      <c r="E5" s="95">
        <v>0</v>
      </c>
      <c r="F5" s="72"/>
      <c r="G5" s="72"/>
      <c r="I5" s="10"/>
      <c r="J5" s="10"/>
      <c r="L5" s="10">
        <f>O4</f>
        <v>5387.5150000000003</v>
      </c>
      <c r="M5" s="10" t="s">
        <v>1127</v>
      </c>
      <c r="N5" s="194" t="s">
        <v>1092</v>
      </c>
      <c r="O5" s="195">
        <f>O3/2</f>
        <v>5387.5150000000003</v>
      </c>
    </row>
    <row r="6" spans="2:15">
      <c r="B6" s="71" t="s">
        <v>81</v>
      </c>
      <c r="C6" s="91">
        <v>0</v>
      </c>
      <c r="D6" s="92"/>
      <c r="E6" s="95">
        <v>0</v>
      </c>
      <c r="F6" s="72"/>
      <c r="G6" s="72"/>
      <c r="L6" s="10">
        <f>(1203.66/5)*2</f>
        <v>481.46400000000006</v>
      </c>
      <c r="M6" s="10" t="s">
        <v>1153</v>
      </c>
    </row>
    <row r="7" spans="2:15" ht="15.75">
      <c r="B7" s="71" t="s">
        <v>1145</v>
      </c>
      <c r="C7" s="91">
        <v>0</v>
      </c>
      <c r="D7" s="92"/>
      <c r="E7" s="95">
        <v>0</v>
      </c>
      <c r="F7" s="72"/>
      <c r="G7" s="72"/>
      <c r="I7" s="221" t="s">
        <v>1143</v>
      </c>
      <c r="J7" s="221" t="s">
        <v>408</v>
      </c>
      <c r="L7" s="10">
        <v>0</v>
      </c>
      <c r="M7" s="10"/>
    </row>
    <row r="8" spans="2:15">
      <c r="B8" s="71" t="s">
        <v>1066</v>
      </c>
      <c r="C8" s="91">
        <v>0</v>
      </c>
      <c r="D8" s="92"/>
      <c r="E8" s="95">
        <v>0</v>
      </c>
      <c r="F8" s="72"/>
      <c r="G8" s="72"/>
      <c r="I8" s="10">
        <v>4507.6099999999997</v>
      </c>
      <c r="J8" s="10" t="s">
        <v>1129</v>
      </c>
      <c r="L8" s="144">
        <f>SUM(L3:L7)</f>
        <v>6546.9790000000003</v>
      </c>
      <c r="M8" s="144" t="s">
        <v>1031</v>
      </c>
    </row>
    <row r="9" spans="2:15">
      <c r="B9" s="71" t="s">
        <v>678</v>
      </c>
      <c r="C9" s="91">
        <v>150</v>
      </c>
      <c r="D9" s="92"/>
      <c r="E9" s="95">
        <v>0</v>
      </c>
      <c r="F9" s="72"/>
      <c r="G9" s="72"/>
      <c r="I9" s="10">
        <v>5070.3100000000004</v>
      </c>
      <c r="J9" s="10" t="s">
        <v>1075</v>
      </c>
    </row>
    <row r="10" spans="2:15" ht="14.25" customHeight="1">
      <c r="B10" s="71" t="s">
        <v>107</v>
      </c>
      <c r="C10" s="91">
        <v>0</v>
      </c>
      <c r="D10" s="92"/>
      <c r="E10" s="95">
        <v>0</v>
      </c>
      <c r="F10" s="72"/>
      <c r="G10" s="72"/>
      <c r="I10" s="10">
        <v>10211.18</v>
      </c>
      <c r="J10" s="10" t="s">
        <v>1101</v>
      </c>
      <c r="L10" s="221" t="s">
        <v>1130</v>
      </c>
      <c r="M10" s="221" t="s">
        <v>408</v>
      </c>
    </row>
    <row r="11" spans="2:15">
      <c r="B11" s="71" t="s">
        <v>1154</v>
      </c>
      <c r="C11" s="91">
        <v>141.33000000000001</v>
      </c>
      <c r="D11" s="92"/>
      <c r="E11" s="95">
        <v>0</v>
      </c>
      <c r="F11" s="72"/>
      <c r="G11" s="72"/>
      <c r="I11" s="10">
        <v>6790.36</v>
      </c>
      <c r="J11" s="10" t="s">
        <v>1048</v>
      </c>
      <c r="L11" s="10">
        <f>200*2.24</f>
        <v>448.00000000000006</v>
      </c>
      <c r="M11" s="10" t="s">
        <v>716</v>
      </c>
    </row>
    <row r="12" spans="2:15">
      <c r="B12" s="71" t="s">
        <v>81</v>
      </c>
      <c r="C12" s="198">
        <v>750</v>
      </c>
      <c r="D12" s="92"/>
      <c r="E12" s="95">
        <v>0</v>
      </c>
      <c r="F12" s="72"/>
      <c r="G12" s="72"/>
      <c r="I12" s="10">
        <v>8108.11</v>
      </c>
      <c r="J12" s="10" t="s">
        <v>1087</v>
      </c>
      <c r="L12" s="10">
        <v>0</v>
      </c>
      <c r="M12" s="10"/>
    </row>
    <row r="13" spans="2:15">
      <c r="B13" s="99" t="s">
        <v>714</v>
      </c>
      <c r="C13" s="96">
        <v>-10.53</v>
      </c>
      <c r="D13" s="97"/>
      <c r="E13" s="63">
        <v>0</v>
      </c>
      <c r="F13" s="64"/>
      <c r="G13" s="64" t="s">
        <v>58</v>
      </c>
      <c r="I13" s="10">
        <f>489.05*2.24</f>
        <v>1095.4720000000002</v>
      </c>
      <c r="J13" s="10" t="s">
        <v>1088</v>
      </c>
      <c r="L13" s="10">
        <f>(1203.66/5)*3</f>
        <v>722.19600000000014</v>
      </c>
      <c r="M13" s="10" t="s">
        <v>1155</v>
      </c>
    </row>
    <row r="14" spans="2:15">
      <c r="B14" s="99" t="s">
        <v>1098</v>
      </c>
      <c r="C14" s="96">
        <v>-116.68</v>
      </c>
      <c r="D14" s="97"/>
      <c r="E14" s="63">
        <v>0</v>
      </c>
      <c r="F14" s="64"/>
      <c r="G14" s="64" t="s">
        <v>58</v>
      </c>
      <c r="I14" s="10">
        <f>O5</f>
        <v>5387.5150000000003</v>
      </c>
      <c r="J14" s="10" t="s">
        <v>1127</v>
      </c>
      <c r="L14" s="10">
        <v>0</v>
      </c>
      <c r="M14" s="10"/>
    </row>
    <row r="15" spans="2:15">
      <c r="B15" s="99" t="s">
        <v>65</v>
      </c>
      <c r="C15" s="96">
        <v>-914</v>
      </c>
      <c r="D15" s="97"/>
      <c r="E15" s="63">
        <v>0</v>
      </c>
      <c r="F15" s="64"/>
      <c r="G15" s="64" t="s">
        <v>58</v>
      </c>
      <c r="I15" s="10">
        <f>16.13*200</f>
        <v>3226</v>
      </c>
      <c r="J15" s="10" t="s">
        <v>1133</v>
      </c>
      <c r="L15" s="10">
        <v>0</v>
      </c>
      <c r="M15" s="10"/>
    </row>
    <row r="16" spans="2:15">
      <c r="B16" s="99" t="s">
        <v>1069</v>
      </c>
      <c r="C16" s="96">
        <v>-760</v>
      </c>
      <c r="D16" s="97"/>
      <c r="E16" s="63">
        <v>0</v>
      </c>
      <c r="F16" s="64"/>
      <c r="G16" s="64" t="s">
        <v>58</v>
      </c>
      <c r="I16" s="10"/>
      <c r="J16" s="10"/>
      <c r="L16" s="144">
        <f>SUM(L11:L15)</f>
        <v>1170.1960000000001</v>
      </c>
      <c r="M16" s="144" t="s">
        <v>1031</v>
      </c>
    </row>
    <row r="17" spans="2:15">
      <c r="B17" s="99" t="s">
        <v>103</v>
      </c>
      <c r="C17" s="96">
        <v>-810.36</v>
      </c>
      <c r="D17" s="97"/>
      <c r="E17" s="63">
        <v>0</v>
      </c>
      <c r="F17" s="64"/>
      <c r="G17" s="64" t="s">
        <v>58</v>
      </c>
      <c r="I17" s="10">
        <v>0</v>
      </c>
      <c r="J17" s="10" t="s">
        <v>143</v>
      </c>
    </row>
    <row r="18" spans="2:15" ht="15.75">
      <c r="B18" s="99" t="s">
        <v>1148</v>
      </c>
      <c r="C18" s="96">
        <f>-200*2.24</f>
        <v>-448.00000000000006</v>
      </c>
      <c r="D18" s="97"/>
      <c r="E18" s="63">
        <v>0</v>
      </c>
      <c r="F18" s="64"/>
      <c r="G18" s="64" t="s">
        <v>58</v>
      </c>
      <c r="H18" s="143"/>
      <c r="I18" s="10">
        <v>1279.72</v>
      </c>
      <c r="J18" s="10" t="s">
        <v>996</v>
      </c>
      <c r="L18" s="221" t="s">
        <v>1136</v>
      </c>
      <c r="M18" s="221" t="s">
        <v>1019</v>
      </c>
      <c r="N18" s="221" t="s">
        <v>1130</v>
      </c>
      <c r="O18" s="221" t="s">
        <v>1020</v>
      </c>
    </row>
    <row r="19" spans="2:15">
      <c r="B19" s="99" t="s">
        <v>1032</v>
      </c>
      <c r="C19" s="96">
        <v>-4215.18</v>
      </c>
      <c r="D19" s="97"/>
      <c r="E19" s="63">
        <v>0</v>
      </c>
      <c r="F19" s="64"/>
      <c r="G19" s="64" t="s">
        <v>58</v>
      </c>
      <c r="I19" s="10"/>
      <c r="J19" s="10"/>
      <c r="L19" s="10" t="s">
        <v>1015</v>
      </c>
      <c r="M19" s="184">
        <v>0</v>
      </c>
      <c r="N19" s="184">
        <v>0</v>
      </c>
      <c r="O19" s="185">
        <v>0</v>
      </c>
    </row>
    <row r="20" spans="2:15">
      <c r="B20" s="99" t="s">
        <v>748</v>
      </c>
      <c r="C20" s="96">
        <v>-50</v>
      </c>
      <c r="D20" s="97"/>
      <c r="E20" s="63">
        <v>0</v>
      </c>
      <c r="F20" s="64"/>
      <c r="G20" s="64" t="s">
        <v>58</v>
      </c>
      <c r="I20" s="10"/>
      <c r="J20" s="10"/>
      <c r="L20" s="10" t="s">
        <v>1010</v>
      </c>
      <c r="M20" s="184">
        <v>0</v>
      </c>
      <c r="N20" s="184">
        <v>0</v>
      </c>
      <c r="O20" s="185">
        <v>0</v>
      </c>
    </row>
    <row r="21" spans="2:15">
      <c r="B21" s="99" t="s">
        <v>125</v>
      </c>
      <c r="C21" s="96">
        <v>-1000</v>
      </c>
      <c r="D21" s="92"/>
      <c r="E21" s="63">
        <v>0</v>
      </c>
      <c r="F21" s="64"/>
      <c r="G21" s="64" t="s">
        <v>58</v>
      </c>
      <c r="I21" s="144">
        <f>SUM(I8:I20)</f>
        <v>45676.277000000002</v>
      </c>
      <c r="J21" s="144" t="s">
        <v>1031</v>
      </c>
      <c r="L21" s="10" t="s">
        <v>1012</v>
      </c>
      <c r="M21" s="184">
        <v>0</v>
      </c>
      <c r="N21" s="184">
        <v>0</v>
      </c>
      <c r="O21" s="185">
        <f>8-2.5</f>
        <v>5.5</v>
      </c>
    </row>
    <row r="22" spans="2:15">
      <c r="B22" s="99" t="s">
        <v>1149</v>
      </c>
      <c r="C22" s="96">
        <v>-800</v>
      </c>
      <c r="D22" s="97"/>
      <c r="E22" s="63">
        <v>0</v>
      </c>
      <c r="F22" s="64"/>
      <c r="G22" s="64" t="s">
        <v>58</v>
      </c>
      <c r="L22" s="10" t="s">
        <v>1075</v>
      </c>
      <c r="M22" s="184">
        <v>0</v>
      </c>
      <c r="N22" s="184">
        <v>0</v>
      </c>
      <c r="O22" s="185">
        <v>7</v>
      </c>
    </row>
    <row r="23" spans="2:15">
      <c r="B23" s="99" t="s">
        <v>602</v>
      </c>
      <c r="C23" s="96">
        <v>-160</v>
      </c>
      <c r="D23" s="97"/>
      <c r="E23" s="63">
        <v>0</v>
      </c>
      <c r="F23" s="64"/>
      <c r="G23" s="64" t="s">
        <v>58</v>
      </c>
      <c r="L23" s="10" t="s">
        <v>1055</v>
      </c>
      <c r="M23" s="184">
        <v>0</v>
      </c>
      <c r="N23" s="184">
        <v>0</v>
      </c>
      <c r="O23" s="185">
        <v>3</v>
      </c>
    </row>
    <row r="24" spans="2:15">
      <c r="B24" s="99" t="s">
        <v>73</v>
      </c>
      <c r="C24" s="96">
        <v>-460.18</v>
      </c>
      <c r="D24" s="97"/>
      <c r="E24" s="63">
        <v>0</v>
      </c>
      <c r="F24" s="64"/>
      <c r="G24" s="64" t="s">
        <v>58</v>
      </c>
      <c r="L24" s="10" t="s">
        <v>1090</v>
      </c>
      <c r="M24" s="184">
        <v>0</v>
      </c>
      <c r="N24" s="184">
        <v>0</v>
      </c>
      <c r="O24" s="185">
        <v>4.9000000000000004</v>
      </c>
    </row>
    <row r="25" spans="2:15">
      <c r="B25" s="99" t="s">
        <v>41</v>
      </c>
      <c r="C25" s="96">
        <v>-57.2</v>
      </c>
      <c r="D25" s="97"/>
      <c r="E25" s="63">
        <v>0</v>
      </c>
      <c r="F25" s="64"/>
      <c r="G25" s="64" t="s">
        <v>58</v>
      </c>
      <c r="L25" s="10" t="s">
        <v>1101</v>
      </c>
      <c r="M25" s="184">
        <v>0</v>
      </c>
      <c r="N25" s="184">
        <v>0</v>
      </c>
      <c r="O25" s="185">
        <v>1.7</v>
      </c>
    </row>
    <row r="26" spans="2:15">
      <c r="B26" s="99" t="s">
        <v>586</v>
      </c>
      <c r="C26" s="96">
        <v>-143.74</v>
      </c>
      <c r="D26" s="97"/>
      <c r="E26" s="63">
        <v>0</v>
      </c>
      <c r="F26" s="64"/>
      <c r="G26" s="64" t="s">
        <v>58</v>
      </c>
    </row>
    <row r="27" spans="2:15">
      <c r="B27" s="99" t="s">
        <v>924</v>
      </c>
      <c r="C27" s="96">
        <v>-54.78</v>
      </c>
      <c r="D27" s="97"/>
      <c r="E27" s="63">
        <v>0</v>
      </c>
      <c r="F27" s="64"/>
      <c r="G27" s="64" t="s">
        <v>58</v>
      </c>
    </row>
    <row r="28" spans="2:15">
      <c r="B28" s="99" t="s">
        <v>1156</v>
      </c>
      <c r="C28" s="96">
        <v>-244</v>
      </c>
      <c r="D28" s="97"/>
      <c r="E28" s="63">
        <v>0</v>
      </c>
      <c r="F28" s="64"/>
      <c r="G28" s="64" t="s">
        <v>58</v>
      </c>
    </row>
    <row r="29" spans="2:15">
      <c r="B29" s="99" t="s">
        <v>1157</v>
      </c>
      <c r="C29" s="96">
        <v>0</v>
      </c>
      <c r="D29" s="97"/>
      <c r="E29" s="63">
        <v>0</v>
      </c>
      <c r="F29" s="64"/>
      <c r="G29" s="64" t="s">
        <v>58</v>
      </c>
    </row>
    <row r="30" spans="2:15">
      <c r="B30" s="99" t="s">
        <v>686</v>
      </c>
      <c r="C30" s="96">
        <v>-583.57000000000005</v>
      </c>
      <c r="D30" s="97"/>
      <c r="E30" s="63">
        <v>0</v>
      </c>
      <c r="F30" s="64"/>
      <c r="G30" s="64" t="s">
        <v>58</v>
      </c>
    </row>
    <row r="31" spans="2:15">
      <c r="B31" s="99" t="s">
        <v>1158</v>
      </c>
      <c r="C31" s="96">
        <v>-94.5</v>
      </c>
      <c r="D31" s="97"/>
      <c r="E31" s="63">
        <v>0</v>
      </c>
      <c r="F31" s="64"/>
      <c r="G31" s="64" t="s">
        <v>58</v>
      </c>
    </row>
    <row r="32" spans="2:15">
      <c r="B32" s="99" t="s">
        <v>999</v>
      </c>
      <c r="C32" s="96">
        <v>151</v>
      </c>
      <c r="D32" s="97"/>
      <c r="E32" s="63">
        <v>0</v>
      </c>
      <c r="F32" s="64"/>
      <c r="G32" s="64" t="s">
        <v>58</v>
      </c>
    </row>
    <row r="33" spans="2:7">
      <c r="B33" s="99" t="s">
        <v>1159</v>
      </c>
      <c r="C33" s="96">
        <v>-686.64</v>
      </c>
      <c r="D33" s="97"/>
      <c r="E33" s="63">
        <v>0</v>
      </c>
      <c r="F33" s="64"/>
      <c r="G33" s="64" t="s">
        <v>58</v>
      </c>
    </row>
    <row r="34" spans="2:7" ht="18">
      <c r="B34" s="74" t="s">
        <v>45</v>
      </c>
      <c r="C34" s="188"/>
      <c r="D34" s="98"/>
      <c r="E34" s="129">
        <f>SUM(E3:E33)</f>
        <v>1973.58</v>
      </c>
      <c r="F34" s="75"/>
      <c r="G34" s="75"/>
    </row>
  </sheetData>
  <mergeCells count="1">
    <mergeCell ref="N2:O2"/>
  </mergeCells>
  <conditionalFormatting sqref="E15">
    <cfRule type="cellIs" dxfId="706" priority="32" stopIfTrue="1" operator="greaterThan">
      <formula>0</formula>
    </cfRule>
  </conditionalFormatting>
  <conditionalFormatting sqref="E16">
    <cfRule type="cellIs" dxfId="705" priority="31" stopIfTrue="1" operator="greaterThan">
      <formula>0</formula>
    </cfRule>
  </conditionalFormatting>
  <conditionalFormatting sqref="E17">
    <cfRule type="cellIs" dxfId="704" priority="30" stopIfTrue="1" operator="greaterThan">
      <formula>0</formula>
    </cfRule>
  </conditionalFormatting>
  <conditionalFormatting sqref="E19">
    <cfRule type="cellIs" dxfId="703" priority="29" stopIfTrue="1" operator="greaterThan">
      <formula>0</formula>
    </cfRule>
  </conditionalFormatting>
  <conditionalFormatting sqref="E20">
    <cfRule type="cellIs" dxfId="702" priority="28" stopIfTrue="1" operator="greaterThan">
      <formula>0</formula>
    </cfRule>
  </conditionalFormatting>
  <conditionalFormatting sqref="E28">
    <cfRule type="cellIs" dxfId="701" priority="25" stopIfTrue="1" operator="greaterThan">
      <formula>0</formula>
    </cfRule>
  </conditionalFormatting>
  <conditionalFormatting sqref="E14">
    <cfRule type="cellIs" dxfId="700" priority="24" stopIfTrue="1" operator="greaterThan">
      <formula>0</formula>
    </cfRule>
  </conditionalFormatting>
  <conditionalFormatting sqref="E26">
    <cfRule type="cellIs" dxfId="699" priority="23" stopIfTrue="1" operator="greaterThan">
      <formula>0</formula>
    </cfRule>
  </conditionalFormatting>
  <conditionalFormatting sqref="E13">
    <cfRule type="cellIs" dxfId="698" priority="22" stopIfTrue="1" operator="greaterThan">
      <formula>0</formula>
    </cfRule>
  </conditionalFormatting>
  <conditionalFormatting sqref="E30">
    <cfRule type="cellIs" dxfId="697" priority="17" stopIfTrue="1" operator="greaterThan">
      <formula>0</formula>
    </cfRule>
  </conditionalFormatting>
  <conditionalFormatting sqref="E22">
    <cfRule type="cellIs" dxfId="696" priority="20" stopIfTrue="1" operator="greaterThan">
      <formula>0</formula>
    </cfRule>
  </conditionalFormatting>
  <conditionalFormatting sqref="E18">
    <cfRule type="cellIs" dxfId="695" priority="19" stopIfTrue="1" operator="greaterThan">
      <formula>0</formula>
    </cfRule>
  </conditionalFormatting>
  <conditionalFormatting sqref="E29">
    <cfRule type="cellIs" dxfId="694" priority="14" stopIfTrue="1" operator="greaterThan">
      <formula>0</formula>
    </cfRule>
  </conditionalFormatting>
  <conditionalFormatting sqref="E21">
    <cfRule type="cellIs" dxfId="693" priority="10" stopIfTrue="1" operator="greaterThan">
      <formula>0</formula>
    </cfRule>
  </conditionalFormatting>
  <conditionalFormatting sqref="E24">
    <cfRule type="cellIs" dxfId="692" priority="9" stopIfTrue="1" operator="greaterThan">
      <formula>0</formula>
    </cfRule>
  </conditionalFormatting>
  <conditionalFormatting sqref="E33">
    <cfRule type="cellIs" dxfId="691" priority="8" stopIfTrue="1" operator="greaterThan">
      <formula>0</formula>
    </cfRule>
  </conditionalFormatting>
  <conditionalFormatting sqref="E32">
    <cfRule type="cellIs" dxfId="690" priority="7" stopIfTrue="1" operator="greaterThan">
      <formula>0</formula>
    </cfRule>
  </conditionalFormatting>
  <conditionalFormatting sqref="E31">
    <cfRule type="cellIs" dxfId="689" priority="6" stopIfTrue="1" operator="greaterThan">
      <formula>0</formula>
    </cfRule>
  </conditionalFormatting>
  <conditionalFormatting sqref="E25">
    <cfRule type="cellIs" dxfId="688" priority="5" stopIfTrue="1" operator="greaterThan">
      <formula>0</formula>
    </cfRule>
  </conditionalFormatting>
  <conditionalFormatting sqref="E23">
    <cfRule type="cellIs" dxfId="687" priority="2" stopIfTrue="1" operator="greaterThan">
      <formula>0</formula>
    </cfRule>
  </conditionalFormatting>
  <conditionalFormatting sqref="E27">
    <cfRule type="cellIs" dxfId="686"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01.xml><?xml version="1.0" encoding="utf-8"?>
<worksheet xmlns="http://schemas.openxmlformats.org/spreadsheetml/2006/main" xmlns:r="http://schemas.openxmlformats.org/officeDocument/2006/relationships">
  <sheetPr>
    <pageSetUpPr autoPageBreaks="0"/>
  </sheetPr>
  <dimension ref="B1:O42"/>
  <sheetViews>
    <sheetView zoomScale="75" zoomScaleNormal="75" zoomScalePageLayoutView="75" workbookViewId="0">
      <selection activeCell="E27" sqref="E27"/>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83.94</v>
      </c>
      <c r="F3" s="72"/>
      <c r="G3" s="72"/>
      <c r="I3" s="10">
        <v>164.09</v>
      </c>
      <c r="J3" s="10" t="s">
        <v>914</v>
      </c>
      <c r="L3" s="10">
        <f>100*2.3</f>
        <v>229.99999999999997</v>
      </c>
      <c r="M3" s="10" t="s">
        <v>1125</v>
      </c>
      <c r="N3" s="194" t="s">
        <v>45</v>
      </c>
      <c r="O3" s="195">
        <v>10965.37</v>
      </c>
    </row>
    <row r="4" spans="2:15" ht="12" customHeight="1">
      <c r="B4" s="71" t="s">
        <v>5</v>
      </c>
      <c r="C4" s="91">
        <v>9190.7199999999993</v>
      </c>
      <c r="D4" s="92"/>
      <c r="E4" s="95">
        <v>0</v>
      </c>
      <c r="F4" s="72"/>
      <c r="G4" s="72"/>
      <c r="I4" s="10">
        <v>5026.4799999999996</v>
      </c>
      <c r="J4" s="10" t="s">
        <v>915</v>
      </c>
      <c r="L4" s="10">
        <f>200*2.24</f>
        <v>448.00000000000006</v>
      </c>
      <c r="M4" s="10" t="s">
        <v>716</v>
      </c>
      <c r="N4" s="194" t="s">
        <v>993</v>
      </c>
      <c r="O4" s="195">
        <f>O3/2</f>
        <v>5482.6850000000004</v>
      </c>
    </row>
    <row r="5" spans="2:15" ht="12" customHeight="1">
      <c r="B5" s="71" t="s">
        <v>927</v>
      </c>
      <c r="C5" s="91">
        <v>174.65</v>
      </c>
      <c r="D5" s="92"/>
      <c r="E5" s="95">
        <v>0</v>
      </c>
      <c r="F5" s="72"/>
      <c r="G5" s="72"/>
      <c r="I5" s="10"/>
      <c r="J5" s="10"/>
      <c r="L5" s="10">
        <f>O4</f>
        <v>5482.6850000000004</v>
      </c>
      <c r="M5" s="10" t="s">
        <v>1127</v>
      </c>
      <c r="N5" s="194" t="s">
        <v>1092</v>
      </c>
      <c r="O5" s="195">
        <f>O3/2</f>
        <v>5482.6850000000004</v>
      </c>
    </row>
    <row r="6" spans="2:15">
      <c r="B6" s="71" t="s">
        <v>1160</v>
      </c>
      <c r="C6" s="91">
        <v>5052.8999999999996</v>
      </c>
      <c r="D6" s="92"/>
      <c r="E6" s="95">
        <v>0</v>
      </c>
      <c r="F6" s="72"/>
      <c r="G6" s="72"/>
      <c r="L6" s="10">
        <f>50*J26</f>
        <v>883</v>
      </c>
      <c r="M6" s="10" t="s">
        <v>1133</v>
      </c>
    </row>
    <row r="7" spans="2:15" ht="15.75">
      <c r="B7" s="71" t="s">
        <v>1161</v>
      </c>
      <c r="C7" s="91">
        <v>56.1</v>
      </c>
      <c r="D7" s="92"/>
      <c r="E7" s="95">
        <v>0</v>
      </c>
      <c r="F7" s="72"/>
      <c r="G7" s="72"/>
      <c r="I7" s="221" t="s">
        <v>1143</v>
      </c>
      <c r="J7" s="221" t="s">
        <v>408</v>
      </c>
      <c r="L7" s="10">
        <f>M32/2</f>
        <v>269.28652500000004</v>
      </c>
      <c r="M7" s="10" t="s">
        <v>1162</v>
      </c>
    </row>
    <row r="8" spans="2:15">
      <c r="B8" s="71" t="s">
        <v>107</v>
      </c>
      <c r="C8" s="91">
        <v>141.33000000000001</v>
      </c>
      <c r="D8" s="92"/>
      <c r="E8" s="95">
        <v>0</v>
      </c>
      <c r="F8" s="72"/>
      <c r="G8" s="72"/>
      <c r="I8" s="10"/>
      <c r="J8" s="10"/>
      <c r="L8" s="144">
        <f>SUM(L3:L7)</f>
        <v>7312.9715250000008</v>
      </c>
      <c r="M8" s="144" t="s">
        <v>1031</v>
      </c>
    </row>
    <row r="9" spans="2:15">
      <c r="B9" s="71" t="s">
        <v>1066</v>
      </c>
      <c r="C9" s="91">
        <v>164</v>
      </c>
      <c r="D9" s="92"/>
      <c r="E9" s="95">
        <v>0</v>
      </c>
      <c r="F9" s="72"/>
      <c r="G9" s="72"/>
      <c r="I9" s="10"/>
      <c r="J9" s="10"/>
    </row>
    <row r="10" spans="2:15" ht="14.25" customHeight="1">
      <c r="B10" s="71" t="s">
        <v>1066</v>
      </c>
      <c r="C10" s="91">
        <v>69</v>
      </c>
      <c r="D10" s="92"/>
      <c r="E10" s="95">
        <v>0</v>
      </c>
      <c r="F10" s="72"/>
      <c r="G10" s="72"/>
      <c r="I10" s="10">
        <v>12105.42</v>
      </c>
      <c r="J10" s="10" t="s">
        <v>1101</v>
      </c>
      <c r="L10" s="221" t="s">
        <v>1130</v>
      </c>
      <c r="M10" s="221" t="s">
        <v>408</v>
      </c>
    </row>
    <row r="11" spans="2:15">
      <c r="B11" s="71" t="s">
        <v>81</v>
      </c>
      <c r="C11" s="91">
        <v>750</v>
      </c>
      <c r="D11" s="92"/>
      <c r="E11" s="95">
        <v>0</v>
      </c>
      <c r="F11" s="72"/>
      <c r="G11" s="72"/>
      <c r="I11" s="10">
        <v>911.32</v>
      </c>
      <c r="J11" s="10" t="s">
        <v>1048</v>
      </c>
      <c r="L11" s="10">
        <f>200*2.24</f>
        <v>448.00000000000006</v>
      </c>
      <c r="M11" s="10" t="s">
        <v>716</v>
      </c>
    </row>
    <row r="12" spans="2:15">
      <c r="B12" s="71" t="s">
        <v>107</v>
      </c>
      <c r="C12" s="91">
        <v>99.66</v>
      </c>
      <c r="D12" s="92"/>
      <c r="E12" s="95">
        <v>0</v>
      </c>
      <c r="F12" s="72"/>
      <c r="G12" s="72"/>
      <c r="I12" s="10"/>
      <c r="J12" s="10"/>
      <c r="L12" s="10">
        <f>M32/2</f>
        <v>269.28652500000004</v>
      </c>
      <c r="M12" s="10" t="s">
        <v>1162</v>
      </c>
    </row>
    <row r="13" spans="2:15">
      <c r="B13" s="99" t="s">
        <v>714</v>
      </c>
      <c r="C13" s="96">
        <v>-23.73</v>
      </c>
      <c r="D13" s="97"/>
      <c r="E13" s="63">
        <v>0</v>
      </c>
      <c r="F13" s="64"/>
      <c r="G13" s="64" t="s">
        <v>58</v>
      </c>
      <c r="I13" s="10">
        <f>489.05*2.24</f>
        <v>1095.4720000000002</v>
      </c>
      <c r="J13" s="10" t="s">
        <v>1088</v>
      </c>
      <c r="L13" s="10">
        <f>50*J26</f>
        <v>883</v>
      </c>
      <c r="M13" s="10" t="s">
        <v>1133</v>
      </c>
    </row>
    <row r="14" spans="2:15">
      <c r="B14" s="99" t="s">
        <v>1098</v>
      </c>
      <c r="C14" s="96">
        <v>-195.48</v>
      </c>
      <c r="D14" s="97"/>
      <c r="E14" s="63">
        <v>0</v>
      </c>
      <c r="F14" s="64"/>
      <c r="G14" s="64" t="s">
        <v>58</v>
      </c>
      <c r="I14" s="10">
        <f>O5</f>
        <v>5482.6850000000004</v>
      </c>
      <c r="J14" s="10" t="s">
        <v>1127</v>
      </c>
      <c r="L14" s="10"/>
      <c r="M14" s="10"/>
    </row>
    <row r="15" spans="2:15">
      <c r="B15" s="99" t="s">
        <v>65</v>
      </c>
      <c r="C15" s="96">
        <v>-914</v>
      </c>
      <c r="D15" s="97"/>
      <c r="E15" s="63">
        <v>0</v>
      </c>
      <c r="F15" s="64"/>
      <c r="G15" s="64" t="s">
        <v>58</v>
      </c>
      <c r="I15" s="10">
        <f>300*J26</f>
        <v>5298</v>
      </c>
      <c r="J15" s="10" t="s">
        <v>1133</v>
      </c>
      <c r="L15" s="10">
        <v>0</v>
      </c>
      <c r="M15" s="10"/>
    </row>
    <row r="16" spans="2:15">
      <c r="B16" s="99" t="s">
        <v>1069</v>
      </c>
      <c r="C16" s="96">
        <v>-760</v>
      </c>
      <c r="D16" s="97"/>
      <c r="E16" s="63">
        <v>0</v>
      </c>
      <c r="F16" s="64"/>
      <c r="G16" s="64" t="s">
        <v>58</v>
      </c>
      <c r="I16" s="10"/>
      <c r="J16" s="10"/>
      <c r="L16" s="144">
        <f>SUM(L11:L15)</f>
        <v>1600.286525</v>
      </c>
      <c r="M16" s="144" t="s">
        <v>1031</v>
      </c>
    </row>
    <row r="17" spans="2:15">
      <c r="B17" s="99" t="s">
        <v>103</v>
      </c>
      <c r="C17" s="96">
        <v>-88.5</v>
      </c>
      <c r="D17" s="97"/>
      <c r="E17" s="63">
        <v>0</v>
      </c>
      <c r="F17" s="64"/>
      <c r="G17" s="64" t="s">
        <v>58</v>
      </c>
      <c r="I17" s="10">
        <v>3605.06</v>
      </c>
      <c r="J17" s="10" t="s">
        <v>1163</v>
      </c>
    </row>
    <row r="18" spans="2:15" ht="15.75">
      <c r="B18" s="99" t="s">
        <v>102</v>
      </c>
      <c r="C18" s="96">
        <v>-3000</v>
      </c>
      <c r="D18" s="97"/>
      <c r="E18" s="63">
        <v>0</v>
      </c>
      <c r="F18" s="64"/>
      <c r="G18" s="64" t="s">
        <v>58</v>
      </c>
      <c r="H18" s="143"/>
      <c r="I18" s="10">
        <v>-500</v>
      </c>
      <c r="J18" s="10" t="s">
        <v>755</v>
      </c>
      <c r="L18" s="221" t="s">
        <v>1136</v>
      </c>
      <c r="M18" s="221" t="s">
        <v>1019</v>
      </c>
      <c r="N18" s="221" t="s">
        <v>1130</v>
      </c>
      <c r="O18" s="221" t="s">
        <v>1020</v>
      </c>
    </row>
    <row r="19" spans="2:15">
      <c r="B19" s="99" t="s">
        <v>1164</v>
      </c>
      <c r="C19" s="96">
        <v>-2483.38</v>
      </c>
      <c r="D19" s="97"/>
      <c r="E19" s="63">
        <v>0</v>
      </c>
      <c r="F19" s="64"/>
      <c r="G19" s="64" t="s">
        <v>58</v>
      </c>
      <c r="I19" s="10">
        <v>307</v>
      </c>
      <c r="J19" s="10" t="s">
        <v>1165</v>
      </c>
      <c r="L19" s="10" t="s">
        <v>1015</v>
      </c>
      <c r="M19" s="184">
        <v>0</v>
      </c>
      <c r="N19" s="184">
        <v>0</v>
      </c>
      <c r="O19" s="185">
        <v>0</v>
      </c>
    </row>
    <row r="20" spans="2:15">
      <c r="B20" s="99" t="s">
        <v>1040</v>
      </c>
      <c r="C20" s="96">
        <v>2495.9699999999998</v>
      </c>
      <c r="D20" s="97"/>
      <c r="E20" s="63">
        <v>0</v>
      </c>
      <c r="F20" s="64"/>
      <c r="G20" s="64" t="s">
        <v>58</v>
      </c>
      <c r="I20" s="10"/>
      <c r="J20" s="10"/>
      <c r="L20" s="10" t="s">
        <v>1010</v>
      </c>
      <c r="M20" s="184">
        <v>0</v>
      </c>
      <c r="N20" s="184">
        <v>0</v>
      </c>
      <c r="O20" s="185">
        <v>0</v>
      </c>
    </row>
    <row r="21" spans="2:15">
      <c r="B21" s="99" t="s">
        <v>1166</v>
      </c>
      <c r="C21" s="96">
        <v>-600</v>
      </c>
      <c r="D21" s="97"/>
      <c r="E21" s="63">
        <v>0</v>
      </c>
      <c r="F21" s="64"/>
      <c r="G21" s="64" t="s">
        <v>58</v>
      </c>
      <c r="I21" s="144">
        <f>SUM(I8:I20)</f>
        <v>28304.957000000002</v>
      </c>
      <c r="J21" s="144" t="s">
        <v>1031</v>
      </c>
      <c r="L21" s="10" t="s">
        <v>1012</v>
      </c>
      <c r="M21" s="184">
        <v>0</v>
      </c>
      <c r="N21" s="184">
        <v>0</v>
      </c>
      <c r="O21" s="185">
        <v>0</v>
      </c>
    </row>
    <row r="22" spans="2:15">
      <c r="B22" s="99" t="s">
        <v>1032</v>
      </c>
      <c r="C22" s="96">
        <v>-2338.1</v>
      </c>
      <c r="D22" s="97"/>
      <c r="E22" s="63">
        <v>0</v>
      </c>
      <c r="F22" s="64"/>
      <c r="G22" s="64" t="s">
        <v>58</v>
      </c>
      <c r="L22" s="10" t="s">
        <v>1075</v>
      </c>
      <c r="M22" s="184">
        <v>0</v>
      </c>
      <c r="N22" s="184">
        <v>0</v>
      </c>
      <c r="O22" s="185">
        <v>0</v>
      </c>
    </row>
    <row r="23" spans="2:15">
      <c r="B23" s="99" t="s">
        <v>748</v>
      </c>
      <c r="C23" s="96">
        <v>-20</v>
      </c>
      <c r="D23" s="97"/>
      <c r="E23" s="63">
        <v>0</v>
      </c>
      <c r="F23" s="64"/>
      <c r="G23" s="64" t="s">
        <v>58</v>
      </c>
      <c r="L23" s="10" t="s">
        <v>1055</v>
      </c>
      <c r="M23" s="184">
        <v>0</v>
      </c>
      <c r="N23" s="184">
        <v>0</v>
      </c>
      <c r="O23" s="185">
        <v>0.4</v>
      </c>
    </row>
    <row r="24" spans="2:15">
      <c r="B24" s="99" t="s">
        <v>125</v>
      </c>
      <c r="C24" s="96">
        <f>-2200+174-56.1</f>
        <v>-2082.1</v>
      </c>
      <c r="D24" s="92"/>
      <c r="E24" s="63">
        <v>0</v>
      </c>
      <c r="F24" s="64"/>
      <c r="G24" s="64" t="s">
        <v>58</v>
      </c>
      <c r="L24" s="10" t="s">
        <v>1090</v>
      </c>
      <c r="M24" s="184">
        <v>0</v>
      </c>
      <c r="N24" s="184">
        <v>0</v>
      </c>
      <c r="O24" s="185">
        <v>0</v>
      </c>
    </row>
    <row r="25" spans="2:15">
      <c r="B25" s="99" t="s">
        <v>1149</v>
      </c>
      <c r="C25" s="96">
        <v>-300</v>
      </c>
      <c r="D25" s="97"/>
      <c r="E25" s="63">
        <v>0</v>
      </c>
      <c r="F25" s="64"/>
      <c r="G25" s="64" t="s">
        <v>58</v>
      </c>
      <c r="L25" s="10" t="s">
        <v>1101</v>
      </c>
      <c r="M25" s="184">
        <v>0</v>
      </c>
      <c r="N25" s="184">
        <v>0</v>
      </c>
      <c r="O25" s="185">
        <v>2</v>
      </c>
    </row>
    <row r="26" spans="2:15" ht="15.75">
      <c r="B26" s="99" t="s">
        <v>102</v>
      </c>
      <c r="C26" s="96">
        <v>-3900</v>
      </c>
      <c r="D26" s="97"/>
      <c r="E26" s="63">
        <v>0</v>
      </c>
      <c r="F26" s="64"/>
      <c r="G26" s="64" t="s">
        <v>58</v>
      </c>
      <c r="I26" s="200" t="s">
        <v>1167</v>
      </c>
      <c r="J26" s="201">
        <v>17.66</v>
      </c>
    </row>
    <row r="27" spans="2:15">
      <c r="B27" s="99" t="s">
        <v>83</v>
      </c>
      <c r="C27" s="96">
        <v>-42.56</v>
      </c>
      <c r="D27" s="97"/>
      <c r="E27" s="63">
        <v>0</v>
      </c>
      <c r="F27" s="64"/>
      <c r="G27" s="64" t="s">
        <v>58</v>
      </c>
      <c r="I27" s="199">
        <v>50</v>
      </c>
      <c r="J27" t="s">
        <v>1019</v>
      </c>
    </row>
    <row r="28" spans="2:15" ht="15.75">
      <c r="B28" s="99" t="s">
        <v>83</v>
      </c>
      <c r="C28" s="96">
        <v>-68.099999999999994</v>
      </c>
      <c r="D28" s="97"/>
      <c r="E28" s="63">
        <v>0</v>
      </c>
      <c r="F28" s="64"/>
      <c r="G28" s="64" t="s">
        <v>58</v>
      </c>
      <c r="I28" s="199">
        <v>50</v>
      </c>
      <c r="J28" t="s">
        <v>1168</v>
      </c>
      <c r="L28" s="200" t="s">
        <v>1169</v>
      </c>
      <c r="M28" s="201">
        <v>1350</v>
      </c>
    </row>
    <row r="29" spans="2:15" ht="15.75">
      <c r="B29" s="99" t="s">
        <v>73</v>
      </c>
      <c r="C29" s="96">
        <v>-433.23</v>
      </c>
      <c r="D29" s="97"/>
      <c r="E29" s="63">
        <v>0</v>
      </c>
      <c r="F29" s="64"/>
      <c r="G29" s="64" t="s">
        <v>58</v>
      </c>
      <c r="I29" s="199">
        <v>300</v>
      </c>
      <c r="J29" t="s">
        <v>1170</v>
      </c>
      <c r="L29" s="200" t="s">
        <v>1171</v>
      </c>
      <c r="M29" s="200">
        <v>570</v>
      </c>
    </row>
    <row r="30" spans="2:15" ht="15.75">
      <c r="B30" s="99" t="s">
        <v>41</v>
      </c>
      <c r="C30" s="96">
        <v>-51.31</v>
      </c>
      <c r="D30" s="97"/>
      <c r="E30" s="63">
        <v>0</v>
      </c>
      <c r="F30" s="64"/>
      <c r="G30" s="64" t="s">
        <v>58</v>
      </c>
      <c r="I30" s="199"/>
      <c r="L30" s="200" t="s">
        <v>1172</v>
      </c>
      <c r="M30" s="202">
        <v>6.9990000000000004E-4</v>
      </c>
    </row>
    <row r="31" spans="2:15">
      <c r="B31" s="99" t="s">
        <v>586</v>
      </c>
      <c r="C31" s="96">
        <v>-143.74</v>
      </c>
      <c r="D31" s="97"/>
      <c r="E31" s="63">
        <v>0</v>
      </c>
      <c r="F31" s="64"/>
      <c r="G31" s="64" t="s">
        <v>58</v>
      </c>
      <c r="L31" t="s">
        <v>1173</v>
      </c>
      <c r="M31">
        <f>M29*M30</f>
        <v>0.39894300000000005</v>
      </c>
    </row>
    <row r="32" spans="2:15">
      <c r="B32" s="99" t="s">
        <v>125</v>
      </c>
      <c r="C32" s="96">
        <v>-200</v>
      </c>
      <c r="D32" s="97"/>
      <c r="E32" s="63">
        <v>0</v>
      </c>
      <c r="F32" s="64"/>
      <c r="G32" s="64" t="s">
        <v>58</v>
      </c>
      <c r="L32" t="s">
        <v>1174</v>
      </c>
      <c r="M32" s="199">
        <f>M28*M31</f>
        <v>538.57305000000008</v>
      </c>
    </row>
    <row r="33" spans="2:7">
      <c r="B33" s="99" t="s">
        <v>924</v>
      </c>
      <c r="C33" s="96">
        <v>-50.8</v>
      </c>
      <c r="D33" s="97"/>
      <c r="E33" s="63">
        <v>0</v>
      </c>
      <c r="F33" s="64"/>
      <c r="G33" s="64" t="s">
        <v>58</v>
      </c>
    </row>
    <row r="34" spans="2:7">
      <c r="B34" s="99" t="s">
        <v>1175</v>
      </c>
      <c r="C34" s="96">
        <v>-25000</v>
      </c>
      <c r="D34" s="97"/>
      <c r="E34" s="63">
        <v>0</v>
      </c>
      <c r="F34" s="64"/>
      <c r="G34" s="64" t="s">
        <v>58</v>
      </c>
    </row>
    <row r="35" spans="2:7">
      <c r="B35" s="99" t="s">
        <v>755</v>
      </c>
      <c r="C35" s="96">
        <v>500</v>
      </c>
      <c r="D35" s="97"/>
      <c r="E35" s="63">
        <v>0</v>
      </c>
      <c r="F35" s="64"/>
      <c r="G35" s="64" t="s">
        <v>58</v>
      </c>
    </row>
    <row r="36" spans="2:7">
      <c r="B36" s="99" t="s">
        <v>1157</v>
      </c>
      <c r="C36" s="96">
        <v>-200</v>
      </c>
      <c r="D36" s="97"/>
      <c r="E36" s="63">
        <v>0</v>
      </c>
      <c r="F36" s="64"/>
      <c r="G36" s="64" t="s">
        <v>58</v>
      </c>
    </row>
    <row r="37" spans="2:7">
      <c r="B37" s="99" t="s">
        <v>686</v>
      </c>
      <c r="C37" s="96">
        <v>-768.68</v>
      </c>
      <c r="D37" s="97"/>
      <c r="E37" s="63">
        <v>0</v>
      </c>
      <c r="F37" s="64"/>
      <c r="G37" s="64" t="s">
        <v>58</v>
      </c>
    </row>
    <row r="38" spans="2:7" ht="18">
      <c r="B38" s="74" t="s">
        <v>45</v>
      </c>
      <c r="C38" s="188"/>
      <c r="D38" s="98"/>
      <c r="E38" s="129">
        <f>SUM(E3:E37)</f>
        <v>83.94</v>
      </c>
      <c r="F38" s="75"/>
      <c r="G38" s="75"/>
    </row>
    <row r="42" spans="2:7">
      <c r="E42" s="199"/>
    </row>
  </sheetData>
  <mergeCells count="1">
    <mergeCell ref="N2:O2"/>
  </mergeCells>
  <conditionalFormatting sqref="E22">
    <cfRule type="cellIs" dxfId="685" priority="46" stopIfTrue="1" operator="greaterThan">
      <formula>0</formula>
    </cfRule>
  </conditionalFormatting>
  <conditionalFormatting sqref="E17">
    <cfRule type="cellIs" dxfId="684" priority="45" stopIfTrue="1" operator="greaterThan">
      <formula>0</formula>
    </cfRule>
  </conditionalFormatting>
  <conditionalFormatting sqref="E15">
    <cfRule type="cellIs" dxfId="683" priority="44" stopIfTrue="1" operator="greaterThan">
      <formula>0</formula>
    </cfRule>
  </conditionalFormatting>
  <conditionalFormatting sqref="E16">
    <cfRule type="cellIs" dxfId="682" priority="42" stopIfTrue="1" operator="greaterThan">
      <formula>0</formula>
    </cfRule>
  </conditionalFormatting>
  <conditionalFormatting sqref="E18">
    <cfRule type="cellIs" dxfId="681" priority="37" stopIfTrue="1" operator="greaterThan">
      <formula>0</formula>
    </cfRule>
  </conditionalFormatting>
  <conditionalFormatting sqref="E19">
    <cfRule type="cellIs" dxfId="680" priority="36" stopIfTrue="1" operator="greaterThan">
      <formula>0</formula>
    </cfRule>
  </conditionalFormatting>
  <conditionalFormatting sqref="E21">
    <cfRule type="cellIs" dxfId="679" priority="35" stopIfTrue="1" operator="greaterThan">
      <formula>0</formula>
    </cfRule>
  </conditionalFormatting>
  <conditionalFormatting sqref="E14">
    <cfRule type="cellIs" dxfId="678" priority="34" stopIfTrue="1" operator="greaterThan">
      <formula>0</formula>
    </cfRule>
  </conditionalFormatting>
  <conditionalFormatting sqref="E13">
    <cfRule type="cellIs" dxfId="677" priority="33" stopIfTrue="1" operator="greaterThan">
      <formula>0</formula>
    </cfRule>
  </conditionalFormatting>
  <conditionalFormatting sqref="E25">
    <cfRule type="cellIs" dxfId="676" priority="32" stopIfTrue="1" operator="greaterThan">
      <formula>0</formula>
    </cfRule>
  </conditionalFormatting>
  <conditionalFormatting sqref="E31">
    <cfRule type="cellIs" dxfId="675" priority="26" stopIfTrue="1" operator="greaterThan">
      <formula>0</formula>
    </cfRule>
  </conditionalFormatting>
  <conditionalFormatting sqref="E37">
    <cfRule type="cellIs" dxfId="674" priority="25" stopIfTrue="1" operator="greaterThan">
      <formula>0</formula>
    </cfRule>
  </conditionalFormatting>
  <conditionalFormatting sqref="E20">
    <cfRule type="cellIs" dxfId="673" priority="24" stopIfTrue="1" operator="greaterThan">
      <formula>0</formula>
    </cfRule>
  </conditionalFormatting>
  <conditionalFormatting sqref="E26">
    <cfRule type="cellIs" dxfId="672" priority="20" stopIfTrue="1" operator="greaterThan">
      <formula>0</formula>
    </cfRule>
  </conditionalFormatting>
  <conditionalFormatting sqref="E29">
    <cfRule type="cellIs" dxfId="671" priority="19" stopIfTrue="1" operator="greaterThan">
      <formula>0</formula>
    </cfRule>
  </conditionalFormatting>
  <conditionalFormatting sqref="E23">
    <cfRule type="cellIs" dxfId="670" priority="18" stopIfTrue="1" operator="greaterThan">
      <formula>0</formula>
    </cfRule>
  </conditionalFormatting>
  <conditionalFormatting sqref="E24">
    <cfRule type="cellIs" dxfId="669" priority="17" stopIfTrue="1" operator="greaterThan">
      <formula>0</formula>
    </cfRule>
  </conditionalFormatting>
  <conditionalFormatting sqref="E27">
    <cfRule type="cellIs" dxfId="668" priority="16" stopIfTrue="1" operator="greaterThan">
      <formula>0</formula>
    </cfRule>
  </conditionalFormatting>
  <conditionalFormatting sqref="E28">
    <cfRule type="cellIs" dxfId="667" priority="13" stopIfTrue="1" operator="greaterThan">
      <formula>0</formula>
    </cfRule>
  </conditionalFormatting>
  <conditionalFormatting sqref="E33">
    <cfRule type="cellIs" dxfId="666" priority="12" stopIfTrue="1" operator="greaterThan">
      <formula>0</formula>
    </cfRule>
  </conditionalFormatting>
  <conditionalFormatting sqref="E32">
    <cfRule type="cellIs" dxfId="665" priority="11" stopIfTrue="1" operator="greaterThan">
      <formula>0</formula>
    </cfRule>
  </conditionalFormatting>
  <conditionalFormatting sqref="E34">
    <cfRule type="cellIs" dxfId="664" priority="6" stopIfTrue="1" operator="greaterThan">
      <formula>0</formula>
    </cfRule>
  </conditionalFormatting>
  <conditionalFormatting sqref="E30">
    <cfRule type="cellIs" dxfId="663" priority="5" stopIfTrue="1" operator="greaterThan">
      <formula>0</formula>
    </cfRule>
  </conditionalFormatting>
  <conditionalFormatting sqref="E35">
    <cfRule type="cellIs" dxfId="662" priority="1" stopIfTrue="1" operator="greaterThan">
      <formula>0</formula>
    </cfRule>
  </conditionalFormatting>
  <conditionalFormatting sqref="E36">
    <cfRule type="cellIs" dxfId="661" priority="2"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02.xml><?xml version="1.0" encoding="utf-8"?>
<worksheet xmlns="http://schemas.openxmlformats.org/spreadsheetml/2006/main" xmlns:r="http://schemas.openxmlformats.org/officeDocument/2006/relationships">
  <sheetPr>
    <pageSetUpPr autoPageBreaks="0"/>
  </sheetPr>
  <dimension ref="B1:O36"/>
  <sheetViews>
    <sheetView zoomScale="75" zoomScaleNormal="75" zoomScalePageLayoutView="75" workbookViewId="0">
      <selection activeCell="E13" sqref="E13:G13"/>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-23.29</v>
      </c>
      <c r="F3" s="72"/>
      <c r="G3" s="72"/>
      <c r="I3" s="10">
        <v>291.63</v>
      </c>
      <c r="J3" s="10" t="s">
        <v>914</v>
      </c>
      <c r="L3" s="10">
        <f>100*2.26</f>
        <v>225.99999999999997</v>
      </c>
      <c r="M3" s="10" t="s">
        <v>1125</v>
      </c>
      <c r="N3" s="194" t="s">
        <v>45</v>
      </c>
      <c r="O3" s="195">
        <v>11275.86</v>
      </c>
    </row>
    <row r="4" spans="2:15" ht="12" customHeight="1">
      <c r="B4" s="71" t="s">
        <v>5</v>
      </c>
      <c r="C4" s="91">
        <v>4000</v>
      </c>
      <c r="D4" s="92"/>
      <c r="E4" s="95">
        <v>0</v>
      </c>
      <c r="F4" s="72"/>
      <c r="G4" s="72"/>
      <c r="I4" s="10">
        <v>3036.2</v>
      </c>
      <c r="J4" s="10" t="s">
        <v>915</v>
      </c>
      <c r="L4" s="10">
        <f>200*2.26</f>
        <v>451.99999999999994</v>
      </c>
      <c r="M4" s="10" t="s">
        <v>716</v>
      </c>
      <c r="N4" s="194" t="s">
        <v>993</v>
      </c>
      <c r="O4" s="195">
        <f>O3/2</f>
        <v>5637.93</v>
      </c>
    </row>
    <row r="5" spans="2:15" ht="12" customHeight="1">
      <c r="B5" s="71" t="s">
        <v>1176</v>
      </c>
      <c r="C5" s="91">
        <v>5052.8999999999996</v>
      </c>
      <c r="D5" s="92"/>
      <c r="E5" s="95">
        <v>0</v>
      </c>
      <c r="F5" s="72"/>
      <c r="G5" s="72"/>
      <c r="I5" s="10"/>
      <c r="J5" s="10"/>
      <c r="L5" s="10">
        <f>O4</f>
        <v>5637.93</v>
      </c>
      <c r="M5" s="10" t="s">
        <v>1127</v>
      </c>
      <c r="N5" s="194" t="s">
        <v>1092</v>
      </c>
      <c r="O5" s="195">
        <f>O3/2</f>
        <v>5637.93</v>
      </c>
    </row>
    <row r="6" spans="2:15">
      <c r="B6" s="71" t="s">
        <v>1006</v>
      </c>
      <c r="C6" s="91">
        <v>6316.13</v>
      </c>
      <c r="D6" s="92"/>
      <c r="E6" s="95">
        <v>0</v>
      </c>
      <c r="F6" s="72"/>
      <c r="G6" s="72"/>
      <c r="L6" s="10">
        <f>I27*J26</f>
        <v>1178.0999999999999</v>
      </c>
      <c r="M6" s="10" t="s">
        <v>1133</v>
      </c>
    </row>
    <row r="7" spans="2:15" ht="15.75">
      <c r="B7" s="71" t="s">
        <v>107</v>
      </c>
      <c r="C7" s="91">
        <v>103.66</v>
      </c>
      <c r="D7" s="92"/>
      <c r="E7" s="95">
        <v>0</v>
      </c>
      <c r="F7" s="72"/>
      <c r="G7" s="72"/>
      <c r="I7" s="221" t="s">
        <v>1143</v>
      </c>
      <c r="J7" s="221" t="s">
        <v>408</v>
      </c>
      <c r="L7" s="10">
        <f>M32/2</f>
        <v>203.023434208</v>
      </c>
      <c r="M7" s="10" t="s">
        <v>1162</v>
      </c>
    </row>
    <row r="8" spans="2:15">
      <c r="B8" s="71" t="s">
        <v>1177</v>
      </c>
      <c r="C8" s="91">
        <v>180</v>
      </c>
      <c r="D8" s="92"/>
      <c r="E8" s="95">
        <v>0</v>
      </c>
      <c r="F8" s="72"/>
      <c r="G8" s="72"/>
      <c r="I8" s="10"/>
      <c r="J8" s="10"/>
      <c r="L8" s="144">
        <f>SUM(L3:L7)</f>
        <v>7697.0534342080009</v>
      </c>
      <c r="M8" s="144" t="s">
        <v>1031</v>
      </c>
    </row>
    <row r="9" spans="2:15">
      <c r="B9" s="71" t="s">
        <v>1066</v>
      </c>
      <c r="C9" s="91">
        <v>560</v>
      </c>
      <c r="D9" s="92"/>
      <c r="E9" s="95">
        <v>0</v>
      </c>
      <c r="F9" s="72"/>
      <c r="G9" s="72"/>
      <c r="I9" s="10"/>
      <c r="J9" s="10"/>
    </row>
    <row r="10" spans="2:15" ht="14.25" customHeight="1">
      <c r="B10" s="99" t="s">
        <v>714</v>
      </c>
      <c r="C10" s="96">
        <v>-15</v>
      </c>
      <c r="D10" s="97"/>
      <c r="E10" s="63">
        <v>0</v>
      </c>
      <c r="F10" s="64"/>
      <c r="G10" s="64" t="s">
        <v>58</v>
      </c>
      <c r="I10" s="10">
        <v>12185.21</v>
      </c>
      <c r="J10" s="10" t="s">
        <v>1101</v>
      </c>
      <c r="L10" s="221" t="s">
        <v>1130</v>
      </c>
      <c r="M10" s="221" t="s">
        <v>408</v>
      </c>
    </row>
    <row r="11" spans="2:15">
      <c r="B11" s="99" t="s">
        <v>1098</v>
      </c>
      <c r="C11" s="96">
        <v>-271.58</v>
      </c>
      <c r="D11" s="97"/>
      <c r="E11" s="63">
        <v>0</v>
      </c>
      <c r="F11" s="64"/>
      <c r="G11" s="64" t="s">
        <v>58</v>
      </c>
      <c r="I11" s="10">
        <v>919.51</v>
      </c>
      <c r="J11" s="10" t="s">
        <v>1048</v>
      </c>
      <c r="L11" s="10">
        <f>200*2.26</f>
        <v>451.99999999999994</v>
      </c>
      <c r="M11" s="10" t="s">
        <v>716</v>
      </c>
    </row>
    <row r="12" spans="2:15">
      <c r="B12" s="99" t="s">
        <v>65</v>
      </c>
      <c r="C12" s="96">
        <v>-914</v>
      </c>
      <c r="D12" s="97"/>
      <c r="E12" s="63">
        <v>0</v>
      </c>
      <c r="F12" s="64"/>
      <c r="G12" s="64" t="s">
        <v>58</v>
      </c>
      <c r="I12" s="10"/>
      <c r="J12" s="10"/>
      <c r="L12" s="10">
        <f>M32/2</f>
        <v>203.023434208</v>
      </c>
      <c r="M12" s="10" t="s">
        <v>1162</v>
      </c>
    </row>
    <row r="13" spans="2:15">
      <c r="B13" s="99" t="s">
        <v>1069</v>
      </c>
      <c r="C13" s="96">
        <v>-760</v>
      </c>
      <c r="D13" s="97"/>
      <c r="E13" s="63">
        <v>0</v>
      </c>
      <c r="F13" s="64"/>
      <c r="G13" s="64" t="s">
        <v>58</v>
      </c>
      <c r="I13" s="10">
        <f>489.05*2.26</f>
        <v>1105.2529999999999</v>
      </c>
      <c r="J13" s="10" t="s">
        <v>1088</v>
      </c>
      <c r="L13" s="10">
        <f>I28*J26</f>
        <v>1178.0999999999999</v>
      </c>
      <c r="M13" s="10" t="s">
        <v>1133</v>
      </c>
    </row>
    <row r="14" spans="2:15">
      <c r="B14" s="99" t="s">
        <v>103</v>
      </c>
      <c r="C14" s="96">
        <v>-164.09</v>
      </c>
      <c r="D14" s="97"/>
      <c r="E14" s="63">
        <v>0</v>
      </c>
      <c r="F14" s="64"/>
      <c r="G14" s="64" t="s">
        <v>58</v>
      </c>
      <c r="I14" s="10">
        <f>O5</f>
        <v>5637.93</v>
      </c>
      <c r="J14" s="10" t="s">
        <v>1127</v>
      </c>
      <c r="L14" s="10"/>
      <c r="M14" s="10"/>
    </row>
    <row r="15" spans="2:15">
      <c r="B15" s="99" t="s">
        <v>102</v>
      </c>
      <c r="C15" s="96">
        <v>-500</v>
      </c>
      <c r="D15" s="97"/>
      <c r="E15" s="63">
        <v>0</v>
      </c>
      <c r="F15" s="64"/>
      <c r="G15" s="64" t="s">
        <v>58</v>
      </c>
      <c r="I15" s="10">
        <f>I29*J26</f>
        <v>8863.7999999999993</v>
      </c>
      <c r="J15" s="10" t="s">
        <v>1133</v>
      </c>
      <c r="L15" s="10">
        <v>0</v>
      </c>
      <c r="M15" s="10"/>
    </row>
    <row r="16" spans="2:15">
      <c r="B16" s="99" t="s">
        <v>755</v>
      </c>
      <c r="C16" s="96">
        <v>500</v>
      </c>
      <c r="D16" s="97"/>
      <c r="E16" s="63">
        <v>0</v>
      </c>
      <c r="F16" s="64"/>
      <c r="G16" s="64" t="s">
        <v>58</v>
      </c>
      <c r="I16" s="10"/>
      <c r="J16" s="10"/>
      <c r="L16" s="144">
        <f>SUM(L11:L15)</f>
        <v>1833.1234342079997</v>
      </c>
      <c r="M16" s="144" t="s">
        <v>1031</v>
      </c>
    </row>
    <row r="17" spans="2:15">
      <c r="B17" s="99" t="s">
        <v>102</v>
      </c>
      <c r="C17" s="96">
        <f>-3500+444</f>
        <v>-3056</v>
      </c>
      <c r="D17" s="97"/>
      <c r="E17" s="63">
        <v>0</v>
      </c>
      <c r="F17" s="64"/>
      <c r="G17" s="64" t="s">
        <v>58</v>
      </c>
      <c r="I17" s="10">
        <v>3527.62</v>
      </c>
      <c r="J17" s="10" t="s">
        <v>1163</v>
      </c>
    </row>
    <row r="18" spans="2:15" ht="15.75">
      <c r="B18" s="99" t="s">
        <v>1148</v>
      </c>
      <c r="C18" s="96">
        <f>-200*2.22</f>
        <v>-444.00000000000006</v>
      </c>
      <c r="D18" s="97"/>
      <c r="E18" s="63">
        <v>0</v>
      </c>
      <c r="F18" s="64"/>
      <c r="G18" s="64" t="s">
        <v>58</v>
      </c>
      <c r="H18" s="143"/>
      <c r="I18" s="10">
        <v>-650</v>
      </c>
      <c r="J18" s="10" t="s">
        <v>1178</v>
      </c>
      <c r="L18" s="221" t="s">
        <v>1136</v>
      </c>
      <c r="M18" s="221" t="s">
        <v>1019</v>
      </c>
      <c r="N18" s="221" t="s">
        <v>1130</v>
      </c>
      <c r="O18" s="221" t="s">
        <v>1020</v>
      </c>
    </row>
    <row r="19" spans="2:15">
      <c r="B19" s="99" t="s">
        <v>755</v>
      </c>
      <c r="C19" s="96">
        <v>400</v>
      </c>
      <c r="D19" s="97"/>
      <c r="E19" s="63">
        <v>0</v>
      </c>
      <c r="F19" s="64"/>
      <c r="G19" s="64" t="s">
        <v>58</v>
      </c>
      <c r="I19" s="10">
        <v>251.39</v>
      </c>
      <c r="J19" s="10" t="s">
        <v>1165</v>
      </c>
      <c r="L19" s="10" t="s">
        <v>1015</v>
      </c>
      <c r="M19" s="184">
        <v>0</v>
      </c>
      <c r="N19" s="184">
        <v>0</v>
      </c>
      <c r="O19" s="185">
        <v>0</v>
      </c>
    </row>
    <row r="20" spans="2:15">
      <c r="B20" s="99" t="s">
        <v>102</v>
      </c>
      <c r="C20" s="96">
        <v>-200</v>
      </c>
      <c r="D20" s="97"/>
      <c r="E20" s="63">
        <v>0</v>
      </c>
      <c r="F20" s="64"/>
      <c r="G20" s="64" t="s">
        <v>58</v>
      </c>
      <c r="I20" s="10">
        <v>0</v>
      </c>
      <c r="J20" s="10" t="s">
        <v>1179</v>
      </c>
      <c r="L20" s="10" t="s">
        <v>1010</v>
      </c>
      <c r="M20" s="184">
        <v>0</v>
      </c>
      <c r="N20" s="184">
        <v>0</v>
      </c>
      <c r="O20" s="185">
        <v>0</v>
      </c>
    </row>
    <row r="21" spans="2:15">
      <c r="B21" s="99" t="s">
        <v>1032</v>
      </c>
      <c r="C21" s="96">
        <v>-5026.4799999999996</v>
      </c>
      <c r="D21" s="97"/>
      <c r="E21" s="63">
        <v>0</v>
      </c>
      <c r="F21" s="64"/>
      <c r="G21" s="64" t="s">
        <v>58</v>
      </c>
      <c r="I21" s="144">
        <f>SUM(I8:I20)</f>
        <v>31840.712999999996</v>
      </c>
      <c r="J21" s="144" t="s">
        <v>1031</v>
      </c>
      <c r="L21" s="10" t="s">
        <v>1012</v>
      </c>
      <c r="M21" s="184">
        <v>0</v>
      </c>
      <c r="N21" s="184">
        <v>0</v>
      </c>
      <c r="O21" s="185">
        <v>0</v>
      </c>
    </row>
    <row r="22" spans="2:15">
      <c r="B22" s="99" t="s">
        <v>1180</v>
      </c>
      <c r="C22" s="96">
        <v>-500</v>
      </c>
      <c r="D22" s="97"/>
      <c r="E22" s="63">
        <v>0</v>
      </c>
      <c r="F22" s="64"/>
      <c r="G22" s="64" t="s">
        <v>58</v>
      </c>
      <c r="L22" s="10" t="s">
        <v>1075</v>
      </c>
      <c r="M22" s="184">
        <v>0</v>
      </c>
      <c r="N22" s="184">
        <v>0</v>
      </c>
      <c r="O22" s="185">
        <v>0</v>
      </c>
    </row>
    <row r="23" spans="2:15">
      <c r="B23" s="99" t="s">
        <v>748</v>
      </c>
      <c r="C23" s="96">
        <v>-100</v>
      </c>
      <c r="D23" s="97"/>
      <c r="E23" s="63">
        <v>0</v>
      </c>
      <c r="F23" s="64"/>
      <c r="G23" s="64" t="s">
        <v>58</v>
      </c>
      <c r="L23" s="10" t="s">
        <v>1055</v>
      </c>
      <c r="M23" s="184">
        <v>0</v>
      </c>
      <c r="N23" s="184">
        <v>0</v>
      </c>
      <c r="O23" s="185">
        <v>0.4</v>
      </c>
    </row>
    <row r="24" spans="2:15">
      <c r="B24" s="99" t="s">
        <v>125</v>
      </c>
      <c r="C24" s="96">
        <v>-2700</v>
      </c>
      <c r="D24" s="92"/>
      <c r="E24" s="63">
        <v>0</v>
      </c>
      <c r="F24" s="64"/>
      <c r="G24" s="64" t="s">
        <v>58</v>
      </c>
      <c r="L24" s="10" t="s">
        <v>1090</v>
      </c>
      <c r="M24" s="184">
        <v>0</v>
      </c>
      <c r="N24" s="184">
        <v>0</v>
      </c>
      <c r="O24" s="185">
        <v>0</v>
      </c>
    </row>
    <row r="25" spans="2:15">
      <c r="B25" s="99" t="s">
        <v>73</v>
      </c>
      <c r="C25" s="96">
        <v>-435.08</v>
      </c>
      <c r="D25" s="97"/>
      <c r="E25" s="63">
        <v>0</v>
      </c>
      <c r="F25" s="64"/>
      <c r="G25" s="64" t="s">
        <v>58</v>
      </c>
      <c r="L25" s="10" t="s">
        <v>1101</v>
      </c>
      <c r="M25" s="184">
        <v>0</v>
      </c>
      <c r="N25" s="184">
        <v>0</v>
      </c>
      <c r="O25" s="185">
        <v>2</v>
      </c>
    </row>
    <row r="26" spans="2:15" ht="15.75">
      <c r="B26" s="99" t="s">
        <v>41</v>
      </c>
      <c r="C26" s="96">
        <v>-73.099999999999994</v>
      </c>
      <c r="D26" s="97"/>
      <c r="E26" s="63">
        <v>0</v>
      </c>
      <c r="F26" s="64"/>
      <c r="G26" s="64" t="s">
        <v>58</v>
      </c>
      <c r="I26" s="200" t="s">
        <v>1167</v>
      </c>
      <c r="J26" s="201">
        <v>18.7</v>
      </c>
    </row>
    <row r="27" spans="2:15">
      <c r="B27" s="99" t="s">
        <v>586</v>
      </c>
      <c r="C27" s="96">
        <v>-218.65</v>
      </c>
      <c r="D27" s="97"/>
      <c r="E27" s="63">
        <v>0</v>
      </c>
      <c r="F27" s="64"/>
      <c r="G27" s="64" t="s">
        <v>58</v>
      </c>
      <c r="I27" s="199">
        <v>63</v>
      </c>
      <c r="J27" t="s">
        <v>1019</v>
      </c>
    </row>
    <row r="28" spans="2:15" ht="15.75">
      <c r="B28" s="99" t="s">
        <v>924</v>
      </c>
      <c r="C28" s="96">
        <v>-43.71</v>
      </c>
      <c r="D28" s="97"/>
      <c r="E28" s="63">
        <v>0</v>
      </c>
      <c r="F28" s="64"/>
      <c r="G28" s="64" t="s">
        <v>58</v>
      </c>
      <c r="I28" s="199">
        <v>63</v>
      </c>
      <c r="J28" t="s">
        <v>1168</v>
      </c>
      <c r="L28" s="200" t="s">
        <v>1169</v>
      </c>
      <c r="M28" s="201">
        <v>1484.96</v>
      </c>
    </row>
    <row r="29" spans="2:15" ht="15.75">
      <c r="B29" s="99" t="s">
        <v>1181</v>
      </c>
      <c r="C29" s="96">
        <v>-650</v>
      </c>
      <c r="D29" s="97"/>
      <c r="E29" s="63">
        <v>0</v>
      </c>
      <c r="F29" s="64"/>
      <c r="G29" s="64" t="s">
        <v>58</v>
      </c>
      <c r="I29" s="199">
        <f>600-63*2</f>
        <v>474</v>
      </c>
      <c r="J29" t="s">
        <v>1170</v>
      </c>
      <c r="L29" s="200" t="s">
        <v>1171</v>
      </c>
      <c r="M29" s="200">
        <v>686</v>
      </c>
    </row>
    <row r="30" spans="2:15" ht="15.75">
      <c r="B30" s="99" t="s">
        <v>1182</v>
      </c>
      <c r="C30" s="96">
        <v>-50</v>
      </c>
      <c r="D30" s="97"/>
      <c r="E30" s="63">
        <v>0</v>
      </c>
      <c r="F30" s="64"/>
      <c r="G30" s="64" t="s">
        <v>58</v>
      </c>
      <c r="I30" s="199"/>
      <c r="L30" s="200" t="s">
        <v>1172</v>
      </c>
      <c r="M30" s="202">
        <v>3.9859999999999999E-4</v>
      </c>
    </row>
    <row r="31" spans="2:15">
      <c r="B31" s="99" t="s">
        <v>686</v>
      </c>
      <c r="C31" s="96">
        <v>-604.97</v>
      </c>
      <c r="D31" s="97"/>
      <c r="E31" s="63">
        <v>0</v>
      </c>
      <c r="F31" s="64"/>
      <c r="G31" s="64" t="s">
        <v>58</v>
      </c>
      <c r="L31" t="s">
        <v>1173</v>
      </c>
      <c r="M31">
        <f>M29*M30</f>
        <v>0.2734396</v>
      </c>
    </row>
    <row r="32" spans="2:15" ht="18">
      <c r="B32" s="74" t="s">
        <v>45</v>
      </c>
      <c r="C32" s="188"/>
      <c r="D32" s="98"/>
      <c r="E32" s="129">
        <f>SUM(E3:E31)</f>
        <v>-23.29</v>
      </c>
      <c r="F32" s="75"/>
      <c r="G32" s="75"/>
      <c r="L32" t="s">
        <v>1174</v>
      </c>
      <c r="M32" s="199">
        <f>M28*M31</f>
        <v>406.046868416</v>
      </c>
    </row>
    <row r="36" spans="5:5">
      <c r="E36" s="199"/>
    </row>
  </sheetData>
  <mergeCells count="1">
    <mergeCell ref="N2:O2"/>
  </mergeCells>
  <conditionalFormatting sqref="E12">
    <cfRule type="cellIs" dxfId="660" priority="28" stopIfTrue="1" operator="greaterThan">
      <formula>0</formula>
    </cfRule>
  </conditionalFormatting>
  <conditionalFormatting sqref="E15">
    <cfRule type="cellIs" dxfId="659" priority="26" stopIfTrue="1" operator="greaterThan">
      <formula>0</formula>
    </cfRule>
  </conditionalFormatting>
  <conditionalFormatting sqref="E17">
    <cfRule type="cellIs" dxfId="658" priority="25" stopIfTrue="1" operator="greaterThan">
      <formula>0</formula>
    </cfRule>
  </conditionalFormatting>
  <conditionalFormatting sqref="E20">
    <cfRule type="cellIs" dxfId="657" priority="24" stopIfTrue="1" operator="greaterThan">
      <formula>0</formula>
    </cfRule>
  </conditionalFormatting>
  <conditionalFormatting sqref="E21">
    <cfRule type="cellIs" dxfId="656" priority="23" stopIfTrue="1" operator="greaterThan">
      <formula>0</formula>
    </cfRule>
  </conditionalFormatting>
  <conditionalFormatting sqref="E30">
    <cfRule type="cellIs" dxfId="655" priority="21" stopIfTrue="1" operator="greaterThan">
      <formula>0</formula>
    </cfRule>
  </conditionalFormatting>
  <conditionalFormatting sqref="E11">
    <cfRule type="cellIs" dxfId="654" priority="20" stopIfTrue="1" operator="greaterThan">
      <formula>0</formula>
    </cfRule>
  </conditionalFormatting>
  <conditionalFormatting sqref="E18">
    <cfRule type="cellIs" dxfId="653" priority="19" stopIfTrue="1" operator="greaterThan">
      <formula>0</formula>
    </cfRule>
  </conditionalFormatting>
  <conditionalFormatting sqref="E19">
    <cfRule type="cellIs" dxfId="652" priority="18" stopIfTrue="1" operator="greaterThan">
      <formula>0</formula>
    </cfRule>
  </conditionalFormatting>
  <conditionalFormatting sqref="E27">
    <cfRule type="cellIs" dxfId="651" priority="16" stopIfTrue="1" operator="greaterThan">
      <formula>0</formula>
    </cfRule>
  </conditionalFormatting>
  <conditionalFormatting sqref="E10">
    <cfRule type="cellIs" dxfId="650" priority="15" stopIfTrue="1" operator="greaterThan">
      <formula>0</formula>
    </cfRule>
  </conditionalFormatting>
  <conditionalFormatting sqref="E13">
    <cfRule type="cellIs" dxfId="649" priority="14" stopIfTrue="1" operator="greaterThan">
      <formula>0</formula>
    </cfRule>
  </conditionalFormatting>
  <conditionalFormatting sqref="E23">
    <cfRule type="cellIs" dxfId="648" priority="13" stopIfTrue="1" operator="greaterThan">
      <formula>0</formula>
    </cfRule>
  </conditionalFormatting>
  <conditionalFormatting sqref="E31">
    <cfRule type="cellIs" dxfId="647" priority="12" stopIfTrue="1" operator="greaterThan">
      <formula>0</formula>
    </cfRule>
  </conditionalFormatting>
  <conditionalFormatting sqref="E25">
    <cfRule type="cellIs" dxfId="646" priority="10" stopIfTrue="1" operator="greaterThan">
      <formula>0</formula>
    </cfRule>
  </conditionalFormatting>
  <conditionalFormatting sqref="E22">
    <cfRule type="cellIs" dxfId="645" priority="9" stopIfTrue="1" operator="greaterThan">
      <formula>0</formula>
    </cfRule>
  </conditionalFormatting>
  <conditionalFormatting sqref="E24">
    <cfRule type="cellIs" dxfId="644" priority="8" stopIfTrue="1" operator="greaterThan">
      <formula>0</formula>
    </cfRule>
  </conditionalFormatting>
  <conditionalFormatting sqref="E14">
    <cfRule type="cellIs" dxfId="643" priority="7" stopIfTrue="1" operator="greaterThan">
      <formula>0</formula>
    </cfRule>
  </conditionalFormatting>
  <conditionalFormatting sqref="E28">
    <cfRule type="cellIs" dxfId="642" priority="4" stopIfTrue="1" operator="greaterThan">
      <formula>0</formula>
    </cfRule>
  </conditionalFormatting>
  <conditionalFormatting sqref="E29">
    <cfRule type="cellIs" dxfId="641" priority="3" stopIfTrue="1" operator="greaterThan">
      <formula>0</formula>
    </cfRule>
  </conditionalFormatting>
  <conditionalFormatting sqref="E16">
    <cfRule type="cellIs" dxfId="640" priority="2" stopIfTrue="1" operator="greaterThan">
      <formula>0</formula>
    </cfRule>
  </conditionalFormatting>
  <conditionalFormatting sqref="E26">
    <cfRule type="cellIs" dxfId="639" priority="1" stopIfTrue="1" operator="greaterThan">
      <formula>0</formula>
    </cfRule>
  </conditionalFormatting>
  <pageMargins left="0.511811024" right="0.511811024" top="0.78740157499999996" bottom="0.78740157499999996" header="0.31496062000000002" footer="0.31496062000000002"/>
</worksheet>
</file>

<file path=xl/worksheets/sheet103.xml><?xml version="1.0" encoding="utf-8"?>
<worksheet xmlns="http://schemas.openxmlformats.org/spreadsheetml/2006/main" xmlns:r="http://schemas.openxmlformats.org/officeDocument/2006/relationships">
  <sheetPr>
    <pageSetUpPr autoPageBreaks="0"/>
  </sheetPr>
  <dimension ref="B1:O32"/>
  <sheetViews>
    <sheetView zoomScale="75" zoomScaleNormal="75" zoomScalePageLayoutView="75" workbookViewId="0">
      <selection activeCell="E17" sqref="E17:G17"/>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-81.33</v>
      </c>
      <c r="F3" s="72"/>
      <c r="G3" s="72"/>
      <c r="I3" s="10">
        <v>1400.67</v>
      </c>
      <c r="J3" s="10" t="s">
        <v>914</v>
      </c>
      <c r="L3" s="10">
        <f>100*2.25</f>
        <v>225</v>
      </c>
      <c r="M3" s="10" t="s">
        <v>1125</v>
      </c>
      <c r="N3" s="194" t="s">
        <v>45</v>
      </c>
      <c r="O3" s="195">
        <v>11519.01</v>
      </c>
    </row>
    <row r="4" spans="2:15" ht="12" customHeight="1">
      <c r="B4" s="71" t="s">
        <v>5</v>
      </c>
      <c r="C4" s="91">
        <v>3919.56</v>
      </c>
      <c r="D4" s="92"/>
      <c r="E4" s="95">
        <v>0</v>
      </c>
      <c r="F4" s="72"/>
      <c r="G4" s="72"/>
      <c r="I4" s="10">
        <v>2409.3000000000002</v>
      </c>
      <c r="J4" s="10" t="s">
        <v>915</v>
      </c>
      <c r="L4" s="10">
        <f>200*2.25</f>
        <v>450</v>
      </c>
      <c r="M4" s="10" t="s">
        <v>716</v>
      </c>
      <c r="N4" s="194" t="s">
        <v>993</v>
      </c>
      <c r="O4" s="195">
        <f>O3/2</f>
        <v>5759.5050000000001</v>
      </c>
    </row>
    <row r="5" spans="2:15" ht="12" customHeight="1">
      <c r="B5" s="71" t="s">
        <v>1176</v>
      </c>
      <c r="C5" s="91">
        <v>5052.8999999999996</v>
      </c>
      <c r="D5" s="92"/>
      <c r="E5" s="95">
        <v>0</v>
      </c>
      <c r="F5" s="72"/>
      <c r="G5" s="72"/>
      <c r="I5" s="10"/>
      <c r="J5" s="10"/>
      <c r="L5" s="10">
        <f>O4</f>
        <v>5759.5050000000001</v>
      </c>
      <c r="M5" s="10" t="s">
        <v>1127</v>
      </c>
      <c r="N5" s="194" t="s">
        <v>1092</v>
      </c>
      <c r="O5" s="195">
        <f>O3/2</f>
        <v>5759.5050000000001</v>
      </c>
    </row>
    <row r="6" spans="2:15">
      <c r="B6" s="71" t="s">
        <v>107</v>
      </c>
      <c r="C6" s="91">
        <v>95.63</v>
      </c>
      <c r="D6" s="92"/>
      <c r="E6" s="95">
        <v>0</v>
      </c>
      <c r="F6" s="72"/>
      <c r="G6" s="72"/>
      <c r="L6" s="10">
        <f>I27*J26</f>
        <v>1292.76</v>
      </c>
      <c r="M6" s="10" t="s">
        <v>1133</v>
      </c>
    </row>
    <row r="7" spans="2:15" ht="15.75">
      <c r="B7" s="99" t="s">
        <v>714</v>
      </c>
      <c r="C7" s="96">
        <v>-10.3</v>
      </c>
      <c r="D7" s="97"/>
      <c r="E7" s="63">
        <v>0</v>
      </c>
      <c r="F7" s="64"/>
      <c r="G7" s="64" t="s">
        <v>58</v>
      </c>
      <c r="I7" s="221" t="s">
        <v>1143</v>
      </c>
      <c r="J7" s="221" t="s">
        <v>408</v>
      </c>
      <c r="L7" s="10">
        <f>M32/2</f>
        <v>366.43319439999999</v>
      </c>
      <c r="M7" s="10" t="s">
        <v>1162</v>
      </c>
    </row>
    <row r="8" spans="2:15">
      <c r="B8" s="99" t="s">
        <v>1098</v>
      </c>
      <c r="C8" s="96">
        <v>-100.48</v>
      </c>
      <c r="D8" s="97"/>
      <c r="E8" s="63">
        <v>0</v>
      </c>
      <c r="F8" s="64"/>
      <c r="G8" s="64" t="s">
        <v>58</v>
      </c>
      <c r="I8" s="10"/>
      <c r="J8" s="10"/>
      <c r="L8" s="144">
        <f>SUM(L3:L7)</f>
        <v>8093.6981943999999</v>
      </c>
      <c r="M8" s="144" t="s">
        <v>1031</v>
      </c>
    </row>
    <row r="9" spans="2:15">
      <c r="B9" s="99" t="s">
        <v>65</v>
      </c>
      <c r="C9" s="96">
        <v>-914</v>
      </c>
      <c r="D9" s="97"/>
      <c r="E9" s="63">
        <v>0</v>
      </c>
      <c r="F9" s="64"/>
      <c r="G9" s="64" t="s">
        <v>58</v>
      </c>
      <c r="I9" s="10"/>
      <c r="J9" s="10"/>
    </row>
    <row r="10" spans="2:15" ht="14.25" customHeight="1">
      <c r="B10" s="99" t="s">
        <v>1069</v>
      </c>
      <c r="C10" s="96">
        <v>-760</v>
      </c>
      <c r="D10" s="97"/>
      <c r="E10" s="63">
        <v>0</v>
      </c>
      <c r="F10" s="64"/>
      <c r="G10" s="64" t="s">
        <v>58</v>
      </c>
      <c r="I10" s="10">
        <v>12294.71</v>
      </c>
      <c r="J10" s="10" t="s">
        <v>1101</v>
      </c>
      <c r="L10" s="221" t="s">
        <v>1130</v>
      </c>
      <c r="M10" s="221" t="s">
        <v>408</v>
      </c>
    </row>
    <row r="11" spans="2:15">
      <c r="B11" s="99" t="s">
        <v>103</v>
      </c>
      <c r="C11" s="96">
        <v>-291.63</v>
      </c>
      <c r="D11" s="97"/>
      <c r="E11" s="63">
        <v>0</v>
      </c>
      <c r="F11" s="64"/>
      <c r="G11" s="64" t="s">
        <v>58</v>
      </c>
      <c r="I11" s="10">
        <v>927.25</v>
      </c>
      <c r="J11" s="10" t="s">
        <v>1048</v>
      </c>
      <c r="L11" s="10">
        <f>200*2.25</f>
        <v>450</v>
      </c>
      <c r="M11" s="10" t="s">
        <v>716</v>
      </c>
    </row>
    <row r="12" spans="2:15">
      <c r="B12" s="99" t="s">
        <v>1148</v>
      </c>
      <c r="C12" s="96">
        <f>-200*2.22</f>
        <v>-444.00000000000006</v>
      </c>
      <c r="D12" s="97"/>
      <c r="E12" s="63">
        <v>0</v>
      </c>
      <c r="F12" s="64"/>
      <c r="G12" s="64" t="s">
        <v>58</v>
      </c>
      <c r="I12" s="10"/>
      <c r="J12" s="10"/>
      <c r="L12" s="10">
        <f>M32/2</f>
        <v>366.43319439999999</v>
      </c>
      <c r="M12" s="10" t="s">
        <v>1162</v>
      </c>
    </row>
    <row r="13" spans="2:15">
      <c r="B13" s="99" t="s">
        <v>1032</v>
      </c>
      <c r="C13" s="96">
        <v>-3036.2</v>
      </c>
      <c r="D13" s="97"/>
      <c r="E13" s="63">
        <v>0</v>
      </c>
      <c r="F13" s="64"/>
      <c r="G13" s="64" t="s">
        <v>58</v>
      </c>
      <c r="I13" s="10">
        <f>489.05*2.25</f>
        <v>1100.3625</v>
      </c>
      <c r="J13" s="10" t="s">
        <v>1088</v>
      </c>
      <c r="L13" s="10">
        <f>I28*J26</f>
        <v>1292.76</v>
      </c>
      <c r="M13" s="10" t="s">
        <v>1133</v>
      </c>
    </row>
    <row r="14" spans="2:15">
      <c r="B14" s="99" t="s">
        <v>748</v>
      </c>
      <c r="C14" s="96">
        <v>-90</v>
      </c>
      <c r="D14" s="97"/>
      <c r="E14" s="63">
        <v>0</v>
      </c>
      <c r="F14" s="64"/>
      <c r="G14" s="64" t="s">
        <v>58</v>
      </c>
      <c r="I14" s="10">
        <f>O5</f>
        <v>5759.5050000000001</v>
      </c>
      <c r="J14" s="10" t="s">
        <v>1127</v>
      </c>
      <c r="L14" s="10"/>
      <c r="M14" s="10"/>
    </row>
    <row r="15" spans="2:15">
      <c r="B15" s="99" t="s">
        <v>125</v>
      </c>
      <c r="C15" s="96">
        <v>-2875</v>
      </c>
      <c r="D15" s="92"/>
      <c r="E15" s="63">
        <v>0</v>
      </c>
      <c r="F15" s="64"/>
      <c r="G15" s="64" t="s">
        <v>58</v>
      </c>
      <c r="I15" s="10">
        <f>I29*J26</f>
        <v>9726.48</v>
      </c>
      <c r="J15" s="10" t="s">
        <v>1133</v>
      </c>
      <c r="L15" s="10">
        <v>0</v>
      </c>
      <c r="M15" s="10"/>
    </row>
    <row r="16" spans="2:15">
      <c r="B16" s="99" t="s">
        <v>73</v>
      </c>
      <c r="C16" s="96">
        <v>-456.96</v>
      </c>
      <c r="D16" s="97"/>
      <c r="E16" s="63">
        <v>0</v>
      </c>
      <c r="F16" s="64"/>
      <c r="G16" s="64" t="s">
        <v>58</v>
      </c>
      <c r="I16" s="10"/>
      <c r="J16" s="10"/>
      <c r="L16" s="144">
        <f>SUM(L11:L15)</f>
        <v>2109.1931943999998</v>
      </c>
      <c r="M16" s="144" t="s">
        <v>1031</v>
      </c>
    </row>
    <row r="17" spans="2:15">
      <c r="B17" s="99" t="s">
        <v>41</v>
      </c>
      <c r="C17" s="96">
        <v>-77.92</v>
      </c>
      <c r="D17" s="97"/>
      <c r="E17" s="63">
        <v>0</v>
      </c>
      <c r="F17" s="64"/>
      <c r="G17" s="64" t="s">
        <v>58</v>
      </c>
      <c r="I17" s="10">
        <v>1639.48</v>
      </c>
      <c r="J17" s="10" t="s">
        <v>1163</v>
      </c>
    </row>
    <row r="18" spans="2:15" ht="15.75">
      <c r="B18" s="99" t="s">
        <v>586</v>
      </c>
      <c r="C18" s="96">
        <v>-218.65</v>
      </c>
      <c r="D18" s="97"/>
      <c r="E18" s="63">
        <v>0</v>
      </c>
      <c r="F18" s="64"/>
      <c r="G18" s="64" t="s">
        <v>58</v>
      </c>
      <c r="H18" s="143"/>
      <c r="I18" s="10"/>
      <c r="J18" s="10"/>
      <c r="L18" s="221" t="s">
        <v>1136</v>
      </c>
      <c r="M18" s="221" t="s">
        <v>1019</v>
      </c>
      <c r="N18" s="221" t="s">
        <v>1130</v>
      </c>
      <c r="O18" s="221" t="s">
        <v>1020</v>
      </c>
    </row>
    <row r="19" spans="2:15">
      <c r="B19" s="99" t="s">
        <v>924</v>
      </c>
      <c r="C19" s="96">
        <v>-53.13</v>
      </c>
      <c r="D19" s="97"/>
      <c r="E19" s="63">
        <v>0</v>
      </c>
      <c r="F19" s="64"/>
      <c r="G19" s="64" t="s">
        <v>58</v>
      </c>
      <c r="I19" s="10">
        <v>380</v>
      </c>
      <c r="J19" s="10" t="s">
        <v>1165</v>
      </c>
      <c r="L19" s="10" t="s">
        <v>1015</v>
      </c>
      <c r="M19" s="184">
        <v>0</v>
      </c>
      <c r="N19" s="184">
        <v>0</v>
      </c>
      <c r="O19" s="185">
        <v>0</v>
      </c>
    </row>
    <row r="20" spans="2:15">
      <c r="B20" s="99" t="s">
        <v>1183</v>
      </c>
      <c r="C20" s="96">
        <v>1900</v>
      </c>
      <c r="D20" s="97"/>
      <c r="E20" s="63">
        <v>0</v>
      </c>
      <c r="F20" s="64"/>
      <c r="G20" s="64" t="s">
        <v>58</v>
      </c>
      <c r="I20" s="10"/>
      <c r="J20" s="10"/>
      <c r="L20" s="10" t="s">
        <v>1010</v>
      </c>
      <c r="M20" s="184">
        <v>0</v>
      </c>
      <c r="N20" s="184">
        <v>0</v>
      </c>
      <c r="O20" s="185">
        <v>0</v>
      </c>
    </row>
    <row r="21" spans="2:15">
      <c r="B21" s="99" t="s">
        <v>600</v>
      </c>
      <c r="C21" s="96">
        <v>87</v>
      </c>
      <c r="D21" s="97"/>
      <c r="E21" s="63">
        <v>0</v>
      </c>
      <c r="F21" s="64"/>
      <c r="G21" s="64" t="s">
        <v>58</v>
      </c>
      <c r="I21" s="144">
        <f>SUM(I8:I20)</f>
        <v>31827.787499999999</v>
      </c>
      <c r="J21" s="144" t="s">
        <v>1031</v>
      </c>
      <c r="L21" s="10" t="s">
        <v>1012</v>
      </c>
      <c r="M21" s="184">
        <v>0</v>
      </c>
      <c r="N21" s="184">
        <v>0</v>
      </c>
      <c r="O21" s="185">
        <v>0</v>
      </c>
    </row>
    <row r="22" spans="2:15">
      <c r="B22" s="99" t="s">
        <v>755</v>
      </c>
      <c r="C22" s="96">
        <v>500</v>
      </c>
      <c r="D22" s="97"/>
      <c r="E22" s="63">
        <v>0</v>
      </c>
      <c r="F22" s="64"/>
      <c r="G22" s="64" t="s">
        <v>58</v>
      </c>
      <c r="L22" s="10" t="s">
        <v>1075</v>
      </c>
      <c r="M22" s="184">
        <v>0</v>
      </c>
      <c r="N22" s="184">
        <v>0</v>
      </c>
      <c r="O22" s="185">
        <v>0</v>
      </c>
    </row>
    <row r="23" spans="2:15">
      <c r="B23" s="99" t="s">
        <v>102</v>
      </c>
      <c r="C23" s="96">
        <v>-500</v>
      </c>
      <c r="D23" s="97"/>
      <c r="E23" s="63">
        <v>0</v>
      </c>
      <c r="F23" s="64"/>
      <c r="G23" s="64" t="s">
        <v>58</v>
      </c>
      <c r="L23" s="10" t="s">
        <v>1055</v>
      </c>
      <c r="M23" s="184">
        <v>0</v>
      </c>
      <c r="N23" s="184">
        <v>0</v>
      </c>
      <c r="O23" s="185">
        <v>0.4</v>
      </c>
    </row>
    <row r="24" spans="2:15">
      <c r="B24" s="99" t="s">
        <v>686</v>
      </c>
      <c r="C24" s="96">
        <v>-805.43</v>
      </c>
      <c r="D24" s="97"/>
      <c r="E24" s="63">
        <v>0</v>
      </c>
      <c r="F24" s="64"/>
      <c r="G24" s="64" t="s">
        <v>58</v>
      </c>
      <c r="L24" s="10" t="s">
        <v>1090</v>
      </c>
      <c r="M24" s="184">
        <v>0</v>
      </c>
      <c r="N24" s="184">
        <v>0</v>
      </c>
      <c r="O24" s="185">
        <v>0</v>
      </c>
    </row>
    <row r="25" spans="2:15" ht="18">
      <c r="B25" s="74" t="s">
        <v>45</v>
      </c>
      <c r="C25" s="188"/>
      <c r="D25" s="98"/>
      <c r="E25" s="129">
        <f>SUM(E3:E24)</f>
        <v>-81.33</v>
      </c>
      <c r="F25" s="75"/>
      <c r="G25" s="75"/>
      <c r="L25" s="10" t="s">
        <v>1101</v>
      </c>
      <c r="M25" s="184">
        <v>0</v>
      </c>
      <c r="N25" s="184">
        <v>0</v>
      </c>
      <c r="O25" s="185">
        <v>2</v>
      </c>
    </row>
    <row r="26" spans="2:15" ht="15.75">
      <c r="I26" s="203" t="s">
        <v>1167</v>
      </c>
      <c r="J26" s="204">
        <v>20.52</v>
      </c>
    </row>
    <row r="27" spans="2:15">
      <c r="I27" s="205">
        <v>63</v>
      </c>
      <c r="J27" s="206" t="s">
        <v>1019</v>
      </c>
    </row>
    <row r="28" spans="2:15" ht="15.75">
      <c r="I28" s="205">
        <v>63</v>
      </c>
      <c r="J28" s="206" t="s">
        <v>1168</v>
      </c>
      <c r="L28" s="203" t="s">
        <v>1169</v>
      </c>
      <c r="M28" s="204">
        <v>1520</v>
      </c>
    </row>
    <row r="29" spans="2:15" ht="15.75">
      <c r="E29" s="199"/>
      <c r="I29" s="205">
        <f>600-63*2</f>
        <v>474</v>
      </c>
      <c r="J29" s="206" t="s">
        <v>1170</v>
      </c>
      <c r="L29" s="203" t="s">
        <v>1171</v>
      </c>
      <c r="M29" s="203">
        <v>1898</v>
      </c>
    </row>
    <row r="30" spans="2:15" ht="15.75">
      <c r="I30" s="199"/>
      <c r="L30" s="203" t="s">
        <v>1172</v>
      </c>
      <c r="M30" s="207">
        <v>2.5402999999999998E-4</v>
      </c>
    </row>
    <row r="31" spans="2:15">
      <c r="L31" s="206" t="s">
        <v>1173</v>
      </c>
      <c r="M31" s="206">
        <f>M29*M30</f>
        <v>0.48214893999999997</v>
      </c>
    </row>
    <row r="32" spans="2:15">
      <c r="L32" s="206" t="s">
        <v>1174</v>
      </c>
      <c r="M32" s="205">
        <f>M28*M31</f>
        <v>732.86638879999998</v>
      </c>
    </row>
  </sheetData>
  <mergeCells count="1">
    <mergeCell ref="N2:O2"/>
  </mergeCells>
  <conditionalFormatting sqref="E13">
    <cfRule type="cellIs" dxfId="638" priority="21" stopIfTrue="1" operator="greaterThan">
      <formula>0</formula>
    </cfRule>
  </conditionalFormatting>
  <conditionalFormatting sqref="E8">
    <cfRule type="cellIs" dxfId="637" priority="25" stopIfTrue="1" operator="greaterThan">
      <formula>0</formula>
    </cfRule>
  </conditionalFormatting>
  <conditionalFormatting sqref="E9">
    <cfRule type="cellIs" dxfId="636" priority="24" stopIfTrue="1" operator="greaterThan">
      <formula>0</formula>
    </cfRule>
  </conditionalFormatting>
  <conditionalFormatting sqref="E10">
    <cfRule type="cellIs" dxfId="635" priority="23" stopIfTrue="1" operator="greaterThan">
      <formula>0</formula>
    </cfRule>
  </conditionalFormatting>
  <conditionalFormatting sqref="E11">
    <cfRule type="cellIs" dxfId="634" priority="22" stopIfTrue="1" operator="greaterThan">
      <formula>0</formula>
    </cfRule>
  </conditionalFormatting>
  <conditionalFormatting sqref="E14">
    <cfRule type="cellIs" dxfId="633" priority="20" stopIfTrue="1" operator="greaterThan">
      <formula>0</formula>
    </cfRule>
  </conditionalFormatting>
  <conditionalFormatting sqref="E18">
    <cfRule type="cellIs" dxfId="632" priority="19" stopIfTrue="1" operator="greaterThan">
      <formula>0</formula>
    </cfRule>
  </conditionalFormatting>
  <conditionalFormatting sqref="E21">
    <cfRule type="cellIs" dxfId="631" priority="16" stopIfTrue="1" operator="greaterThan">
      <formula>0</formula>
    </cfRule>
  </conditionalFormatting>
  <conditionalFormatting sqref="E7">
    <cfRule type="cellIs" dxfId="630" priority="14" stopIfTrue="1" operator="greaterThan">
      <formula>0</formula>
    </cfRule>
  </conditionalFormatting>
  <conditionalFormatting sqref="E20">
    <cfRule type="cellIs" dxfId="629" priority="13" stopIfTrue="1" operator="greaterThan">
      <formula>0</formula>
    </cfRule>
  </conditionalFormatting>
  <conditionalFormatting sqref="E24">
    <cfRule type="cellIs" dxfId="628" priority="12" stopIfTrue="1" operator="greaterThan">
      <formula>0</formula>
    </cfRule>
  </conditionalFormatting>
  <conditionalFormatting sqref="E16">
    <cfRule type="cellIs" dxfId="627" priority="11" stopIfTrue="1" operator="greaterThan">
      <formula>0</formula>
    </cfRule>
  </conditionalFormatting>
  <conditionalFormatting sqref="E23">
    <cfRule type="cellIs" dxfId="626" priority="10" stopIfTrue="1" operator="greaterThan">
      <formula>0</formula>
    </cfRule>
  </conditionalFormatting>
  <conditionalFormatting sqref="E12">
    <cfRule type="cellIs" dxfId="625" priority="7" stopIfTrue="1" operator="greaterThan">
      <formula>0</formula>
    </cfRule>
  </conditionalFormatting>
  <conditionalFormatting sqref="E15">
    <cfRule type="cellIs" dxfId="624" priority="6" stopIfTrue="1" operator="greaterThan">
      <formula>0</formula>
    </cfRule>
  </conditionalFormatting>
  <conditionalFormatting sqref="E22">
    <cfRule type="cellIs" dxfId="623" priority="3" stopIfTrue="1" operator="greaterThan">
      <formula>0</formula>
    </cfRule>
  </conditionalFormatting>
  <conditionalFormatting sqref="E19">
    <cfRule type="cellIs" dxfId="622" priority="2" stopIfTrue="1" operator="greaterThan">
      <formula>0</formula>
    </cfRule>
  </conditionalFormatting>
  <conditionalFormatting sqref="E17">
    <cfRule type="cellIs" dxfId="621" priority="1" stopIfTrue="1" operator="greaterThan">
      <formula>0</formula>
    </cfRule>
  </conditionalFormatting>
  <pageMargins left="0.511811024" right="0.511811024" top="0.78740157499999996" bottom="0.78740157499999996" header="0.31496062000000002" footer="0.31496062000000002"/>
</worksheet>
</file>

<file path=xl/worksheets/sheet104.xml><?xml version="1.0" encoding="utf-8"?>
<worksheet xmlns="http://schemas.openxmlformats.org/spreadsheetml/2006/main" xmlns:r="http://schemas.openxmlformats.org/officeDocument/2006/relationships">
  <sheetPr>
    <pageSetUpPr autoPageBreaks="0"/>
  </sheetPr>
  <dimension ref="B1:P37"/>
  <sheetViews>
    <sheetView zoomScale="75" zoomScaleNormal="75" zoomScalePageLayoutView="75" workbookViewId="0">
      <selection activeCell="C12" sqref="C12"/>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 min="16" max="16" width="14"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-164.98</v>
      </c>
      <c r="F3" s="72"/>
      <c r="G3" s="72"/>
      <c r="I3" s="10">
        <v>640.65</v>
      </c>
      <c r="J3" s="10" t="s">
        <v>914</v>
      </c>
      <c r="L3" s="10">
        <f>100*2.22</f>
        <v>222.00000000000003</v>
      </c>
      <c r="M3" s="10" t="s">
        <v>1125</v>
      </c>
      <c r="N3" s="194" t="s">
        <v>45</v>
      </c>
      <c r="O3" s="195">
        <v>11768.82</v>
      </c>
    </row>
    <row r="4" spans="2:15" ht="12" customHeight="1">
      <c r="B4" s="71" t="s">
        <v>5</v>
      </c>
      <c r="C4" s="91">
        <v>4332.83</v>
      </c>
      <c r="D4" s="92"/>
      <c r="E4" s="95">
        <v>0</v>
      </c>
      <c r="F4" s="72"/>
      <c r="G4" s="72"/>
      <c r="I4" s="10">
        <v>2593.87</v>
      </c>
      <c r="J4" s="10" t="s">
        <v>915</v>
      </c>
      <c r="L4" s="10">
        <f>200*2.22</f>
        <v>444.00000000000006</v>
      </c>
      <c r="M4" s="10" t="s">
        <v>716</v>
      </c>
      <c r="N4" s="194" t="s">
        <v>993</v>
      </c>
      <c r="O4" s="195">
        <f>O3/2</f>
        <v>5884.41</v>
      </c>
    </row>
    <row r="5" spans="2:15" ht="12" customHeight="1">
      <c r="B5" s="71" t="s">
        <v>1184</v>
      </c>
      <c r="C5" s="91">
        <v>5052.8999999999996</v>
      </c>
      <c r="D5" s="92"/>
      <c r="E5" s="95">
        <v>0</v>
      </c>
      <c r="F5" s="72"/>
      <c r="G5" s="72"/>
      <c r="I5" s="10"/>
      <c r="J5" s="10"/>
      <c r="L5" s="10">
        <f>O4</f>
        <v>5884.41</v>
      </c>
      <c r="M5" s="10" t="s">
        <v>1127</v>
      </c>
      <c r="N5" s="194" t="s">
        <v>1092</v>
      </c>
      <c r="O5" s="195">
        <f>O3/2</f>
        <v>5884.41</v>
      </c>
    </row>
    <row r="6" spans="2:15">
      <c r="B6" s="71" t="s">
        <v>107</v>
      </c>
      <c r="C6" s="91">
        <f>189.53-77.53</f>
        <v>112</v>
      </c>
      <c r="D6" s="92"/>
      <c r="E6" s="95">
        <v>0</v>
      </c>
      <c r="F6" s="72"/>
      <c r="G6" s="72"/>
      <c r="L6" s="10">
        <f>I27*J26</f>
        <v>1301.58</v>
      </c>
      <c r="M6" s="10" t="s">
        <v>1133</v>
      </c>
    </row>
    <row r="7" spans="2:15" ht="15.75">
      <c r="B7" s="71" t="s">
        <v>1103</v>
      </c>
      <c r="C7" s="91">
        <v>69</v>
      </c>
      <c r="D7" s="92"/>
      <c r="E7" s="95">
        <v>0</v>
      </c>
      <c r="F7" s="72"/>
      <c r="G7" s="72"/>
      <c r="I7" s="221" t="s">
        <v>1143</v>
      </c>
      <c r="J7" s="221" t="s">
        <v>408</v>
      </c>
      <c r="L7" s="10">
        <f>M20*P20</f>
        <v>264.31299999999999</v>
      </c>
      <c r="M7" s="10" t="s">
        <v>1185</v>
      </c>
    </row>
    <row r="8" spans="2:15">
      <c r="B8" s="71" t="s">
        <v>1186</v>
      </c>
      <c r="C8" s="91">
        <v>118.56</v>
      </c>
      <c r="D8" s="92"/>
      <c r="E8" s="95">
        <v>0</v>
      </c>
      <c r="F8" s="72"/>
      <c r="G8" s="72"/>
      <c r="I8" s="10"/>
      <c r="J8" s="10"/>
      <c r="L8" s="10">
        <f>M29/2</f>
        <v>126.62763582000001</v>
      </c>
      <c r="M8" s="10" t="s">
        <v>1162</v>
      </c>
    </row>
    <row r="9" spans="2:15">
      <c r="B9" s="71" t="s">
        <v>107</v>
      </c>
      <c r="C9" s="91">
        <v>71.53</v>
      </c>
      <c r="D9" s="92"/>
      <c r="E9" s="95">
        <f>C9</f>
        <v>71.53</v>
      </c>
      <c r="F9" s="72"/>
      <c r="G9" s="72"/>
      <c r="I9" s="10"/>
      <c r="J9" s="10"/>
      <c r="L9" s="144">
        <f>SUM(L3:L8)</f>
        <v>8242.9306358199992</v>
      </c>
      <c r="M9" s="144" t="s">
        <v>1031</v>
      </c>
    </row>
    <row r="10" spans="2:15" ht="14.25" customHeight="1">
      <c r="B10" s="99" t="s">
        <v>714</v>
      </c>
      <c r="C10" s="96">
        <v>-25</v>
      </c>
      <c r="D10" s="97"/>
      <c r="E10" s="63">
        <v>0</v>
      </c>
      <c r="F10" s="64"/>
      <c r="G10" s="64" t="s">
        <v>58</v>
      </c>
      <c r="I10" s="10">
        <f>P22</f>
        <v>12394.83</v>
      </c>
      <c r="J10" s="10" t="s">
        <v>1101</v>
      </c>
    </row>
    <row r="11" spans="2:15" ht="15.75">
      <c r="B11" s="99" t="s">
        <v>1098</v>
      </c>
      <c r="C11" s="96">
        <v>-97.08</v>
      </c>
      <c r="D11" s="97"/>
      <c r="E11" s="63">
        <v>0</v>
      </c>
      <c r="F11" s="64"/>
      <c r="G11" s="64" t="s">
        <v>58</v>
      </c>
      <c r="I11" s="10">
        <f>P21</f>
        <v>934.55</v>
      </c>
      <c r="J11" s="10" t="s">
        <v>1048</v>
      </c>
      <c r="L11" s="221" t="s">
        <v>1130</v>
      </c>
      <c r="M11" s="221" t="s">
        <v>408</v>
      </c>
    </row>
    <row r="12" spans="2:15">
      <c r="B12" s="99" t="s">
        <v>65</v>
      </c>
      <c r="C12" s="96">
        <v>-914</v>
      </c>
      <c r="D12" s="97"/>
      <c r="E12" s="63">
        <v>0</v>
      </c>
      <c r="F12" s="64"/>
      <c r="G12" s="64" t="s">
        <v>58</v>
      </c>
      <c r="I12" s="10">
        <f>O20*P20</f>
        <v>302.072</v>
      </c>
      <c r="J12" s="10" t="s">
        <v>1185</v>
      </c>
      <c r="L12" s="10">
        <f>200*2.22</f>
        <v>444.00000000000006</v>
      </c>
      <c r="M12" s="10" t="s">
        <v>716</v>
      </c>
    </row>
    <row r="13" spans="2:15">
      <c r="B13" s="99" t="s">
        <v>1069</v>
      </c>
      <c r="C13" s="96">
        <v>-760</v>
      </c>
      <c r="D13" s="97"/>
      <c r="E13" s="63">
        <v>0</v>
      </c>
      <c r="F13" s="64"/>
      <c r="G13" s="64" t="s">
        <v>58</v>
      </c>
      <c r="I13" s="10">
        <f>489.05*2.22</f>
        <v>1085.691</v>
      </c>
      <c r="J13" s="10" t="s">
        <v>1088</v>
      </c>
      <c r="L13" s="10">
        <f>M29/2</f>
        <v>126.62763582000001</v>
      </c>
      <c r="M13" s="10" t="s">
        <v>1162</v>
      </c>
    </row>
    <row r="14" spans="2:15">
      <c r="B14" s="99" t="s">
        <v>103</v>
      </c>
      <c r="C14" s="96">
        <v>-1400.97</v>
      </c>
      <c r="D14" s="97"/>
      <c r="E14" s="63">
        <v>0</v>
      </c>
      <c r="F14" s="64"/>
      <c r="G14" s="64" t="s">
        <v>58</v>
      </c>
      <c r="I14" s="10">
        <f>O5</f>
        <v>5884.41</v>
      </c>
      <c r="J14" s="10" t="s">
        <v>1127</v>
      </c>
      <c r="L14" s="10">
        <f>I28*J26</f>
        <v>1301.58</v>
      </c>
      <c r="M14" s="10" t="s">
        <v>1133</v>
      </c>
    </row>
    <row r="15" spans="2:15">
      <c r="B15" s="99" t="s">
        <v>1187</v>
      </c>
      <c r="C15" s="96">
        <v>400</v>
      </c>
      <c r="D15" s="97"/>
      <c r="E15" s="63">
        <v>0</v>
      </c>
      <c r="F15" s="64"/>
      <c r="G15" s="64" t="s">
        <v>58</v>
      </c>
      <c r="I15" s="10">
        <f>I29*J26</f>
        <v>9792.84</v>
      </c>
      <c r="J15" s="10" t="s">
        <v>1133</v>
      </c>
      <c r="L15" s="10">
        <f>N20*P20</f>
        <v>264.31299999999999</v>
      </c>
      <c r="M15" s="10" t="s">
        <v>1185</v>
      </c>
    </row>
    <row r="16" spans="2:15">
      <c r="B16" s="99" t="s">
        <v>1148</v>
      </c>
      <c r="C16" s="96">
        <v>-450</v>
      </c>
      <c r="D16" s="97"/>
      <c r="E16" s="63">
        <v>0</v>
      </c>
      <c r="F16" s="64"/>
      <c r="G16" s="64" t="s">
        <v>58</v>
      </c>
      <c r="I16" s="10"/>
      <c r="J16" s="10"/>
      <c r="L16" s="10">
        <v>0</v>
      </c>
      <c r="M16" s="10"/>
    </row>
    <row r="17" spans="2:16">
      <c r="B17" s="99" t="s">
        <v>1188</v>
      </c>
      <c r="C17" s="96">
        <v>-320</v>
      </c>
      <c r="D17" s="97"/>
      <c r="E17" s="63">
        <v>0</v>
      </c>
      <c r="F17" s="64"/>
      <c r="G17" s="64" t="s">
        <v>58</v>
      </c>
      <c r="I17" s="10"/>
      <c r="J17" s="10"/>
      <c r="L17" s="144">
        <f>SUM(L12:L16)</f>
        <v>2136.5206358199998</v>
      </c>
      <c r="M17" s="144" t="s">
        <v>1031</v>
      </c>
    </row>
    <row r="18" spans="2:16">
      <c r="B18" s="99" t="s">
        <v>1032</v>
      </c>
      <c r="C18" s="96">
        <v>-2409.3000000000002</v>
      </c>
      <c r="D18" s="97"/>
      <c r="E18" s="63">
        <v>0</v>
      </c>
      <c r="F18" s="64"/>
      <c r="G18" s="64" t="s">
        <v>58</v>
      </c>
      <c r="H18" s="143"/>
      <c r="I18" s="10"/>
      <c r="J18" s="10"/>
    </row>
    <row r="19" spans="2:16" ht="15.75">
      <c r="B19" s="99" t="s">
        <v>748</v>
      </c>
      <c r="C19" s="96">
        <v>-40</v>
      </c>
      <c r="D19" s="97"/>
      <c r="E19" s="63">
        <v>0</v>
      </c>
      <c r="F19" s="64"/>
      <c r="G19" s="64" t="s">
        <v>58</v>
      </c>
      <c r="I19" s="10">
        <f>304.29-250</f>
        <v>54.29000000000002</v>
      </c>
      <c r="J19" s="10" t="s">
        <v>1189</v>
      </c>
      <c r="L19" s="221" t="s">
        <v>1136</v>
      </c>
      <c r="M19" s="221" t="s">
        <v>1019</v>
      </c>
      <c r="N19" s="221" t="s">
        <v>1130</v>
      </c>
      <c r="O19" s="221" t="s">
        <v>1020</v>
      </c>
      <c r="P19" s="221" t="s">
        <v>45</v>
      </c>
    </row>
    <row r="20" spans="2:16">
      <c r="B20" s="99" t="s">
        <v>125</v>
      </c>
      <c r="C20" s="96">
        <v>-3000</v>
      </c>
      <c r="D20" s="92"/>
      <c r="E20" s="63">
        <v>0</v>
      </c>
      <c r="F20" s="64"/>
      <c r="G20" s="64" t="s">
        <v>58</v>
      </c>
      <c r="I20" s="10"/>
      <c r="J20" s="10"/>
      <c r="L20" s="10" t="s">
        <v>1190</v>
      </c>
      <c r="M20" s="184">
        <v>0.35</v>
      </c>
      <c r="N20" s="184">
        <v>0.35</v>
      </c>
      <c r="O20" s="185">
        <v>0.4</v>
      </c>
      <c r="P20" s="208">
        <v>755.18</v>
      </c>
    </row>
    <row r="21" spans="2:16">
      <c r="B21" s="99" t="s">
        <v>1191</v>
      </c>
      <c r="C21" s="96">
        <v>-135</v>
      </c>
      <c r="D21" s="97"/>
      <c r="E21" s="63">
        <v>0</v>
      </c>
      <c r="F21" s="64"/>
      <c r="G21" s="64" t="s">
        <v>58</v>
      </c>
      <c r="I21" s="144">
        <f>SUM(I8:I20)</f>
        <v>30448.683000000001</v>
      </c>
      <c r="J21" s="144" t="s">
        <v>1031</v>
      </c>
      <c r="L21" s="10" t="s">
        <v>1055</v>
      </c>
      <c r="M21" s="184">
        <v>0</v>
      </c>
      <c r="N21" s="184">
        <v>0</v>
      </c>
      <c r="O21" s="185">
        <v>0.4</v>
      </c>
      <c r="P21" s="208">
        <v>934.55</v>
      </c>
    </row>
    <row r="22" spans="2:16">
      <c r="B22" s="99" t="s">
        <v>755</v>
      </c>
      <c r="C22" s="96">
        <v>1650.03</v>
      </c>
      <c r="D22" s="97"/>
      <c r="E22" s="63">
        <v>0</v>
      </c>
      <c r="F22" s="64"/>
      <c r="G22" s="64" t="s">
        <v>58</v>
      </c>
      <c r="L22" s="10" t="s">
        <v>1101</v>
      </c>
      <c r="M22" s="184">
        <v>0</v>
      </c>
      <c r="N22" s="184">
        <v>0</v>
      </c>
      <c r="O22" s="185">
        <v>2</v>
      </c>
      <c r="P22" s="208">
        <v>12394.83</v>
      </c>
    </row>
    <row r="23" spans="2:16">
      <c r="B23" s="99" t="s">
        <v>73</v>
      </c>
      <c r="C23" s="96">
        <v>-421.61</v>
      </c>
      <c r="D23" s="97"/>
      <c r="E23" s="63">
        <v>0</v>
      </c>
      <c r="F23" s="64"/>
      <c r="G23" s="64" t="s">
        <v>58</v>
      </c>
    </row>
    <row r="24" spans="2:16">
      <c r="B24" s="99" t="s">
        <v>41</v>
      </c>
      <c r="C24" s="96">
        <v>-88.89</v>
      </c>
      <c r="D24" s="97"/>
      <c r="E24" s="63">
        <v>0</v>
      </c>
      <c r="F24" s="64"/>
      <c r="G24" s="64" t="s">
        <v>58</v>
      </c>
    </row>
    <row r="25" spans="2:16" ht="15.75">
      <c r="B25" s="99" t="s">
        <v>586</v>
      </c>
      <c r="C25" s="96">
        <v>-252.98</v>
      </c>
      <c r="D25" s="97"/>
      <c r="E25" s="63">
        <v>0</v>
      </c>
      <c r="F25" s="64"/>
      <c r="G25" s="64" t="s">
        <v>58</v>
      </c>
      <c r="L25" s="203" t="s">
        <v>1169</v>
      </c>
      <c r="M25" s="204">
        <v>1428</v>
      </c>
    </row>
    <row r="26" spans="2:16" ht="15.75">
      <c r="B26" s="99" t="s">
        <v>1192</v>
      </c>
      <c r="C26" s="96">
        <v>-222</v>
      </c>
      <c r="D26" s="97"/>
      <c r="E26" s="63">
        <v>0</v>
      </c>
      <c r="F26" s="64"/>
      <c r="G26" s="64" t="s">
        <v>58</v>
      </c>
      <c r="I26" s="203" t="s">
        <v>1167</v>
      </c>
      <c r="J26" s="204">
        <v>20.66</v>
      </c>
      <c r="L26" s="203" t="s">
        <v>1171</v>
      </c>
      <c r="M26" s="203">
        <v>2137</v>
      </c>
    </row>
    <row r="27" spans="2:16" ht="15.75">
      <c r="B27" s="99" t="s">
        <v>924</v>
      </c>
      <c r="C27" s="96">
        <v>-47.65</v>
      </c>
      <c r="D27" s="97"/>
      <c r="E27" s="63">
        <v>0</v>
      </c>
      <c r="F27" s="64"/>
      <c r="G27" s="64" t="s">
        <v>58</v>
      </c>
      <c r="I27" s="205">
        <v>63</v>
      </c>
      <c r="J27" s="206" t="s">
        <v>1019</v>
      </c>
      <c r="L27" s="203" t="s">
        <v>1172</v>
      </c>
      <c r="M27" s="207">
        <v>8.2990000000000003E-5</v>
      </c>
    </row>
    <row r="28" spans="2:16">
      <c r="B28" s="99" t="s">
        <v>1193</v>
      </c>
      <c r="C28" s="96">
        <v>250</v>
      </c>
      <c r="D28" s="97"/>
      <c r="E28" s="63">
        <v>0</v>
      </c>
      <c r="F28" s="64"/>
      <c r="G28" s="64" t="s">
        <v>58</v>
      </c>
      <c r="I28" s="205">
        <v>63</v>
      </c>
      <c r="J28" s="206" t="s">
        <v>1168</v>
      </c>
      <c r="L28" s="206" t="s">
        <v>1173</v>
      </c>
      <c r="M28" s="206">
        <f>M26*M27</f>
        <v>0.17734963000000001</v>
      </c>
    </row>
    <row r="29" spans="2:16">
      <c r="B29" s="99" t="s">
        <v>1194</v>
      </c>
      <c r="C29" s="96">
        <v>1641.2</v>
      </c>
      <c r="D29" s="97"/>
      <c r="E29" s="63">
        <v>0</v>
      </c>
      <c r="F29" s="64"/>
      <c r="G29" s="64" t="s">
        <v>58</v>
      </c>
      <c r="I29" s="205">
        <f>600-63*2</f>
        <v>474</v>
      </c>
      <c r="J29" s="206" t="s">
        <v>1170</v>
      </c>
      <c r="L29" s="206" t="s">
        <v>1174</v>
      </c>
      <c r="M29" s="205">
        <f>M25*M28</f>
        <v>253.25527164000002</v>
      </c>
    </row>
    <row r="30" spans="2:16">
      <c r="B30" s="99" t="s">
        <v>1195</v>
      </c>
      <c r="C30" s="96">
        <v>-1650</v>
      </c>
      <c r="D30" s="97"/>
      <c r="E30" s="63">
        <v>0</v>
      </c>
      <c r="F30" s="64"/>
      <c r="G30" s="64" t="s">
        <v>58</v>
      </c>
      <c r="I30" s="199"/>
    </row>
    <row r="31" spans="2:16">
      <c r="B31" s="99" t="s">
        <v>83</v>
      </c>
      <c r="C31" s="96">
        <v>-136.19999999999999</v>
      </c>
      <c r="D31" s="97"/>
      <c r="E31" s="63">
        <v>0</v>
      </c>
      <c r="F31" s="64"/>
      <c r="G31" s="64" t="s">
        <v>58</v>
      </c>
    </row>
    <row r="32" spans="2:16">
      <c r="B32" s="99" t="s">
        <v>686</v>
      </c>
      <c r="C32" s="96">
        <v>-441.37</v>
      </c>
      <c r="D32" s="97"/>
      <c r="E32" s="63">
        <v>0</v>
      </c>
      <c r="F32" s="64"/>
      <c r="G32" s="64" t="s">
        <v>58</v>
      </c>
    </row>
    <row r="33" spans="2:7" ht="18">
      <c r="B33" s="74" t="s">
        <v>45</v>
      </c>
      <c r="C33" s="188"/>
      <c r="D33" s="98"/>
      <c r="E33" s="129">
        <f>SUM(E3:E32)</f>
        <v>-93.449999999999989</v>
      </c>
      <c r="F33" s="75"/>
      <c r="G33" s="75"/>
    </row>
    <row r="37" spans="2:7">
      <c r="E37" s="199"/>
    </row>
  </sheetData>
  <mergeCells count="1">
    <mergeCell ref="N2:O2"/>
  </mergeCells>
  <conditionalFormatting sqref="E12">
    <cfRule type="cellIs" dxfId="620" priority="37" stopIfTrue="1" operator="greaterThan">
      <formula>0</formula>
    </cfRule>
  </conditionalFormatting>
  <conditionalFormatting sqref="E19">
    <cfRule type="cellIs" dxfId="619" priority="36" stopIfTrue="1" operator="greaterThan">
      <formula>0</formula>
    </cfRule>
  </conditionalFormatting>
  <conditionalFormatting sqref="E13">
    <cfRule type="cellIs" dxfId="618" priority="35" stopIfTrue="1" operator="greaterThan">
      <formula>0</formula>
    </cfRule>
  </conditionalFormatting>
  <conditionalFormatting sqref="E14">
    <cfRule type="cellIs" dxfId="617" priority="34" stopIfTrue="1" operator="greaterThan">
      <formula>0</formula>
    </cfRule>
  </conditionalFormatting>
  <conditionalFormatting sqref="E18">
    <cfRule type="cellIs" dxfId="616" priority="33" stopIfTrue="1" operator="greaterThan">
      <formula>0</formula>
    </cfRule>
  </conditionalFormatting>
  <conditionalFormatting sqref="E31">
    <cfRule type="cellIs" dxfId="615" priority="31" stopIfTrue="1" operator="greaterThan">
      <formula>0</formula>
    </cfRule>
  </conditionalFormatting>
  <conditionalFormatting sqref="E29">
    <cfRule type="cellIs" dxfId="614" priority="22" stopIfTrue="1" operator="greaterThan">
      <formula>0</formula>
    </cfRule>
  </conditionalFormatting>
  <conditionalFormatting sqref="E11">
    <cfRule type="cellIs" dxfId="613" priority="21" stopIfTrue="1" operator="greaterThan">
      <formula>0</formula>
    </cfRule>
  </conditionalFormatting>
  <conditionalFormatting sqref="E32">
    <cfRule type="cellIs" dxfId="612" priority="20" stopIfTrue="1" operator="greaterThan">
      <formula>0</formula>
    </cfRule>
  </conditionalFormatting>
  <conditionalFormatting sqref="E10">
    <cfRule type="cellIs" dxfId="611" priority="19" stopIfTrue="1" operator="greaterThan">
      <formula>0</formula>
    </cfRule>
  </conditionalFormatting>
  <conditionalFormatting sqref="E23">
    <cfRule type="cellIs" dxfId="610" priority="18" stopIfTrue="1" operator="greaterThan">
      <formula>0</formula>
    </cfRule>
  </conditionalFormatting>
  <conditionalFormatting sqref="E30">
    <cfRule type="cellIs" dxfId="609" priority="17" stopIfTrue="1" operator="greaterThan">
      <formula>0</formula>
    </cfRule>
  </conditionalFormatting>
  <conditionalFormatting sqref="E17">
    <cfRule type="cellIs" dxfId="608" priority="16" stopIfTrue="1" operator="greaterThan">
      <formula>0</formula>
    </cfRule>
  </conditionalFormatting>
  <conditionalFormatting sqref="E21">
    <cfRule type="cellIs" dxfId="607" priority="15" stopIfTrue="1" operator="greaterThan">
      <formula>0</formula>
    </cfRule>
  </conditionalFormatting>
  <conditionalFormatting sqref="E20">
    <cfRule type="cellIs" dxfId="606" priority="13" stopIfTrue="1" operator="greaterThan">
      <formula>0</formula>
    </cfRule>
  </conditionalFormatting>
  <conditionalFormatting sqref="E22">
    <cfRule type="cellIs" dxfId="605" priority="12" stopIfTrue="1" operator="greaterThan">
      <formula>0</formula>
    </cfRule>
  </conditionalFormatting>
  <conditionalFormatting sqref="E24">
    <cfRule type="cellIs" dxfId="604" priority="10" stopIfTrue="1" operator="greaterThan">
      <formula>0</formula>
    </cfRule>
  </conditionalFormatting>
  <conditionalFormatting sqref="E27">
    <cfRule type="cellIs" dxfId="603" priority="9" stopIfTrue="1" operator="greaterThan">
      <formula>0</formula>
    </cfRule>
  </conditionalFormatting>
  <conditionalFormatting sqref="E28">
    <cfRule type="cellIs" dxfId="602" priority="7" stopIfTrue="1" operator="greaterThan">
      <formula>0</formula>
    </cfRule>
  </conditionalFormatting>
  <conditionalFormatting sqref="E15">
    <cfRule type="cellIs" dxfId="601" priority="6" stopIfTrue="1" operator="greaterThan">
      <formula>0</formula>
    </cfRule>
  </conditionalFormatting>
  <conditionalFormatting sqref="E16">
    <cfRule type="cellIs" dxfId="600" priority="5" stopIfTrue="1" operator="greaterThan">
      <formula>0</formula>
    </cfRule>
  </conditionalFormatting>
  <conditionalFormatting sqref="E25">
    <cfRule type="cellIs" dxfId="599" priority="4" stopIfTrue="1" operator="greaterThan">
      <formula>0</formula>
    </cfRule>
  </conditionalFormatting>
  <conditionalFormatting sqref="E26">
    <cfRule type="cellIs" dxfId="598" priority="1" stopIfTrue="1" operator="greaterThan">
      <formula>0</formula>
    </cfRule>
  </conditionalFormatting>
  <pageMargins left="0.511811024" right="0.511811024" top="0.78740157499999996" bottom="0.78740157499999996" header="0.31496062000000002" footer="0.31496062000000002"/>
</worksheet>
</file>

<file path=xl/worksheets/sheet105.xml><?xml version="1.0" encoding="utf-8"?>
<worksheet xmlns="http://schemas.openxmlformats.org/spreadsheetml/2006/main" xmlns:r="http://schemas.openxmlformats.org/officeDocument/2006/relationships">
  <sheetPr>
    <pageSetUpPr autoPageBreaks="0"/>
  </sheetPr>
  <dimension ref="B1:P35"/>
  <sheetViews>
    <sheetView zoomScale="75" zoomScaleNormal="75" zoomScalePageLayoutView="75" workbookViewId="0">
      <selection activeCell="C11" sqref="C11"/>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 min="16" max="16" width="14"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-291.24</v>
      </c>
      <c r="F3" s="72"/>
      <c r="G3" s="72"/>
      <c r="I3" s="10">
        <v>1750.52</v>
      </c>
      <c r="J3" s="10" t="s">
        <v>914</v>
      </c>
      <c r="L3" s="10">
        <f>100*2.22</f>
        <v>222.00000000000003</v>
      </c>
      <c r="M3" s="10" t="s">
        <v>1125</v>
      </c>
      <c r="N3" s="194" t="s">
        <v>45</v>
      </c>
      <c r="O3" s="195">
        <v>11783.43</v>
      </c>
    </row>
    <row r="4" spans="2:15" ht="12" customHeight="1">
      <c r="B4" s="71" t="s">
        <v>5</v>
      </c>
      <c r="C4" s="91">
        <v>4309.8</v>
      </c>
      <c r="D4" s="92"/>
      <c r="E4" s="95">
        <v>0</v>
      </c>
      <c r="F4" s="72"/>
      <c r="G4" s="72"/>
      <c r="I4" s="10">
        <v>401.98</v>
      </c>
      <c r="J4" s="10" t="s">
        <v>915</v>
      </c>
      <c r="L4" s="10">
        <f>200*2.22</f>
        <v>444.00000000000006</v>
      </c>
      <c r="M4" s="10" t="s">
        <v>716</v>
      </c>
      <c r="N4" s="194" t="s">
        <v>993</v>
      </c>
      <c r="O4" s="195">
        <f>O3/2</f>
        <v>5891.7150000000001</v>
      </c>
    </row>
    <row r="5" spans="2:15" ht="12" customHeight="1">
      <c r="B5" s="71" t="s">
        <v>1184</v>
      </c>
      <c r="C5" s="91">
        <v>5052.8999999999996</v>
      </c>
      <c r="D5" s="92"/>
      <c r="E5" s="95">
        <v>0</v>
      </c>
      <c r="F5" s="72"/>
      <c r="G5" s="72"/>
      <c r="I5" s="10"/>
      <c r="J5" s="10"/>
      <c r="L5" s="10">
        <f>O4</f>
        <v>5891.7150000000001</v>
      </c>
      <c r="M5" s="10" t="s">
        <v>1127</v>
      </c>
      <c r="N5" s="194" t="s">
        <v>1092</v>
      </c>
      <c r="O5" s="195">
        <f>O3/2</f>
        <v>5891.7150000000001</v>
      </c>
    </row>
    <row r="6" spans="2:15">
      <c r="B6" s="71" t="s">
        <v>1186</v>
      </c>
      <c r="C6" s="91">
        <v>55</v>
      </c>
      <c r="D6" s="92"/>
      <c r="E6" s="95">
        <v>0</v>
      </c>
      <c r="F6" s="72"/>
      <c r="G6" s="72"/>
      <c r="L6" s="10">
        <f>I27*J26</f>
        <v>1364.58</v>
      </c>
      <c r="M6" s="10" t="s">
        <v>1133</v>
      </c>
    </row>
    <row r="7" spans="2:15" ht="15.75">
      <c r="B7" s="71" t="s">
        <v>107</v>
      </c>
      <c r="C7" s="91">
        <v>71.53</v>
      </c>
      <c r="D7" s="92"/>
      <c r="E7" s="95">
        <v>0</v>
      </c>
      <c r="F7" s="72"/>
      <c r="G7" s="72"/>
      <c r="I7" s="221" t="s">
        <v>1143</v>
      </c>
      <c r="J7" s="221" t="s">
        <v>408</v>
      </c>
      <c r="L7" s="10">
        <f>E14/-2</f>
        <v>0</v>
      </c>
      <c r="M7" s="10" t="s">
        <v>1196</v>
      </c>
    </row>
    <row r="8" spans="2:15">
      <c r="B8" s="99" t="s">
        <v>714</v>
      </c>
      <c r="C8" s="96">
        <v>-17.43</v>
      </c>
      <c r="D8" s="97"/>
      <c r="E8" s="63">
        <v>0</v>
      </c>
      <c r="F8" s="64"/>
      <c r="G8" s="64" t="s">
        <v>58</v>
      </c>
      <c r="I8" s="10"/>
      <c r="J8" s="10"/>
      <c r="L8" s="10">
        <f>M21*P21</f>
        <v>266.72449999999998</v>
      </c>
      <c r="M8" s="10" t="s">
        <v>1185</v>
      </c>
    </row>
    <row r="9" spans="2:15">
      <c r="B9" s="99" t="s">
        <v>1098</v>
      </c>
      <c r="C9" s="96">
        <v>-56.28</v>
      </c>
      <c r="D9" s="97"/>
      <c r="E9" s="63">
        <v>0</v>
      </c>
      <c r="F9" s="64"/>
      <c r="G9" s="64" t="s">
        <v>58</v>
      </c>
      <c r="I9" s="10"/>
      <c r="J9" s="10"/>
      <c r="L9" s="10">
        <f>M30/2</f>
        <v>165.57774644599996</v>
      </c>
      <c r="M9" s="10" t="s">
        <v>1162</v>
      </c>
    </row>
    <row r="10" spans="2:15" ht="14.25" customHeight="1">
      <c r="B10" s="99" t="s">
        <v>65</v>
      </c>
      <c r="C10" s="96">
        <f>-132-800</f>
        <v>-932</v>
      </c>
      <c r="D10" s="97"/>
      <c r="E10" s="63">
        <v>0</v>
      </c>
      <c r="F10" s="64"/>
      <c r="G10" s="64" t="s">
        <v>58</v>
      </c>
      <c r="I10" s="10">
        <f>P23</f>
        <v>8741.57</v>
      </c>
      <c r="J10" s="10" t="s">
        <v>1101</v>
      </c>
      <c r="L10" s="144">
        <f>SUM(L3:L9)</f>
        <v>8354.597246446001</v>
      </c>
      <c r="M10" s="144" t="s">
        <v>1031</v>
      </c>
    </row>
    <row r="11" spans="2:15">
      <c r="B11" s="99" t="s">
        <v>1197</v>
      </c>
      <c r="C11" s="96">
        <f>-110-162</f>
        <v>-272</v>
      </c>
      <c r="D11" s="97"/>
      <c r="E11" s="63">
        <v>0</v>
      </c>
      <c r="F11" s="64"/>
      <c r="G11" s="64" t="s">
        <v>58</v>
      </c>
      <c r="I11" s="10">
        <f>P22</f>
        <v>942</v>
      </c>
      <c r="J11" s="10" t="s">
        <v>1048</v>
      </c>
    </row>
    <row r="12" spans="2:15" ht="15.75">
      <c r="B12" s="99" t="s">
        <v>1069</v>
      </c>
      <c r="C12" s="96">
        <v>-760</v>
      </c>
      <c r="D12" s="97"/>
      <c r="E12" s="63">
        <v>0</v>
      </c>
      <c r="F12" s="64"/>
      <c r="G12" s="64" t="s">
        <v>58</v>
      </c>
      <c r="I12" s="10">
        <f>O21*P21</f>
        <v>304.82800000000003</v>
      </c>
      <c r="J12" s="10" t="s">
        <v>1185</v>
      </c>
      <c r="L12" s="221" t="s">
        <v>1130</v>
      </c>
      <c r="M12" s="221" t="s">
        <v>408</v>
      </c>
    </row>
    <row r="13" spans="2:15">
      <c r="B13" s="99" t="s">
        <v>103</v>
      </c>
      <c r="C13" s="96">
        <v>-640.65</v>
      </c>
      <c r="D13" s="97"/>
      <c r="E13" s="63">
        <v>0</v>
      </c>
      <c r="F13" s="64"/>
      <c r="G13" s="64" t="s">
        <v>58</v>
      </c>
      <c r="I13" s="10">
        <f>489.05*2.22</f>
        <v>1085.691</v>
      </c>
      <c r="J13" s="10" t="s">
        <v>1088</v>
      </c>
      <c r="L13" s="10">
        <f>200*2.22</f>
        <v>444.00000000000006</v>
      </c>
      <c r="M13" s="10" t="s">
        <v>716</v>
      </c>
    </row>
    <row r="14" spans="2:15">
      <c r="B14" s="209" t="s">
        <v>1148</v>
      </c>
      <c r="C14" s="210">
        <v>-450</v>
      </c>
      <c r="D14" s="97"/>
      <c r="E14" s="63">
        <v>0</v>
      </c>
      <c r="F14" s="64"/>
      <c r="G14" s="64" t="s">
        <v>58</v>
      </c>
      <c r="I14" s="10">
        <f>O5</f>
        <v>5891.7150000000001</v>
      </c>
      <c r="J14" s="10" t="s">
        <v>1127</v>
      </c>
      <c r="L14" s="10">
        <f>M30/2</f>
        <v>165.57774644599996</v>
      </c>
      <c r="M14" s="10" t="s">
        <v>1162</v>
      </c>
    </row>
    <row r="15" spans="2:15">
      <c r="B15" s="99" t="s">
        <v>1032</v>
      </c>
      <c r="C15" s="96">
        <v>-2593.17</v>
      </c>
      <c r="D15" s="97"/>
      <c r="E15" s="63">
        <v>0</v>
      </c>
      <c r="F15" s="64"/>
      <c r="G15" s="64" t="s">
        <v>58</v>
      </c>
      <c r="I15" s="10">
        <f>I29*J26</f>
        <v>10266.84</v>
      </c>
      <c r="J15" s="10" t="s">
        <v>1133</v>
      </c>
      <c r="L15" s="10">
        <f>I28*J26</f>
        <v>1364.58</v>
      </c>
      <c r="M15" s="10" t="s">
        <v>1133</v>
      </c>
    </row>
    <row r="16" spans="2:15">
      <c r="B16" s="99" t="s">
        <v>748</v>
      </c>
      <c r="C16" s="96">
        <v>-100</v>
      </c>
      <c r="D16" s="97"/>
      <c r="E16" s="63">
        <v>0</v>
      </c>
      <c r="F16" s="64"/>
      <c r="G16" s="64" t="s">
        <v>58</v>
      </c>
      <c r="I16" s="10"/>
      <c r="J16" s="10"/>
      <c r="L16" s="10">
        <f>N21*P21</f>
        <v>266.72449999999998</v>
      </c>
      <c r="M16" s="10" t="s">
        <v>1185</v>
      </c>
    </row>
    <row r="17" spans="2:16">
      <c r="B17" s="99" t="s">
        <v>1198</v>
      </c>
      <c r="C17" s="96">
        <v>2500</v>
      </c>
      <c r="D17" s="92"/>
      <c r="E17" s="63">
        <v>0</v>
      </c>
      <c r="F17" s="64"/>
      <c r="G17" s="64" t="s">
        <v>58</v>
      </c>
      <c r="I17" s="10"/>
      <c r="J17" s="10"/>
      <c r="L17" s="10">
        <f>E14/-2</f>
        <v>0</v>
      </c>
      <c r="M17" s="10" t="s">
        <v>1196</v>
      </c>
    </row>
    <row r="18" spans="2:16">
      <c r="B18" s="99" t="s">
        <v>125</v>
      </c>
      <c r="C18" s="96">
        <v>-3000</v>
      </c>
      <c r="D18" s="92"/>
      <c r="E18" s="63">
        <v>0</v>
      </c>
      <c r="F18" s="64"/>
      <c r="G18" s="64" t="s">
        <v>58</v>
      </c>
      <c r="H18" s="143"/>
      <c r="I18" s="10"/>
      <c r="J18" s="10"/>
      <c r="L18" s="144">
        <f>SUM(L13:L17)</f>
        <v>2240.882246446</v>
      </c>
      <c r="M18" s="144" t="s">
        <v>1031</v>
      </c>
    </row>
    <row r="19" spans="2:16">
      <c r="B19" s="99" t="s">
        <v>73</v>
      </c>
      <c r="C19" s="96">
        <v>-417.04</v>
      </c>
      <c r="D19" s="97"/>
      <c r="E19" s="63">
        <v>0</v>
      </c>
      <c r="F19" s="64"/>
      <c r="G19" s="64" t="s">
        <v>58</v>
      </c>
      <c r="I19" s="10">
        <v>65.83</v>
      </c>
      <c r="J19" s="10" t="s">
        <v>1189</v>
      </c>
    </row>
    <row r="20" spans="2:16" ht="15.75">
      <c r="B20" s="99" t="s">
        <v>1199</v>
      </c>
      <c r="C20" s="96">
        <v>-50</v>
      </c>
      <c r="D20" s="97"/>
      <c r="E20" s="63">
        <v>0</v>
      </c>
      <c r="F20" s="64"/>
      <c r="G20" s="64" t="s">
        <v>58</v>
      </c>
      <c r="I20" s="10"/>
      <c r="J20" s="10"/>
      <c r="L20" s="221" t="s">
        <v>1136</v>
      </c>
      <c r="M20" s="221" t="s">
        <v>1019</v>
      </c>
      <c r="N20" s="221" t="s">
        <v>1130</v>
      </c>
      <c r="O20" s="221" t="s">
        <v>1020</v>
      </c>
      <c r="P20" s="221" t="s">
        <v>45</v>
      </c>
    </row>
    <row r="21" spans="2:16">
      <c r="B21" s="99" t="s">
        <v>1200</v>
      </c>
      <c r="C21" s="96">
        <v>-368</v>
      </c>
      <c r="D21" s="97"/>
      <c r="E21" s="63">
        <v>0</v>
      </c>
      <c r="F21" s="64"/>
      <c r="G21" s="64" t="s">
        <v>58</v>
      </c>
      <c r="I21" s="144">
        <f>SUM(I8:I20)</f>
        <v>27298.474000000002</v>
      </c>
      <c r="J21" s="144" t="s">
        <v>1031</v>
      </c>
      <c r="L21" s="10" t="s">
        <v>1190</v>
      </c>
      <c r="M21" s="184">
        <v>0.35</v>
      </c>
      <c r="N21" s="184">
        <v>0.35</v>
      </c>
      <c r="O21" s="185">
        <v>0.4</v>
      </c>
      <c r="P21" s="208">
        <v>762.07</v>
      </c>
    </row>
    <row r="22" spans="2:16">
      <c r="B22" s="99" t="s">
        <v>41</v>
      </c>
      <c r="C22" s="96">
        <v>-84</v>
      </c>
      <c r="D22" s="97"/>
      <c r="E22" s="63">
        <v>0</v>
      </c>
      <c r="F22" s="64"/>
      <c r="G22" s="64" t="s">
        <v>58</v>
      </c>
      <c r="L22" s="10" t="s">
        <v>1055</v>
      </c>
      <c r="M22" s="184">
        <v>0</v>
      </c>
      <c r="N22" s="184">
        <v>0</v>
      </c>
      <c r="O22" s="185">
        <v>0.4</v>
      </c>
      <c r="P22" s="208">
        <v>942</v>
      </c>
    </row>
    <row r="23" spans="2:16">
      <c r="B23" s="99" t="s">
        <v>1201</v>
      </c>
      <c r="C23" s="96">
        <f>-3800/2</f>
        <v>-1900</v>
      </c>
      <c r="D23" s="97"/>
      <c r="E23" s="63">
        <v>0</v>
      </c>
      <c r="F23" s="64"/>
      <c r="G23" s="64" t="s">
        <v>58</v>
      </c>
      <c r="L23" s="10" t="s">
        <v>1101</v>
      </c>
      <c r="M23" s="184">
        <v>0</v>
      </c>
      <c r="N23" s="184">
        <v>0</v>
      </c>
      <c r="O23" s="185">
        <v>1.4</v>
      </c>
      <c r="P23" s="208">
        <v>8741.57</v>
      </c>
    </row>
    <row r="24" spans="2:16">
      <c r="B24" s="99" t="s">
        <v>1202</v>
      </c>
      <c r="C24" s="96">
        <v>1250</v>
      </c>
      <c r="D24" s="97"/>
      <c r="E24" s="63">
        <v>0</v>
      </c>
      <c r="F24" s="64"/>
      <c r="G24" s="64" t="s">
        <v>58</v>
      </c>
    </row>
    <row r="25" spans="2:16">
      <c r="B25" s="99" t="s">
        <v>586</v>
      </c>
      <c r="C25" s="96">
        <v>-246.98</v>
      </c>
      <c r="D25" s="97"/>
      <c r="E25" s="63">
        <v>0</v>
      </c>
      <c r="F25" s="64"/>
      <c r="G25" s="64" t="s">
        <v>58</v>
      </c>
    </row>
    <row r="26" spans="2:16" ht="15.75">
      <c r="B26" s="99" t="s">
        <v>1203</v>
      </c>
      <c r="C26" s="96">
        <v>315.06</v>
      </c>
      <c r="D26" s="97"/>
      <c r="E26" s="63">
        <v>0</v>
      </c>
      <c r="F26" s="64"/>
      <c r="G26" s="64" t="s">
        <v>58</v>
      </c>
      <c r="I26" s="203" t="s">
        <v>1167</v>
      </c>
      <c r="J26" s="204">
        <v>21.66</v>
      </c>
      <c r="L26" s="203" t="s">
        <v>1169</v>
      </c>
      <c r="M26" s="204">
        <v>1046.33</v>
      </c>
    </row>
    <row r="27" spans="2:16" ht="15.75">
      <c r="B27" s="99" t="s">
        <v>1204</v>
      </c>
      <c r="C27" s="96">
        <v>-506</v>
      </c>
      <c r="D27" s="97"/>
      <c r="E27" s="63">
        <v>0</v>
      </c>
      <c r="F27" s="64"/>
      <c r="G27" s="64" t="s">
        <v>58</v>
      </c>
      <c r="I27" s="205">
        <v>63</v>
      </c>
      <c r="J27" s="206" t="s">
        <v>1019</v>
      </c>
      <c r="L27" s="203" t="s">
        <v>1171</v>
      </c>
      <c r="M27" s="203">
        <v>2380</v>
      </c>
    </row>
    <row r="28" spans="2:16" ht="15.75">
      <c r="B28" s="99" t="s">
        <v>1021</v>
      </c>
      <c r="C28" s="96">
        <v>-255.38</v>
      </c>
      <c r="D28" s="97"/>
      <c r="E28" s="63">
        <v>0</v>
      </c>
      <c r="F28" s="64"/>
      <c r="G28" s="64" t="s">
        <v>58</v>
      </c>
      <c r="I28" s="205">
        <v>63</v>
      </c>
      <c r="J28" s="206" t="s">
        <v>1168</v>
      </c>
      <c r="L28" s="203" t="s">
        <v>1172</v>
      </c>
      <c r="M28" s="207">
        <v>1.3297999999999999E-4</v>
      </c>
    </row>
    <row r="29" spans="2:16">
      <c r="B29" s="99" t="s">
        <v>924</v>
      </c>
      <c r="C29" s="96">
        <v>-41.82</v>
      </c>
      <c r="D29" s="97"/>
      <c r="E29" s="63">
        <v>0</v>
      </c>
      <c r="F29" s="64"/>
      <c r="G29" s="64" t="s">
        <v>58</v>
      </c>
      <c r="I29" s="205">
        <f>600-63*2</f>
        <v>474</v>
      </c>
      <c r="J29" s="206" t="s">
        <v>1170</v>
      </c>
      <c r="L29" s="206" t="s">
        <v>1173</v>
      </c>
      <c r="M29" s="206">
        <f>M27*M28</f>
        <v>0.31649239999999995</v>
      </c>
    </row>
    <row r="30" spans="2:16">
      <c r="B30" s="99" t="s">
        <v>686</v>
      </c>
      <c r="C30" s="96">
        <v>-580</v>
      </c>
      <c r="D30" s="97"/>
      <c r="E30" s="63">
        <v>0</v>
      </c>
      <c r="F30" s="64"/>
      <c r="G30" s="64" t="s">
        <v>58</v>
      </c>
      <c r="I30" s="199"/>
      <c r="L30" s="206" t="s">
        <v>1174</v>
      </c>
      <c r="M30" s="205">
        <f>M26*M29</f>
        <v>331.15549289199993</v>
      </c>
    </row>
    <row r="31" spans="2:16" ht="18">
      <c r="B31" s="74" t="s">
        <v>45</v>
      </c>
      <c r="C31" s="188"/>
      <c r="D31" s="98"/>
      <c r="E31" s="129">
        <f>SUM(E3:E30)</f>
        <v>-291.24</v>
      </c>
      <c r="F31" s="75"/>
      <c r="G31" s="75"/>
    </row>
    <row r="32" spans="2:16" ht="18">
      <c r="H32" s="211"/>
      <c r="I32" s="211"/>
    </row>
    <row r="34" spans="5:7" ht="18">
      <c r="G34" s="211" t="s">
        <v>1205</v>
      </c>
    </row>
    <row r="35" spans="5:7">
      <c r="E35" s="199"/>
    </row>
  </sheetData>
  <mergeCells count="1">
    <mergeCell ref="N2:O2"/>
  </mergeCells>
  <conditionalFormatting sqref="E15">
    <cfRule type="cellIs" dxfId="597" priority="46" stopIfTrue="1" operator="greaterThan">
      <formula>0</formula>
    </cfRule>
  </conditionalFormatting>
  <conditionalFormatting sqref="E16">
    <cfRule type="cellIs" dxfId="596" priority="45" stopIfTrue="1" operator="greaterThan">
      <formula>0</formula>
    </cfRule>
  </conditionalFormatting>
  <conditionalFormatting sqref="E13">
    <cfRule type="cellIs" dxfId="595" priority="44" stopIfTrue="1" operator="greaterThan">
      <formula>0</formula>
    </cfRule>
  </conditionalFormatting>
  <conditionalFormatting sqref="E12">
    <cfRule type="cellIs" dxfId="594" priority="43" stopIfTrue="1" operator="greaterThan">
      <formula>0</formula>
    </cfRule>
  </conditionalFormatting>
  <conditionalFormatting sqref="E8">
    <cfRule type="cellIs" dxfId="593" priority="42" stopIfTrue="1" operator="greaterThan">
      <formula>0</formula>
    </cfRule>
  </conditionalFormatting>
  <conditionalFormatting sqref="E10">
    <cfRule type="cellIs" dxfId="592" priority="40" stopIfTrue="1" operator="greaterThan">
      <formula>0</formula>
    </cfRule>
  </conditionalFormatting>
  <conditionalFormatting sqref="E9">
    <cfRule type="cellIs" dxfId="591" priority="39" stopIfTrue="1" operator="greaterThan">
      <formula>0</formula>
    </cfRule>
  </conditionalFormatting>
  <conditionalFormatting sqref="E11">
    <cfRule type="cellIs" dxfId="590" priority="38" stopIfTrue="1" operator="greaterThan">
      <formula>0</formula>
    </cfRule>
  </conditionalFormatting>
  <conditionalFormatting sqref="E30">
    <cfRule type="cellIs" dxfId="589" priority="30" stopIfTrue="1" operator="greaterThan">
      <formula>0</formula>
    </cfRule>
  </conditionalFormatting>
  <conditionalFormatting sqref="E25">
    <cfRule type="cellIs" dxfId="588" priority="29" stopIfTrue="1" operator="greaterThan">
      <formula>0</formula>
    </cfRule>
  </conditionalFormatting>
  <conditionalFormatting sqref="E17">
    <cfRule type="cellIs" dxfId="587" priority="31" stopIfTrue="1" operator="greaterThan">
      <formula>0</formula>
    </cfRule>
  </conditionalFormatting>
  <conditionalFormatting sqref="E28">
    <cfRule type="cellIs" dxfId="586" priority="26" stopIfTrue="1" operator="greaterThan">
      <formula>0</formula>
    </cfRule>
  </conditionalFormatting>
  <conditionalFormatting sqref="E20">
    <cfRule type="cellIs" dxfId="585" priority="25" stopIfTrue="1" operator="greaterThan">
      <formula>0</formula>
    </cfRule>
  </conditionalFormatting>
  <conditionalFormatting sqref="E21">
    <cfRule type="cellIs" dxfId="584" priority="21" stopIfTrue="1" operator="greaterThan">
      <formula>0</formula>
    </cfRule>
  </conditionalFormatting>
  <conditionalFormatting sqref="E18">
    <cfRule type="cellIs" dxfId="583" priority="14" stopIfTrue="1" operator="greaterThan">
      <formula>0</formula>
    </cfRule>
  </conditionalFormatting>
  <conditionalFormatting sqref="E23">
    <cfRule type="cellIs" dxfId="582" priority="13" stopIfTrue="1" operator="greaterThan">
      <formula>0</formula>
    </cfRule>
  </conditionalFormatting>
  <conditionalFormatting sqref="E19">
    <cfRule type="cellIs" dxfId="581" priority="12" stopIfTrue="1" operator="greaterThan">
      <formula>0</formula>
    </cfRule>
  </conditionalFormatting>
  <conditionalFormatting sqref="E14">
    <cfRule type="cellIs" dxfId="580" priority="11" stopIfTrue="1" operator="greaterThan">
      <formula>0</formula>
    </cfRule>
  </conditionalFormatting>
  <conditionalFormatting sqref="E24">
    <cfRule type="cellIs" dxfId="579" priority="8" stopIfTrue="1" operator="greaterThan">
      <formula>0</formula>
    </cfRule>
  </conditionalFormatting>
  <conditionalFormatting sqref="E29">
    <cfRule type="cellIs" dxfId="578" priority="7" stopIfTrue="1" operator="greaterThan">
      <formula>0</formula>
    </cfRule>
  </conditionalFormatting>
  <conditionalFormatting sqref="E26">
    <cfRule type="cellIs" dxfId="577" priority="6" stopIfTrue="1" operator="greaterThan">
      <formula>0</formula>
    </cfRule>
  </conditionalFormatting>
  <conditionalFormatting sqref="E22">
    <cfRule type="cellIs" dxfId="576" priority="2" stopIfTrue="1" operator="greaterThan">
      <formula>0</formula>
    </cfRule>
  </conditionalFormatting>
  <conditionalFormatting sqref="E27">
    <cfRule type="cellIs" dxfId="575"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06.xml><?xml version="1.0" encoding="utf-8"?>
<worksheet xmlns="http://schemas.openxmlformats.org/spreadsheetml/2006/main" xmlns:r="http://schemas.openxmlformats.org/officeDocument/2006/relationships">
  <sheetPr>
    <pageSetUpPr autoPageBreaks="0"/>
  </sheetPr>
  <dimension ref="B1:P34"/>
  <sheetViews>
    <sheetView zoomScale="75" zoomScaleNormal="75" zoomScalePageLayoutView="75" workbookViewId="0">
      <selection activeCell="C11" sqref="C11"/>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 min="16" max="16" width="14"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-115.78</v>
      </c>
      <c r="F3" s="72"/>
      <c r="G3" s="72"/>
      <c r="I3" s="10">
        <v>7275.76</v>
      </c>
      <c r="J3" s="10" t="s">
        <v>914</v>
      </c>
      <c r="L3" s="10">
        <f>100*2.42</f>
        <v>242</v>
      </c>
      <c r="M3" s="10" t="s">
        <v>1125</v>
      </c>
      <c r="N3" s="194" t="s">
        <v>45</v>
      </c>
      <c r="O3" s="195">
        <v>11008.37</v>
      </c>
    </row>
    <row r="4" spans="2:15" ht="12" customHeight="1">
      <c r="B4" s="71" t="s">
        <v>1206</v>
      </c>
      <c r="C4" s="91">
        <f>25528.49+150.53</f>
        <v>25679.02</v>
      </c>
      <c r="D4" s="92"/>
      <c r="E4" s="95">
        <v>0</v>
      </c>
      <c r="F4" s="72"/>
      <c r="G4" s="72"/>
      <c r="I4" s="10">
        <v>437.68</v>
      </c>
      <c r="J4" s="10" t="s">
        <v>915</v>
      </c>
      <c r="L4" s="10">
        <f>200*2.42</f>
        <v>484</v>
      </c>
      <c r="M4" s="10" t="s">
        <v>716</v>
      </c>
      <c r="N4" s="194" t="s">
        <v>993</v>
      </c>
      <c r="O4" s="195">
        <f>O3/2</f>
        <v>5504.1850000000004</v>
      </c>
    </row>
    <row r="5" spans="2:15" ht="12" customHeight="1">
      <c r="B5" s="71" t="s">
        <v>1207</v>
      </c>
      <c r="C5" s="91">
        <v>45.83</v>
      </c>
      <c r="D5" s="92"/>
      <c r="E5" s="95">
        <v>0</v>
      </c>
      <c r="F5" s="72"/>
      <c r="G5" s="72"/>
      <c r="I5" s="10"/>
      <c r="J5" s="10"/>
      <c r="L5" s="10">
        <f>O4</f>
        <v>5504.1850000000004</v>
      </c>
      <c r="M5" s="10" t="s">
        <v>1127</v>
      </c>
      <c r="N5" s="194" t="s">
        <v>1092</v>
      </c>
      <c r="O5" s="195">
        <f>O3/2</f>
        <v>5504.1850000000004</v>
      </c>
    </row>
    <row r="6" spans="2:15">
      <c r="B6" s="71" t="s">
        <v>1208</v>
      </c>
      <c r="C6" s="91">
        <v>3216.06</v>
      </c>
      <c r="D6" s="92"/>
      <c r="E6" s="95">
        <v>0</v>
      </c>
      <c r="F6" s="72"/>
      <c r="G6" s="72"/>
      <c r="L6" s="10">
        <f>I27*J26</f>
        <v>1364.58</v>
      </c>
      <c r="M6" s="10" t="s">
        <v>1133</v>
      </c>
    </row>
    <row r="7" spans="2:15" ht="15.75">
      <c r="B7" s="71" t="s">
        <v>1209</v>
      </c>
      <c r="C7" s="91">
        <v>97.72</v>
      </c>
      <c r="D7" s="92"/>
      <c r="E7" s="95">
        <v>0</v>
      </c>
      <c r="F7" s="72"/>
      <c r="G7" s="72"/>
      <c r="I7" s="221" t="s">
        <v>1143</v>
      </c>
      <c r="J7" s="221" t="s">
        <v>408</v>
      </c>
      <c r="L7" s="10">
        <f>N24*P24</f>
        <v>501.84</v>
      </c>
      <c r="M7" s="10" t="s">
        <v>1210</v>
      </c>
    </row>
    <row r="8" spans="2:15">
      <c r="B8" s="99" t="s">
        <v>714</v>
      </c>
      <c r="C8" s="96">
        <v>-54.36</v>
      </c>
      <c r="D8" s="97"/>
      <c r="E8" s="63">
        <v>0</v>
      </c>
      <c r="F8" s="64"/>
      <c r="G8" s="64" t="s">
        <v>58</v>
      </c>
      <c r="I8" s="10"/>
      <c r="J8" s="10"/>
      <c r="L8" s="10">
        <f>M21*P21</f>
        <v>265.82499999999999</v>
      </c>
      <c r="M8" s="10" t="s">
        <v>1185</v>
      </c>
    </row>
    <row r="9" spans="2:15">
      <c r="B9" s="99" t="s">
        <v>1098</v>
      </c>
      <c r="C9" s="96">
        <v>-121.4</v>
      </c>
      <c r="D9" s="97"/>
      <c r="E9" s="63">
        <v>0</v>
      </c>
      <c r="F9" s="64"/>
      <c r="G9" s="64" t="s">
        <v>58</v>
      </c>
      <c r="I9" s="10"/>
      <c r="J9" s="10"/>
      <c r="L9" s="10">
        <f>M30/2</f>
        <v>152.055981</v>
      </c>
      <c r="M9" s="10" t="s">
        <v>1162</v>
      </c>
    </row>
    <row r="10" spans="2:15" ht="14.25" customHeight="1">
      <c r="B10" s="99" t="s">
        <v>65</v>
      </c>
      <c r="C10" s="96">
        <f>-162-800</f>
        <v>-962</v>
      </c>
      <c r="D10" s="97"/>
      <c r="E10" s="63">
        <v>0</v>
      </c>
      <c r="F10" s="64"/>
      <c r="G10" s="64" t="s">
        <v>58</v>
      </c>
      <c r="I10" s="10">
        <f>P23</f>
        <v>8807.26</v>
      </c>
      <c r="J10" s="10" t="s">
        <v>1101</v>
      </c>
      <c r="L10" s="144">
        <f>SUM(L3:L9)</f>
        <v>8514.4859809999998</v>
      </c>
      <c r="M10" s="144" t="s">
        <v>1031</v>
      </c>
    </row>
    <row r="11" spans="2:15">
      <c r="B11" s="99" t="s">
        <v>1197</v>
      </c>
      <c r="C11" s="96">
        <f>-110-162-23</f>
        <v>-295</v>
      </c>
      <c r="D11" s="97"/>
      <c r="E11" s="63">
        <v>0</v>
      </c>
      <c r="F11" s="64"/>
      <c r="G11" s="64" t="s">
        <v>58</v>
      </c>
      <c r="I11" s="10">
        <f>P22</f>
        <v>948.9</v>
      </c>
      <c r="J11" s="10" t="s">
        <v>1048</v>
      </c>
    </row>
    <row r="12" spans="2:15" ht="15.75">
      <c r="B12" s="99" t="s">
        <v>1069</v>
      </c>
      <c r="C12" s="96">
        <v>-760</v>
      </c>
      <c r="D12" s="97"/>
      <c r="E12" s="63">
        <v>0</v>
      </c>
      <c r="F12" s="64"/>
      <c r="G12" s="64" t="s">
        <v>58</v>
      </c>
      <c r="I12" s="10">
        <f>O21*P21</f>
        <v>303.8</v>
      </c>
      <c r="J12" s="10" t="s">
        <v>1185</v>
      </c>
      <c r="L12" s="221" t="s">
        <v>1130</v>
      </c>
      <c r="M12" s="221" t="s">
        <v>408</v>
      </c>
    </row>
    <row r="13" spans="2:15">
      <c r="B13" s="99" t="s">
        <v>103</v>
      </c>
      <c r="C13" s="96">
        <v>-1750.52</v>
      </c>
      <c r="D13" s="97"/>
      <c r="E13" s="63">
        <v>0</v>
      </c>
      <c r="F13" s="64"/>
      <c r="G13" s="64" t="s">
        <v>58</v>
      </c>
      <c r="I13" s="10">
        <f>489.05*2.42</f>
        <v>1183.501</v>
      </c>
      <c r="J13" s="10" t="s">
        <v>1088</v>
      </c>
      <c r="L13" s="10">
        <f>200*2.42</f>
        <v>484</v>
      </c>
      <c r="M13" s="10" t="s">
        <v>716</v>
      </c>
    </row>
    <row r="14" spans="2:15">
      <c r="B14" s="209" t="s">
        <v>1148</v>
      </c>
      <c r="C14" s="210">
        <v>-1000</v>
      </c>
      <c r="D14" s="97"/>
      <c r="E14" s="63">
        <v>0</v>
      </c>
      <c r="F14" s="64"/>
      <c r="G14" s="64" t="s">
        <v>58</v>
      </c>
      <c r="I14" s="10">
        <f>O5</f>
        <v>5504.1850000000004</v>
      </c>
      <c r="J14" s="10" t="s">
        <v>1127</v>
      </c>
      <c r="L14" s="10">
        <f>M30/2</f>
        <v>152.055981</v>
      </c>
      <c r="M14" s="10" t="s">
        <v>1162</v>
      </c>
    </row>
    <row r="15" spans="2:15">
      <c r="B15" s="209" t="s">
        <v>1148</v>
      </c>
      <c r="C15" s="210">
        <v>-15000</v>
      </c>
      <c r="D15" s="97"/>
      <c r="E15" s="63">
        <v>0</v>
      </c>
      <c r="F15" s="64"/>
      <c r="G15" s="64" t="s">
        <v>58</v>
      </c>
      <c r="I15" s="10">
        <f>I29*J26</f>
        <v>10266.84</v>
      </c>
      <c r="J15" s="10" t="s">
        <v>1133</v>
      </c>
      <c r="L15" s="10">
        <f>I28*J26</f>
        <v>1364.58</v>
      </c>
      <c r="M15" s="10" t="s">
        <v>1133</v>
      </c>
    </row>
    <row r="16" spans="2:15">
      <c r="B16" s="99" t="s">
        <v>1032</v>
      </c>
      <c r="C16" s="96">
        <v>-401.98</v>
      </c>
      <c r="D16" s="97"/>
      <c r="E16" s="63">
        <v>0</v>
      </c>
      <c r="F16" s="64"/>
      <c r="G16" s="64" t="s">
        <v>58</v>
      </c>
      <c r="I16" s="10">
        <v>5970.95</v>
      </c>
      <c r="J16" s="10" t="s">
        <v>1211</v>
      </c>
      <c r="L16" s="10">
        <f>N21*P21</f>
        <v>265.82499999999999</v>
      </c>
      <c r="M16" s="10" t="s">
        <v>1185</v>
      </c>
    </row>
    <row r="17" spans="2:16">
      <c r="B17" s="99" t="s">
        <v>748</v>
      </c>
      <c r="C17" s="96">
        <v>-50</v>
      </c>
      <c r="D17" s="97"/>
      <c r="E17" s="63">
        <v>0</v>
      </c>
      <c r="F17" s="64"/>
      <c r="G17" s="64" t="s">
        <v>58</v>
      </c>
      <c r="I17" s="10">
        <f>P24*O24</f>
        <v>9033.119999999999</v>
      </c>
      <c r="J17" s="10" t="s">
        <v>1210</v>
      </c>
      <c r="L17" s="10">
        <f>M24*P24</f>
        <v>501.84</v>
      </c>
      <c r="M17" s="10" t="s">
        <v>1210</v>
      </c>
    </row>
    <row r="18" spans="2:16">
      <c r="B18" s="99" t="s">
        <v>125</v>
      </c>
      <c r="C18" s="96">
        <v>-4000</v>
      </c>
      <c r="D18" s="92"/>
      <c r="E18" s="63">
        <v>0</v>
      </c>
      <c r="F18" s="64"/>
      <c r="G18" s="64" t="s">
        <v>58</v>
      </c>
      <c r="H18" s="143"/>
      <c r="I18" s="10">
        <v>36.92</v>
      </c>
      <c r="J18" s="10" t="s">
        <v>1189</v>
      </c>
      <c r="L18" s="144">
        <f>SUM(L13:L17)</f>
        <v>2768.3009809999999</v>
      </c>
      <c r="M18" s="144" t="s">
        <v>1031</v>
      </c>
    </row>
    <row r="19" spans="2:16">
      <c r="B19" s="99" t="s">
        <v>73</v>
      </c>
      <c r="C19" s="96">
        <v>-619.95000000000005</v>
      </c>
      <c r="D19" s="97"/>
      <c r="E19" s="63">
        <v>0</v>
      </c>
      <c r="F19" s="64"/>
      <c r="G19" s="64" t="s">
        <v>58</v>
      </c>
      <c r="I19" s="10"/>
      <c r="J19" s="10"/>
    </row>
    <row r="20" spans="2:16" ht="15.75">
      <c r="B20" s="99" t="s">
        <v>41</v>
      </c>
      <c r="C20" s="96">
        <v>-66.81</v>
      </c>
      <c r="D20" s="97"/>
      <c r="E20" s="63">
        <v>0</v>
      </c>
      <c r="F20" s="64"/>
      <c r="G20" s="64" t="s">
        <v>58</v>
      </c>
      <c r="I20" s="10"/>
      <c r="J20" s="10"/>
      <c r="L20" s="221" t="s">
        <v>1136</v>
      </c>
      <c r="M20" s="221" t="s">
        <v>1019</v>
      </c>
      <c r="N20" s="221" t="s">
        <v>1130</v>
      </c>
      <c r="O20" s="221" t="s">
        <v>1020</v>
      </c>
      <c r="P20" s="221" t="s">
        <v>45</v>
      </c>
    </row>
    <row r="21" spans="2:16">
      <c r="B21" s="99" t="s">
        <v>586</v>
      </c>
      <c r="C21" s="96">
        <v>-234.17</v>
      </c>
      <c r="D21" s="97"/>
      <c r="E21" s="63">
        <v>0</v>
      </c>
      <c r="F21" s="64"/>
      <c r="G21" s="64" t="s">
        <v>58</v>
      </c>
      <c r="I21" s="144">
        <f>SUM(I8:I20)</f>
        <v>42055.475999999995</v>
      </c>
      <c r="J21" s="144" t="s">
        <v>1031</v>
      </c>
      <c r="L21" s="10" t="s">
        <v>1190</v>
      </c>
      <c r="M21" s="184">
        <v>0.35</v>
      </c>
      <c r="N21" s="184">
        <v>0.35</v>
      </c>
      <c r="O21" s="185">
        <v>0.4</v>
      </c>
      <c r="P21" s="208">
        <v>759.5</v>
      </c>
    </row>
    <row r="22" spans="2:16">
      <c r="B22" s="99" t="s">
        <v>1204</v>
      </c>
      <c r="C22" s="96">
        <v>-506</v>
      </c>
      <c r="D22" s="97"/>
      <c r="E22" s="63">
        <v>0</v>
      </c>
      <c r="F22" s="64"/>
      <c r="G22" s="64" t="s">
        <v>58</v>
      </c>
      <c r="L22" s="10" t="s">
        <v>1055</v>
      </c>
      <c r="M22" s="184">
        <v>0</v>
      </c>
      <c r="N22" s="184">
        <v>0</v>
      </c>
      <c r="O22" s="185">
        <v>0.4</v>
      </c>
      <c r="P22" s="208">
        <v>948.9</v>
      </c>
    </row>
    <row r="23" spans="2:16">
      <c r="B23" s="99" t="s">
        <v>189</v>
      </c>
      <c r="C23" s="96">
        <v>-3000</v>
      </c>
      <c r="D23" s="97"/>
      <c r="E23" s="63">
        <v>0</v>
      </c>
      <c r="F23" s="64"/>
      <c r="G23" s="64" t="s">
        <v>58</v>
      </c>
      <c r="L23" s="10" t="s">
        <v>1101</v>
      </c>
      <c r="M23" s="184">
        <v>0</v>
      </c>
      <c r="N23" s="184">
        <v>0</v>
      </c>
      <c r="O23" s="185">
        <v>1.4</v>
      </c>
      <c r="P23" s="208">
        <v>8807.26</v>
      </c>
    </row>
    <row r="24" spans="2:16">
      <c r="B24" s="99" t="s">
        <v>755</v>
      </c>
      <c r="C24" s="96">
        <v>3000</v>
      </c>
      <c r="D24" s="97"/>
      <c r="E24" s="63">
        <v>0</v>
      </c>
      <c r="F24" s="64"/>
      <c r="G24" s="64" t="s">
        <v>58</v>
      </c>
      <c r="L24" s="10" t="s">
        <v>1210</v>
      </c>
      <c r="M24" s="184">
        <v>0.05</v>
      </c>
      <c r="N24" s="184">
        <v>0.05</v>
      </c>
      <c r="O24" s="185">
        <v>0.9</v>
      </c>
      <c r="P24" s="208">
        <v>10036.799999999999</v>
      </c>
    </row>
    <row r="25" spans="2:16">
      <c r="B25" s="99" t="s">
        <v>1212</v>
      </c>
      <c r="C25" s="96">
        <v>-300</v>
      </c>
      <c r="D25" s="97"/>
      <c r="E25" s="63">
        <v>0</v>
      </c>
      <c r="F25" s="64"/>
      <c r="G25" s="64" t="s">
        <v>58</v>
      </c>
    </row>
    <row r="26" spans="2:16" ht="15.75">
      <c r="B26" s="99" t="s">
        <v>102</v>
      </c>
      <c r="C26" s="96">
        <v>-15000</v>
      </c>
      <c r="D26" s="97"/>
      <c r="E26" s="63">
        <v>0</v>
      </c>
      <c r="F26" s="64"/>
      <c r="G26" s="64" t="s">
        <v>58</v>
      </c>
      <c r="I26" s="203" t="s">
        <v>1167</v>
      </c>
      <c r="J26" s="204">
        <v>21.66</v>
      </c>
      <c r="L26" s="203" t="s">
        <v>1169</v>
      </c>
      <c r="M26" s="204">
        <v>900</v>
      </c>
    </row>
    <row r="27" spans="2:16" ht="15.75">
      <c r="B27" s="99" t="s">
        <v>924</v>
      </c>
      <c r="C27" s="96">
        <v>-46.25</v>
      </c>
      <c r="D27" s="97"/>
      <c r="E27" s="63">
        <v>0</v>
      </c>
      <c r="F27" s="64"/>
      <c r="G27" s="64" t="s">
        <v>58</v>
      </c>
      <c r="I27" s="205">
        <v>63</v>
      </c>
      <c r="J27" s="206" t="s">
        <v>1019</v>
      </c>
      <c r="L27" s="203" t="s">
        <v>1171</v>
      </c>
      <c r="M27" s="203">
        <v>2541</v>
      </c>
    </row>
    <row r="28" spans="2:16" ht="15.75">
      <c r="B28" s="99" t="s">
        <v>125</v>
      </c>
      <c r="C28" s="96">
        <v>-300</v>
      </c>
      <c r="D28" s="97"/>
      <c r="E28" s="63">
        <v>0</v>
      </c>
      <c r="F28" s="64"/>
      <c r="G28" s="64" t="s">
        <v>58</v>
      </c>
      <c r="I28" s="205">
        <v>63</v>
      </c>
      <c r="J28" s="206" t="s">
        <v>1168</v>
      </c>
      <c r="L28" s="203" t="s">
        <v>1172</v>
      </c>
      <c r="M28" s="207">
        <v>1.3297999999999999E-4</v>
      </c>
    </row>
    <row r="29" spans="2:16">
      <c r="B29" s="99" t="s">
        <v>686</v>
      </c>
      <c r="C29" s="96">
        <v>-580.84</v>
      </c>
      <c r="D29" s="97"/>
      <c r="E29" s="63">
        <v>0</v>
      </c>
      <c r="F29" s="64"/>
      <c r="G29" s="64" t="s">
        <v>58</v>
      </c>
      <c r="I29" s="205">
        <f>600-63*2</f>
        <v>474</v>
      </c>
      <c r="J29" s="206" t="s">
        <v>1170</v>
      </c>
      <c r="L29" s="206" t="s">
        <v>1173</v>
      </c>
      <c r="M29" s="206">
        <f>M27*M28</f>
        <v>0.33790218</v>
      </c>
    </row>
    <row r="30" spans="2:16" ht="18">
      <c r="B30" s="74" t="s">
        <v>45</v>
      </c>
      <c r="C30" s="188"/>
      <c r="D30" s="98"/>
      <c r="E30" s="129">
        <f>SUM(E3:E29)</f>
        <v>-115.78</v>
      </c>
      <c r="F30" s="75"/>
      <c r="G30" s="75"/>
      <c r="I30" s="199"/>
      <c r="L30" s="206" t="s">
        <v>1174</v>
      </c>
      <c r="M30" s="205">
        <f>M26*M29</f>
        <v>304.11196200000001</v>
      </c>
    </row>
    <row r="32" spans="2:16" ht="18">
      <c r="H32" s="211"/>
      <c r="I32" s="211"/>
    </row>
    <row r="33" spans="5:7" ht="18">
      <c r="G33" s="211"/>
    </row>
    <row r="34" spans="5:7">
      <c r="E34" s="199"/>
    </row>
  </sheetData>
  <mergeCells count="1">
    <mergeCell ref="N2:O2"/>
  </mergeCells>
  <conditionalFormatting sqref="E25">
    <cfRule type="cellIs" dxfId="574" priority="28" stopIfTrue="1" operator="greaterThan">
      <formula>0</formula>
    </cfRule>
  </conditionalFormatting>
  <conditionalFormatting sqref="E26">
    <cfRule type="cellIs" dxfId="573" priority="27" stopIfTrue="1" operator="greaterThan">
      <formula>0</formula>
    </cfRule>
  </conditionalFormatting>
  <conditionalFormatting sqref="E13">
    <cfRule type="cellIs" dxfId="572" priority="26" stopIfTrue="1" operator="greaterThan">
      <formula>0</formula>
    </cfRule>
  </conditionalFormatting>
  <conditionalFormatting sqref="E16">
    <cfRule type="cellIs" dxfId="571" priority="25" stopIfTrue="1" operator="greaterThan">
      <formula>0</formula>
    </cfRule>
  </conditionalFormatting>
  <conditionalFormatting sqref="E22">
    <cfRule type="cellIs" dxfId="570" priority="24" stopIfTrue="1" operator="greaterThan">
      <formula>0</formula>
    </cfRule>
  </conditionalFormatting>
  <conditionalFormatting sqref="E28">
    <cfRule type="cellIs" dxfId="569" priority="23" stopIfTrue="1" operator="greaterThan">
      <formula>0</formula>
    </cfRule>
  </conditionalFormatting>
  <conditionalFormatting sqref="E10">
    <cfRule type="cellIs" dxfId="568" priority="22" stopIfTrue="1" operator="greaterThan">
      <formula>0</formula>
    </cfRule>
  </conditionalFormatting>
  <conditionalFormatting sqref="E11">
    <cfRule type="cellIs" dxfId="567" priority="21" stopIfTrue="1" operator="greaterThan">
      <formula>0</formula>
    </cfRule>
  </conditionalFormatting>
  <conditionalFormatting sqref="E17">
    <cfRule type="cellIs" dxfId="566" priority="20" stopIfTrue="1" operator="greaterThan">
      <formula>0</formula>
    </cfRule>
  </conditionalFormatting>
  <conditionalFormatting sqref="E8">
    <cfRule type="cellIs" dxfId="565" priority="19" stopIfTrue="1" operator="greaterThan">
      <formula>0</formula>
    </cfRule>
  </conditionalFormatting>
  <conditionalFormatting sqref="E9">
    <cfRule type="cellIs" dxfId="564" priority="18" stopIfTrue="1" operator="greaterThan">
      <formula>0</formula>
    </cfRule>
  </conditionalFormatting>
  <conditionalFormatting sqref="E21">
    <cfRule type="cellIs" dxfId="563" priority="17" stopIfTrue="1" operator="greaterThan">
      <formula>0</formula>
    </cfRule>
  </conditionalFormatting>
  <conditionalFormatting sqref="E12">
    <cfRule type="cellIs" dxfId="562" priority="16" stopIfTrue="1" operator="greaterThan">
      <formula>0</formula>
    </cfRule>
  </conditionalFormatting>
  <conditionalFormatting sqref="E29">
    <cfRule type="cellIs" dxfId="561" priority="15" stopIfTrue="1" operator="greaterThan">
      <formula>0</formula>
    </cfRule>
  </conditionalFormatting>
  <conditionalFormatting sqref="E14">
    <cfRule type="cellIs" dxfId="560" priority="12" stopIfTrue="1" operator="greaterThan">
      <formula>0</formula>
    </cfRule>
  </conditionalFormatting>
  <conditionalFormatting sqref="E15">
    <cfRule type="cellIs" dxfId="559" priority="11" stopIfTrue="1" operator="greaterThan">
      <formula>0</formula>
    </cfRule>
  </conditionalFormatting>
  <conditionalFormatting sqref="E19">
    <cfRule type="cellIs" dxfId="558" priority="10" stopIfTrue="1" operator="greaterThan">
      <formula>0</formula>
    </cfRule>
  </conditionalFormatting>
  <conditionalFormatting sqref="E18">
    <cfRule type="cellIs" dxfId="557" priority="7" stopIfTrue="1" operator="greaterThan">
      <formula>0</formula>
    </cfRule>
  </conditionalFormatting>
  <conditionalFormatting sqref="E24">
    <cfRule type="cellIs" dxfId="556" priority="6" stopIfTrue="1" operator="greaterThan">
      <formula>0</formula>
    </cfRule>
  </conditionalFormatting>
  <conditionalFormatting sqref="E23">
    <cfRule type="cellIs" dxfId="555" priority="3" stopIfTrue="1" operator="greaterThan">
      <formula>0</formula>
    </cfRule>
  </conditionalFormatting>
  <conditionalFormatting sqref="E27">
    <cfRule type="cellIs" dxfId="554" priority="2" stopIfTrue="1" operator="greaterThan">
      <formula>0</formula>
    </cfRule>
  </conditionalFormatting>
  <conditionalFormatting sqref="E20">
    <cfRule type="cellIs" dxfId="553" priority="1" stopIfTrue="1" operator="greaterThan">
      <formula>0</formula>
    </cfRule>
  </conditionalFormatting>
  <pageMargins left="0.511811024" right="0.511811024" top="0.78740157499999996" bottom="0.78740157499999996" header="0.31496062000000002" footer="0.31496062000000002"/>
</worksheet>
</file>

<file path=xl/worksheets/sheet107.xml><?xml version="1.0" encoding="utf-8"?>
<worksheet xmlns="http://schemas.openxmlformats.org/spreadsheetml/2006/main" xmlns:r="http://schemas.openxmlformats.org/officeDocument/2006/relationships">
  <sheetPr>
    <pageSetUpPr autoPageBreaks="0"/>
  </sheetPr>
  <dimension ref="B1:P38"/>
  <sheetViews>
    <sheetView zoomScale="75" zoomScaleNormal="75" zoomScalePageLayoutView="75" workbookViewId="0">
      <selection activeCell="C23" sqref="C23"/>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 min="16" max="16" width="14"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1213</v>
      </c>
      <c r="O2" s="587"/>
    </row>
    <row r="3" spans="2:15">
      <c r="B3" s="71" t="s">
        <v>1214</v>
      </c>
      <c r="C3" s="191"/>
      <c r="D3" s="92"/>
      <c r="E3" s="95">
        <v>-97.98</v>
      </c>
      <c r="F3" s="72"/>
      <c r="G3" s="72"/>
      <c r="I3" s="10">
        <v>1989.86</v>
      </c>
      <c r="J3" s="10" t="s">
        <v>914</v>
      </c>
      <c r="L3" s="10">
        <f>100*2.62</f>
        <v>262</v>
      </c>
      <c r="M3" s="10" t="s">
        <v>1125</v>
      </c>
      <c r="N3" s="144">
        <f>3155.57+2850</f>
        <v>6005.57</v>
      </c>
      <c r="O3" s="144" t="s">
        <v>1215</v>
      </c>
    </row>
    <row r="4" spans="2:15" ht="12" customHeight="1">
      <c r="B4" s="71" t="s">
        <v>5</v>
      </c>
      <c r="C4" s="91">
        <v>12989.88</v>
      </c>
      <c r="D4" s="92"/>
      <c r="E4" s="95">
        <v>0</v>
      </c>
      <c r="F4" s="72"/>
      <c r="G4" s="72"/>
      <c r="I4" s="10">
        <v>227.94</v>
      </c>
      <c r="J4" s="10" t="s">
        <v>915</v>
      </c>
      <c r="L4" s="10">
        <f>200*2.62</f>
        <v>524</v>
      </c>
      <c r="M4" s="10" t="s">
        <v>716</v>
      </c>
    </row>
    <row r="5" spans="2:15" ht="12" customHeight="1">
      <c r="B5" s="71" t="s">
        <v>1216</v>
      </c>
      <c r="C5" s="91">
        <v>2044.92</v>
      </c>
      <c r="D5" s="92"/>
      <c r="E5" s="95">
        <v>0</v>
      </c>
      <c r="F5" s="72"/>
      <c r="G5" s="72"/>
      <c r="I5" s="10"/>
      <c r="J5" s="10"/>
      <c r="L5" s="10">
        <f>O27</f>
        <v>5451.335</v>
      </c>
      <c r="M5" s="10" t="s">
        <v>1127</v>
      </c>
    </row>
    <row r="6" spans="2:15">
      <c r="B6" s="71" t="s">
        <v>107</v>
      </c>
      <c r="C6" s="91">
        <v>0</v>
      </c>
      <c r="D6" s="92"/>
      <c r="E6" s="95">
        <f>C6</f>
        <v>0</v>
      </c>
      <c r="F6" s="72"/>
      <c r="G6" s="72"/>
      <c r="L6" s="10">
        <f>I27*J26</f>
        <v>1378.08</v>
      </c>
      <c r="M6" s="10" t="s">
        <v>1133</v>
      </c>
    </row>
    <row r="7" spans="2:15" ht="15.75">
      <c r="B7" s="99" t="s">
        <v>714</v>
      </c>
      <c r="C7" s="96">
        <v>-35</v>
      </c>
      <c r="D7" s="97"/>
      <c r="E7" s="63">
        <v>0</v>
      </c>
      <c r="F7" s="64"/>
      <c r="G7" s="64" t="s">
        <v>58</v>
      </c>
      <c r="I7" s="221" t="s">
        <v>1143</v>
      </c>
      <c r="J7" s="221" t="s">
        <v>408</v>
      </c>
      <c r="L7" s="10">
        <f>N23*P23</f>
        <v>506.01750000000004</v>
      </c>
      <c r="M7" s="10" t="s">
        <v>1210</v>
      </c>
    </row>
    <row r="8" spans="2:15">
      <c r="B8" s="99" t="s">
        <v>1098</v>
      </c>
      <c r="C8" s="96">
        <v>-124.31</v>
      </c>
      <c r="D8" s="97"/>
      <c r="E8" s="63">
        <v>0</v>
      </c>
      <c r="F8" s="64"/>
      <c r="G8" s="64" t="s">
        <v>58</v>
      </c>
      <c r="I8" s="10"/>
      <c r="J8" s="10"/>
      <c r="L8" s="10">
        <v>225</v>
      </c>
      <c r="M8" s="10" t="s">
        <v>996</v>
      </c>
    </row>
    <row r="9" spans="2:15">
      <c r="B9" s="99" t="s">
        <v>65</v>
      </c>
      <c r="C9" s="96">
        <v>-790</v>
      </c>
      <c r="D9" s="97"/>
      <c r="E9" s="63">
        <v>0</v>
      </c>
      <c r="F9" s="64"/>
      <c r="G9" s="64" t="s">
        <v>58</v>
      </c>
      <c r="I9" s="10">
        <v>1600</v>
      </c>
      <c r="J9" s="10" t="s">
        <v>752</v>
      </c>
      <c r="L9" s="10"/>
      <c r="M9" s="10"/>
    </row>
    <row r="10" spans="2:15" ht="14.25" customHeight="1">
      <c r="B10" s="99" t="s">
        <v>1197</v>
      </c>
      <c r="C10" s="96">
        <f>-110-162-23</f>
        <v>-295</v>
      </c>
      <c r="D10" s="97"/>
      <c r="E10" s="63">
        <v>0</v>
      </c>
      <c r="F10" s="64"/>
      <c r="G10" s="64" t="s">
        <v>58</v>
      </c>
      <c r="I10" s="10"/>
      <c r="J10" s="10"/>
      <c r="L10" s="10">
        <f>M29/2</f>
        <v>84.992949089999996</v>
      </c>
      <c r="M10" s="10" t="s">
        <v>1162</v>
      </c>
    </row>
    <row r="11" spans="2:15">
      <c r="B11" s="99" t="s">
        <v>1217</v>
      </c>
      <c r="C11" s="96">
        <v>-162</v>
      </c>
      <c r="D11" s="97"/>
      <c r="E11" s="63">
        <v>0</v>
      </c>
      <c r="F11" s="64"/>
      <c r="G11" s="64" t="s">
        <v>58</v>
      </c>
      <c r="I11" s="10"/>
      <c r="J11" s="10"/>
      <c r="L11" s="144">
        <f>SUM(L3:L10)</f>
        <v>8431.4254490899984</v>
      </c>
      <c r="M11" s="144" t="s">
        <v>1031</v>
      </c>
    </row>
    <row r="12" spans="2:15">
      <c r="B12" s="99" t="s">
        <v>1069</v>
      </c>
      <c r="C12" s="96">
        <v>-760</v>
      </c>
      <c r="D12" s="97"/>
      <c r="E12" s="63">
        <v>0</v>
      </c>
      <c r="F12" s="64"/>
      <c r="G12" s="64" t="s">
        <v>58</v>
      </c>
      <c r="I12" s="10"/>
      <c r="J12" s="10"/>
    </row>
    <row r="13" spans="2:15" ht="15.75">
      <c r="B13" s="99" t="s">
        <v>103</v>
      </c>
      <c r="C13" s="96">
        <v>-7275.76</v>
      </c>
      <c r="D13" s="97"/>
      <c r="E13" s="63">
        <v>0</v>
      </c>
      <c r="F13" s="64"/>
      <c r="G13" s="64" t="s">
        <v>58</v>
      </c>
      <c r="I13" s="10">
        <f>489.05*2.62</f>
        <v>1281.3110000000001</v>
      </c>
      <c r="J13" s="10" t="s">
        <v>1088</v>
      </c>
      <c r="L13" s="221" t="s">
        <v>1130</v>
      </c>
      <c r="M13" s="221" t="s">
        <v>408</v>
      </c>
    </row>
    <row r="14" spans="2:15">
      <c r="B14" s="99" t="s">
        <v>1148</v>
      </c>
      <c r="C14" s="96">
        <v>-450</v>
      </c>
      <c r="D14" s="97"/>
      <c r="E14" s="63">
        <v>0</v>
      </c>
      <c r="F14" s="64"/>
      <c r="G14" s="64" t="s">
        <v>58</v>
      </c>
      <c r="I14" s="10">
        <f>O28</f>
        <v>5451.335</v>
      </c>
      <c r="J14" s="10" t="s">
        <v>1127</v>
      </c>
      <c r="L14" s="10">
        <f>200*2.62</f>
        <v>524</v>
      </c>
      <c r="M14" s="10" t="s">
        <v>716</v>
      </c>
    </row>
    <row r="15" spans="2:15">
      <c r="B15" s="99" t="s">
        <v>1218</v>
      </c>
      <c r="C15" s="96">
        <v>-250</v>
      </c>
      <c r="D15" s="97"/>
      <c r="E15" s="63">
        <v>0</v>
      </c>
      <c r="F15" s="64"/>
      <c r="G15" s="64" t="s">
        <v>58</v>
      </c>
      <c r="I15" s="10">
        <f>I29*J26</f>
        <v>8205.84</v>
      </c>
      <c r="J15" s="10" t="s">
        <v>1133</v>
      </c>
      <c r="L15" s="10">
        <f>M29/2</f>
        <v>84.992949089999996</v>
      </c>
      <c r="M15" s="10" t="s">
        <v>1162</v>
      </c>
    </row>
    <row r="16" spans="2:15">
      <c r="B16" s="99" t="s">
        <v>1219</v>
      </c>
      <c r="C16" s="96">
        <v>-250</v>
      </c>
      <c r="D16" s="97"/>
      <c r="E16" s="63">
        <v>0</v>
      </c>
      <c r="F16" s="64"/>
      <c r="G16" s="64" t="s">
        <v>58</v>
      </c>
      <c r="I16" s="10">
        <v>5775.18</v>
      </c>
      <c r="J16" s="10" t="s">
        <v>1211</v>
      </c>
      <c r="L16" s="10">
        <f>I28*J26</f>
        <v>1378.08</v>
      </c>
      <c r="M16" s="10" t="s">
        <v>1133</v>
      </c>
    </row>
    <row r="17" spans="2:16">
      <c r="B17" s="99" t="s">
        <v>1220</v>
      </c>
      <c r="C17" s="96">
        <v>-60</v>
      </c>
      <c r="D17" s="97"/>
      <c r="E17" s="63">
        <v>0</v>
      </c>
      <c r="F17" s="64"/>
      <c r="G17" s="64" t="s">
        <v>58</v>
      </c>
      <c r="I17" s="10">
        <f>P23*O23</f>
        <v>9108.3150000000005</v>
      </c>
      <c r="J17" s="10" t="s">
        <v>1210</v>
      </c>
      <c r="L17" s="10">
        <v>225</v>
      </c>
      <c r="M17" s="10" t="s">
        <v>996</v>
      </c>
    </row>
    <row r="18" spans="2:16">
      <c r="B18" s="99" t="s">
        <v>1221</v>
      </c>
      <c r="C18" s="96">
        <v>-2700</v>
      </c>
      <c r="D18" s="97"/>
      <c r="E18" s="63">
        <v>0</v>
      </c>
      <c r="F18" s="64"/>
      <c r="G18" s="64" t="s">
        <v>58</v>
      </c>
      <c r="H18" s="143"/>
      <c r="I18" s="10">
        <v>237.83</v>
      </c>
      <c r="J18" s="10" t="s">
        <v>1189</v>
      </c>
      <c r="L18" s="10"/>
      <c r="M18" s="10"/>
    </row>
    <row r="19" spans="2:16">
      <c r="B19" s="99" t="s">
        <v>1222</v>
      </c>
      <c r="C19" s="96">
        <v>-2000</v>
      </c>
      <c r="D19" s="97"/>
      <c r="E19" s="63">
        <v>0</v>
      </c>
      <c r="F19" s="64"/>
      <c r="G19" s="64" t="s">
        <v>58</v>
      </c>
      <c r="I19" s="10"/>
      <c r="J19" s="10"/>
      <c r="L19" s="10">
        <f>M23*P23</f>
        <v>506.01750000000004</v>
      </c>
      <c r="M19" s="10" t="s">
        <v>1210</v>
      </c>
    </row>
    <row r="20" spans="2:16">
      <c r="B20" s="99" t="s">
        <v>755</v>
      </c>
      <c r="C20" s="96">
        <v>8500</v>
      </c>
      <c r="D20" s="97"/>
      <c r="E20" s="63">
        <v>0</v>
      </c>
      <c r="F20" s="64"/>
      <c r="G20" s="64" t="s">
        <v>58</v>
      </c>
      <c r="I20" s="10"/>
      <c r="J20" s="10"/>
      <c r="L20" s="144">
        <f>SUM(L14:L19)</f>
        <v>2718.0904490899998</v>
      </c>
      <c r="M20" s="144" t="s">
        <v>1031</v>
      </c>
    </row>
    <row r="21" spans="2:16">
      <c r="B21" s="99" t="s">
        <v>1032</v>
      </c>
      <c r="C21" s="96">
        <v>-437.68</v>
      </c>
      <c r="D21" s="97"/>
      <c r="E21" s="63">
        <v>0</v>
      </c>
      <c r="F21" s="64"/>
      <c r="G21" s="64" t="s">
        <v>58</v>
      </c>
      <c r="I21" s="144">
        <f>SUM(I8:I20)</f>
        <v>31659.811000000002</v>
      </c>
      <c r="J21" s="144" t="s">
        <v>1031</v>
      </c>
    </row>
    <row r="22" spans="2:16" ht="15.75">
      <c r="B22" s="99" t="s">
        <v>748</v>
      </c>
      <c r="C22" s="96">
        <v>-50</v>
      </c>
      <c r="D22" s="97"/>
      <c r="E22" s="63">
        <v>0</v>
      </c>
      <c r="F22" s="64"/>
      <c r="G22" s="64" t="s">
        <v>58</v>
      </c>
      <c r="L22" s="221" t="s">
        <v>1223</v>
      </c>
      <c r="M22" s="221" t="s">
        <v>1019</v>
      </c>
      <c r="N22" s="221" t="s">
        <v>1130</v>
      </c>
      <c r="O22" s="221" t="s">
        <v>1020</v>
      </c>
      <c r="P22" s="221" t="s">
        <v>45</v>
      </c>
    </row>
    <row r="23" spans="2:16">
      <c r="B23" s="99" t="s">
        <v>1224</v>
      </c>
      <c r="C23" s="96">
        <v>-250</v>
      </c>
      <c r="D23" s="97"/>
      <c r="E23" s="63">
        <v>0</v>
      </c>
      <c r="F23" s="64"/>
      <c r="G23" s="64" t="s">
        <v>58</v>
      </c>
      <c r="L23" s="10" t="s">
        <v>1210</v>
      </c>
      <c r="M23" s="184">
        <v>0.05</v>
      </c>
      <c r="N23" s="184">
        <v>0.05</v>
      </c>
      <c r="O23" s="185">
        <v>0.9</v>
      </c>
      <c r="P23" s="208">
        <v>10120.35</v>
      </c>
    </row>
    <row r="24" spans="2:16">
      <c r="B24" s="99" t="s">
        <v>125</v>
      </c>
      <c r="C24" s="96">
        <v>-4400</v>
      </c>
      <c r="D24" s="92"/>
      <c r="E24" s="63">
        <v>0</v>
      </c>
      <c r="F24" s="64"/>
      <c r="G24" s="64" t="s">
        <v>58</v>
      </c>
    </row>
    <row r="25" spans="2:16" ht="15.75">
      <c r="B25" s="99" t="s">
        <v>1121</v>
      </c>
      <c r="C25" s="96">
        <v>-166.65</v>
      </c>
      <c r="D25" s="97"/>
      <c r="E25" s="63">
        <v>0</v>
      </c>
      <c r="F25" s="64"/>
      <c r="G25" s="64" t="s">
        <v>58</v>
      </c>
      <c r="L25" s="203" t="s">
        <v>1169</v>
      </c>
      <c r="M25" s="204">
        <v>1031</v>
      </c>
      <c r="N25" s="587" t="s">
        <v>1091</v>
      </c>
      <c r="O25" s="587"/>
    </row>
    <row r="26" spans="2:16" ht="15.75">
      <c r="B26" s="99" t="s">
        <v>1225</v>
      </c>
      <c r="C26" s="96">
        <v>-220</v>
      </c>
      <c r="D26" s="97"/>
      <c r="E26" s="63">
        <v>0</v>
      </c>
      <c r="F26" s="64"/>
      <c r="G26" s="64" t="s">
        <v>58</v>
      </c>
      <c r="I26" s="203" t="s">
        <v>1167</v>
      </c>
      <c r="J26" s="204">
        <v>15.66</v>
      </c>
      <c r="L26" s="203" t="s">
        <v>1171</v>
      </c>
      <c r="M26" s="203">
        <v>2982</v>
      </c>
      <c r="N26" s="194" t="s">
        <v>45</v>
      </c>
      <c r="O26" s="195">
        <v>10902.67</v>
      </c>
    </row>
    <row r="27" spans="2:16" ht="15.75">
      <c r="B27" s="99" t="s">
        <v>73</v>
      </c>
      <c r="C27" s="96">
        <v>-522.73</v>
      </c>
      <c r="D27" s="97"/>
      <c r="E27" s="63">
        <v>0</v>
      </c>
      <c r="F27" s="64"/>
      <c r="G27" s="64" t="s">
        <v>58</v>
      </c>
      <c r="I27" s="205">
        <f>63+25</f>
        <v>88</v>
      </c>
      <c r="J27" s="206" t="s">
        <v>1019</v>
      </c>
      <c r="L27" s="203" t="s">
        <v>1172</v>
      </c>
      <c r="M27" s="207">
        <v>5.5290000000000001E-5</v>
      </c>
      <c r="N27" s="194" t="s">
        <v>993</v>
      </c>
      <c r="O27" s="195">
        <f>O26/2</f>
        <v>5451.335</v>
      </c>
    </row>
    <row r="28" spans="2:16">
      <c r="B28" s="99" t="s">
        <v>102</v>
      </c>
      <c r="C28" s="96">
        <v>-1400</v>
      </c>
      <c r="D28" s="97"/>
      <c r="E28" s="63">
        <v>0</v>
      </c>
      <c r="F28" s="64"/>
      <c r="G28" s="64" t="s">
        <v>58</v>
      </c>
      <c r="I28" s="205">
        <f>63+25</f>
        <v>88</v>
      </c>
      <c r="J28" s="206" t="s">
        <v>1168</v>
      </c>
      <c r="L28" s="206" t="s">
        <v>1173</v>
      </c>
      <c r="M28" s="206">
        <f>M26*M27</f>
        <v>0.16487478</v>
      </c>
      <c r="N28" s="194" t="s">
        <v>1092</v>
      </c>
      <c r="O28" s="195">
        <f>O26/2</f>
        <v>5451.335</v>
      </c>
    </row>
    <row r="29" spans="2:16">
      <c r="B29" s="99" t="s">
        <v>755</v>
      </c>
      <c r="C29" s="96">
        <v>1000</v>
      </c>
      <c r="D29" s="97"/>
      <c r="E29" s="63">
        <v>0</v>
      </c>
      <c r="F29" s="64"/>
      <c r="G29" s="64" t="s">
        <v>58</v>
      </c>
      <c r="I29" s="205">
        <f>600-63*2+50</f>
        <v>524</v>
      </c>
      <c r="J29" s="206" t="s">
        <v>1170</v>
      </c>
      <c r="L29" s="206" t="s">
        <v>1174</v>
      </c>
      <c r="M29" s="205">
        <f>M25*M28</f>
        <v>169.98589817999999</v>
      </c>
    </row>
    <row r="30" spans="2:16">
      <c r="B30" s="99" t="s">
        <v>41</v>
      </c>
      <c r="C30" s="96">
        <v>-67.069999999999993</v>
      </c>
      <c r="D30" s="97"/>
      <c r="E30" s="63">
        <v>0</v>
      </c>
      <c r="F30" s="64"/>
      <c r="G30" s="64" t="s">
        <v>58</v>
      </c>
      <c r="I30" s="199"/>
    </row>
    <row r="31" spans="2:16">
      <c r="B31" s="99" t="s">
        <v>586</v>
      </c>
      <c r="C31" s="96">
        <v>-233.18</v>
      </c>
      <c r="D31" s="97"/>
      <c r="E31" s="63">
        <v>0</v>
      </c>
      <c r="F31" s="64"/>
      <c r="G31" s="64" t="s">
        <v>58</v>
      </c>
    </row>
    <row r="32" spans="2:16" ht="18">
      <c r="B32" s="99" t="s">
        <v>924</v>
      </c>
      <c r="C32" s="96">
        <v>-44.21</v>
      </c>
      <c r="D32" s="97"/>
      <c r="E32" s="63">
        <v>0</v>
      </c>
      <c r="F32" s="64"/>
      <c r="G32" s="64" t="s">
        <v>58</v>
      </c>
      <c r="H32" s="211"/>
      <c r="I32" s="211"/>
    </row>
    <row r="33" spans="2:7">
      <c r="B33" s="99" t="s">
        <v>686</v>
      </c>
      <c r="C33" s="96">
        <v>-722.47</v>
      </c>
      <c r="D33" s="97"/>
      <c r="E33" s="63">
        <v>0</v>
      </c>
      <c r="F33" s="64"/>
      <c r="G33" s="64" t="s">
        <v>58</v>
      </c>
    </row>
    <row r="34" spans="2:7" ht="18">
      <c r="B34" s="74" t="s">
        <v>45</v>
      </c>
      <c r="C34" s="188"/>
      <c r="D34" s="98"/>
      <c r="E34" s="129">
        <f>SUM(E3:E33)</f>
        <v>-97.98</v>
      </c>
      <c r="F34" s="75"/>
      <c r="G34" s="75"/>
    </row>
    <row r="37" spans="2:7" ht="18">
      <c r="G37" s="211"/>
    </row>
    <row r="38" spans="2:7">
      <c r="E38" s="199"/>
    </row>
  </sheetData>
  <mergeCells count="2">
    <mergeCell ref="N25:O25"/>
    <mergeCell ref="N2:O2"/>
  </mergeCells>
  <conditionalFormatting sqref="E13">
    <cfRule type="cellIs" dxfId="552" priority="57" stopIfTrue="1" operator="greaterThan">
      <formula>0</formula>
    </cfRule>
  </conditionalFormatting>
  <conditionalFormatting sqref="E21">
    <cfRule type="cellIs" dxfId="551" priority="56" stopIfTrue="1" operator="greaterThan">
      <formula>0</formula>
    </cfRule>
  </conditionalFormatting>
  <conditionalFormatting sqref="E12">
    <cfRule type="cellIs" dxfId="550" priority="55" stopIfTrue="1" operator="greaterThan">
      <formula>0</formula>
    </cfRule>
  </conditionalFormatting>
  <conditionalFormatting sqref="E7">
    <cfRule type="cellIs" dxfId="549" priority="53" stopIfTrue="1" operator="greaterThan">
      <formula>0</formula>
    </cfRule>
  </conditionalFormatting>
  <conditionalFormatting sqref="E9">
    <cfRule type="cellIs" dxfId="548" priority="52" stopIfTrue="1" operator="greaterThan">
      <formula>0</formula>
    </cfRule>
  </conditionalFormatting>
  <conditionalFormatting sqref="E14">
    <cfRule type="cellIs" dxfId="547" priority="51" stopIfTrue="1" operator="greaterThan">
      <formula>0</formula>
    </cfRule>
  </conditionalFormatting>
  <conditionalFormatting sqref="E10">
    <cfRule type="cellIs" dxfId="546" priority="35" stopIfTrue="1" operator="greaterThan">
      <formula>0</formula>
    </cfRule>
  </conditionalFormatting>
  <conditionalFormatting sqref="E8">
    <cfRule type="cellIs" dxfId="545" priority="32" stopIfTrue="1" operator="greaterThan">
      <formula>0</formula>
    </cfRule>
  </conditionalFormatting>
  <conditionalFormatting sqref="E15">
    <cfRule type="cellIs" dxfId="544" priority="29" stopIfTrue="1" operator="greaterThan">
      <formula>0</formula>
    </cfRule>
  </conditionalFormatting>
  <conditionalFormatting sqref="E31">
    <cfRule type="cellIs" dxfId="543" priority="28" stopIfTrue="1" operator="greaterThan">
      <formula>0</formula>
    </cfRule>
  </conditionalFormatting>
  <conditionalFormatting sqref="E33">
    <cfRule type="cellIs" dxfId="542" priority="27" stopIfTrue="1" operator="greaterThan">
      <formula>0</formula>
    </cfRule>
  </conditionalFormatting>
  <conditionalFormatting sqref="E19">
    <cfRule type="cellIs" dxfId="541" priority="26" stopIfTrue="1" operator="greaterThan">
      <formula>0</formula>
    </cfRule>
  </conditionalFormatting>
  <conditionalFormatting sqref="E22">
    <cfRule type="cellIs" dxfId="540" priority="23" stopIfTrue="1" operator="greaterThan">
      <formula>0</formula>
    </cfRule>
  </conditionalFormatting>
  <conditionalFormatting sqref="E11">
    <cfRule type="cellIs" dxfId="539" priority="20" stopIfTrue="1" operator="greaterThan">
      <formula>0</formula>
    </cfRule>
  </conditionalFormatting>
  <conditionalFormatting sqref="E18">
    <cfRule type="cellIs" dxfId="538" priority="19" stopIfTrue="1" operator="greaterThan">
      <formula>0</formula>
    </cfRule>
  </conditionalFormatting>
  <conditionalFormatting sqref="E20">
    <cfRule type="cellIs" dxfId="537" priority="18" stopIfTrue="1" operator="greaterThan">
      <formula>0</formula>
    </cfRule>
  </conditionalFormatting>
  <conditionalFormatting sqref="E23">
    <cfRule type="cellIs" dxfId="536" priority="17" stopIfTrue="1" operator="greaterThan">
      <formula>0</formula>
    </cfRule>
  </conditionalFormatting>
  <conditionalFormatting sqref="E26">
    <cfRule type="cellIs" dxfId="535" priority="16" stopIfTrue="1" operator="greaterThan">
      <formula>0</formula>
    </cfRule>
  </conditionalFormatting>
  <conditionalFormatting sqref="E17">
    <cfRule type="cellIs" dxfId="534" priority="14" stopIfTrue="1" operator="greaterThan">
      <formula>0</formula>
    </cfRule>
  </conditionalFormatting>
  <conditionalFormatting sqref="E16">
    <cfRule type="cellIs" dxfId="533" priority="13" stopIfTrue="1" operator="greaterThan">
      <formula>0</formula>
    </cfRule>
  </conditionalFormatting>
  <conditionalFormatting sqref="E27">
    <cfRule type="cellIs" dxfId="532" priority="12" stopIfTrue="1" operator="greaterThan">
      <formula>0</formula>
    </cfRule>
  </conditionalFormatting>
  <conditionalFormatting sqref="E24">
    <cfRule type="cellIs" dxfId="531" priority="10" stopIfTrue="1" operator="greaterThan">
      <formula>0</formula>
    </cfRule>
  </conditionalFormatting>
  <conditionalFormatting sqref="E29">
    <cfRule type="cellIs" dxfId="530" priority="9" stopIfTrue="1" operator="greaterThan">
      <formula>0</formula>
    </cfRule>
  </conditionalFormatting>
  <conditionalFormatting sqref="E25">
    <cfRule type="cellIs" dxfId="529" priority="4" stopIfTrue="1" operator="greaterThan">
      <formula>0</formula>
    </cfRule>
  </conditionalFormatting>
  <conditionalFormatting sqref="E28">
    <cfRule type="cellIs" dxfId="528" priority="3" stopIfTrue="1" operator="greaterThan">
      <formula>0</formula>
    </cfRule>
  </conditionalFormatting>
  <conditionalFormatting sqref="E32">
    <cfRule type="cellIs" dxfId="527" priority="2" stopIfTrue="1" operator="greaterThan">
      <formula>0</formula>
    </cfRule>
  </conditionalFormatting>
  <conditionalFormatting sqref="E30">
    <cfRule type="cellIs" dxfId="526" priority="1" stopIfTrue="1" operator="greaterThan">
      <formula>0</formula>
    </cfRule>
  </conditionalFormatting>
  <pageMargins left="0.511811024" right="0.511811024" top="0.78740157499999996" bottom="0.78740157499999996" header="0.31496062000000002" footer="0.31496062000000002"/>
</worksheet>
</file>

<file path=xl/worksheets/sheet108.xml><?xml version="1.0" encoding="utf-8"?>
<worksheet xmlns="http://schemas.openxmlformats.org/spreadsheetml/2006/main" xmlns:r="http://schemas.openxmlformats.org/officeDocument/2006/relationships">
  <sheetPr>
    <pageSetUpPr autoPageBreaks="0"/>
  </sheetPr>
  <dimension ref="B1:P42"/>
  <sheetViews>
    <sheetView topLeftCell="A6" zoomScale="75" zoomScaleNormal="75" zoomScalePageLayoutView="75" workbookViewId="0">
      <selection activeCell="C24" sqref="C24"/>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 min="16" max="16" width="14"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1213</v>
      </c>
      <c r="O2" s="587"/>
    </row>
    <row r="3" spans="2:15">
      <c r="B3" s="71" t="s">
        <v>56</v>
      </c>
      <c r="C3" s="191"/>
      <c r="D3" s="92"/>
      <c r="E3" s="95">
        <v>-2065.98</v>
      </c>
      <c r="F3" s="72"/>
      <c r="G3" s="72"/>
      <c r="I3" s="10">
        <v>2094.81</v>
      </c>
      <c r="J3" s="10" t="s">
        <v>914</v>
      </c>
      <c r="L3" s="10">
        <f>100*2.9</f>
        <v>290</v>
      </c>
      <c r="M3" s="10" t="s">
        <v>1125</v>
      </c>
      <c r="N3" s="144">
        <f>5987.28-2300</f>
        <v>3687.2799999999997</v>
      </c>
      <c r="O3" s="144" t="s">
        <v>1215</v>
      </c>
    </row>
    <row r="4" spans="2:15" ht="12" customHeight="1">
      <c r="B4" s="71" t="s">
        <v>48</v>
      </c>
      <c r="C4" s="91">
        <v>-75.760000000000005</v>
      </c>
      <c r="D4" s="92"/>
      <c r="E4" s="95">
        <f>C4</f>
        <v>-75.760000000000005</v>
      </c>
      <c r="F4" s="72"/>
      <c r="G4" s="72"/>
      <c r="I4" s="10">
        <v>37.950000000000003</v>
      </c>
      <c r="J4" s="10" t="s">
        <v>915</v>
      </c>
      <c r="L4" s="10">
        <f>200*2.9</f>
        <v>580</v>
      </c>
      <c r="M4" s="10" t="s">
        <v>716</v>
      </c>
    </row>
    <row r="5" spans="2:15" ht="12" customHeight="1">
      <c r="B5" s="71" t="s">
        <v>5</v>
      </c>
      <c r="C5" s="91">
        <v>12989.88</v>
      </c>
      <c r="D5" s="92"/>
      <c r="E5" s="95">
        <v>0</v>
      </c>
      <c r="F5" s="72"/>
      <c r="G5" s="72"/>
      <c r="I5" s="10"/>
      <c r="J5" s="10"/>
      <c r="L5" s="10">
        <f>O27</f>
        <v>5349.76</v>
      </c>
      <c r="M5" s="10" t="s">
        <v>1127</v>
      </c>
    </row>
    <row r="6" spans="2:15">
      <c r="B6" s="71" t="s">
        <v>1226</v>
      </c>
      <c r="C6" s="91">
        <v>1416.67</v>
      </c>
      <c r="D6" s="92"/>
      <c r="E6" s="95">
        <v>0</v>
      </c>
      <c r="F6" s="72"/>
      <c r="G6" s="72"/>
      <c r="L6" s="10">
        <f>I27*J26</f>
        <v>1306.8600000000001</v>
      </c>
      <c r="M6" s="10" t="s">
        <v>1133</v>
      </c>
    </row>
    <row r="7" spans="2:15" ht="15.75">
      <c r="B7" s="71" t="s">
        <v>107</v>
      </c>
      <c r="C7" s="91">
        <v>320</v>
      </c>
      <c r="D7" s="92"/>
      <c r="E7" s="95">
        <v>0</v>
      </c>
      <c r="F7" s="72"/>
      <c r="G7" s="72"/>
      <c r="I7" s="221" t="s">
        <v>1143</v>
      </c>
      <c r="J7" s="221" t="s">
        <v>408</v>
      </c>
      <c r="L7" s="10">
        <f>N23*P23</f>
        <v>510.33850000000007</v>
      </c>
      <c r="M7" s="10" t="s">
        <v>1210</v>
      </c>
    </row>
    <row r="8" spans="2:15">
      <c r="B8" s="71" t="s">
        <v>927</v>
      </c>
      <c r="C8" s="91">
        <v>108</v>
      </c>
      <c r="D8" s="92"/>
      <c r="E8" s="95">
        <f>C8</f>
        <v>108</v>
      </c>
      <c r="F8" s="72"/>
      <c r="G8" s="72"/>
      <c r="I8" s="10"/>
      <c r="J8" s="10"/>
      <c r="L8" s="10"/>
      <c r="M8" s="10"/>
    </row>
    <row r="9" spans="2:15">
      <c r="B9" s="71" t="s">
        <v>107</v>
      </c>
      <c r="C9" s="91">
        <v>602.5</v>
      </c>
      <c r="D9" s="92"/>
      <c r="E9" s="95">
        <f>C9</f>
        <v>602.5</v>
      </c>
      <c r="F9" s="72"/>
      <c r="G9" s="72"/>
      <c r="I9" s="10"/>
      <c r="J9" s="10"/>
      <c r="L9" s="10"/>
      <c r="M9" s="10"/>
    </row>
    <row r="10" spans="2:15" ht="14.25" customHeight="1">
      <c r="B10" s="99" t="s">
        <v>714</v>
      </c>
      <c r="C10" s="96">
        <v>-15</v>
      </c>
      <c r="D10" s="97"/>
      <c r="E10" s="63">
        <v>0</v>
      </c>
      <c r="F10" s="64"/>
      <c r="G10" s="64" t="s">
        <v>58</v>
      </c>
      <c r="I10" s="10"/>
      <c r="J10" s="10"/>
      <c r="L10" s="10">
        <f>M29/2</f>
        <v>25.712838399999999</v>
      </c>
      <c r="M10" s="10" t="s">
        <v>1162</v>
      </c>
    </row>
    <row r="11" spans="2:15">
      <c r="B11" s="99" t="s">
        <v>1098</v>
      </c>
      <c r="C11" s="96">
        <v>-94.6</v>
      </c>
      <c r="D11" s="97"/>
      <c r="E11" s="63">
        <v>0</v>
      </c>
      <c r="F11" s="64"/>
      <c r="G11" s="64" t="s">
        <v>58</v>
      </c>
      <c r="I11" s="10"/>
      <c r="J11" s="10"/>
      <c r="L11" s="144">
        <f>SUM(L3:L10)</f>
        <v>8062.6713384000004</v>
      </c>
      <c r="M11" s="144" t="s">
        <v>1031</v>
      </c>
    </row>
    <row r="12" spans="2:15">
      <c r="B12" s="99" t="s">
        <v>65</v>
      </c>
      <c r="C12" s="96">
        <f>(810-130+132+101.25)*-1</f>
        <v>-913.25</v>
      </c>
      <c r="D12" s="97"/>
      <c r="E12" s="63">
        <v>0</v>
      </c>
      <c r="F12" s="64"/>
      <c r="G12" s="64" t="s">
        <v>58</v>
      </c>
      <c r="I12" s="10">
        <v>-1500</v>
      </c>
      <c r="J12" s="10" t="s">
        <v>906</v>
      </c>
    </row>
    <row r="13" spans="2:15" ht="15.75">
      <c r="B13" s="99" t="s">
        <v>1197</v>
      </c>
      <c r="C13" s="96">
        <f>-110-162</f>
        <v>-272</v>
      </c>
      <c r="D13" s="97"/>
      <c r="E13" s="63">
        <v>0</v>
      </c>
      <c r="F13" s="64"/>
      <c r="G13" s="64" t="s">
        <v>58</v>
      </c>
      <c r="I13" s="10">
        <f>489.05*2.9</f>
        <v>1418.2449999999999</v>
      </c>
      <c r="J13" s="10" t="s">
        <v>1088</v>
      </c>
      <c r="L13" s="221" t="s">
        <v>1130</v>
      </c>
      <c r="M13" s="221" t="s">
        <v>408</v>
      </c>
    </row>
    <row r="14" spans="2:15">
      <c r="B14" s="99" t="s">
        <v>1069</v>
      </c>
      <c r="C14" s="96">
        <v>-760</v>
      </c>
      <c r="D14" s="97"/>
      <c r="E14" s="63">
        <v>0</v>
      </c>
      <c r="F14" s="64"/>
      <c r="G14" s="64" t="s">
        <v>58</v>
      </c>
      <c r="I14" s="10">
        <f>O28</f>
        <v>5349.76</v>
      </c>
      <c r="J14" s="10" t="s">
        <v>1127</v>
      </c>
      <c r="L14" s="10">
        <f>200*2.9</f>
        <v>580</v>
      </c>
      <c r="M14" s="10" t="s">
        <v>716</v>
      </c>
    </row>
    <row r="15" spans="2:15">
      <c r="B15" s="99" t="s">
        <v>103</v>
      </c>
      <c r="C15" s="96">
        <v>-1989.56</v>
      </c>
      <c r="D15" s="97"/>
      <c r="E15" s="63">
        <v>0</v>
      </c>
      <c r="F15" s="64"/>
      <c r="G15" s="64" t="s">
        <v>58</v>
      </c>
      <c r="I15" s="10">
        <f>I29*J26</f>
        <v>6856.2800000000007</v>
      </c>
      <c r="J15" s="10" t="s">
        <v>1133</v>
      </c>
      <c r="L15" s="10">
        <f>M29/2</f>
        <v>25.712838399999999</v>
      </c>
      <c r="M15" s="10" t="s">
        <v>1162</v>
      </c>
    </row>
    <row r="16" spans="2:15">
      <c r="B16" s="99" t="s">
        <v>1148</v>
      </c>
      <c r="C16" s="96">
        <v>-450</v>
      </c>
      <c r="D16" s="97"/>
      <c r="E16" s="63">
        <v>0</v>
      </c>
      <c r="F16" s="64"/>
      <c r="G16" s="64" t="s">
        <v>58</v>
      </c>
      <c r="I16" s="10">
        <v>2413.79</v>
      </c>
      <c r="J16" s="10" t="s">
        <v>1211</v>
      </c>
      <c r="L16" s="10">
        <f>I28*J26</f>
        <v>1306.8600000000001</v>
      </c>
      <c r="M16" s="10" t="s">
        <v>1133</v>
      </c>
    </row>
    <row r="17" spans="2:16">
      <c r="B17" s="99" t="s">
        <v>1032</v>
      </c>
      <c r="C17" s="96">
        <v>-227.94</v>
      </c>
      <c r="D17" s="97"/>
      <c r="E17" s="63">
        <v>0</v>
      </c>
      <c r="F17" s="64"/>
      <c r="G17" s="64" t="s">
        <v>58</v>
      </c>
      <c r="I17" s="10">
        <f>P23*O23</f>
        <v>9186.0930000000008</v>
      </c>
      <c r="J17" s="10" t="s">
        <v>1210</v>
      </c>
      <c r="L17" s="10"/>
      <c r="M17" s="10"/>
    </row>
    <row r="18" spans="2:16">
      <c r="B18" s="99" t="s">
        <v>748</v>
      </c>
      <c r="C18" s="96">
        <v>-100</v>
      </c>
      <c r="D18" s="97"/>
      <c r="E18" s="63">
        <v>0</v>
      </c>
      <c r="F18" s="64"/>
      <c r="G18" s="64" t="s">
        <v>58</v>
      </c>
      <c r="H18" s="143"/>
      <c r="I18" s="10">
        <v>4549.3</v>
      </c>
      <c r="J18" s="10" t="s">
        <v>1227</v>
      </c>
      <c r="L18" s="10"/>
      <c r="M18" s="10"/>
    </row>
    <row r="19" spans="2:16">
      <c r="B19" s="99" t="s">
        <v>996</v>
      </c>
      <c r="C19" s="96">
        <v>452.46</v>
      </c>
      <c r="D19" s="92"/>
      <c r="E19" s="63">
        <v>0</v>
      </c>
      <c r="F19" s="64"/>
      <c r="G19" s="64" t="s">
        <v>58</v>
      </c>
      <c r="I19" s="10">
        <v>0</v>
      </c>
      <c r="J19" s="10" t="s">
        <v>1228</v>
      </c>
      <c r="L19" s="10">
        <f>M23*P23</f>
        <v>510.33850000000007</v>
      </c>
      <c r="M19" s="10" t="s">
        <v>1210</v>
      </c>
    </row>
    <row r="20" spans="2:16">
      <c r="B20" s="99" t="s">
        <v>670</v>
      </c>
      <c r="C20" s="96">
        <v>-8500</v>
      </c>
      <c r="D20" s="92"/>
      <c r="E20" s="63">
        <v>0</v>
      </c>
      <c r="F20" s="64"/>
      <c r="G20" s="64" t="s">
        <v>58</v>
      </c>
      <c r="I20" s="10">
        <v>317</v>
      </c>
      <c r="J20" s="10" t="s">
        <v>1165</v>
      </c>
      <c r="L20" s="144">
        <f>SUM(L14:L19)</f>
        <v>2422.9113384000002</v>
      </c>
      <c r="M20" s="144" t="s">
        <v>1031</v>
      </c>
    </row>
    <row r="21" spans="2:16">
      <c r="B21" s="99" t="s">
        <v>1229</v>
      </c>
      <c r="C21" s="96">
        <v>-600</v>
      </c>
      <c r="D21" s="92"/>
      <c r="E21" s="63">
        <v>0</v>
      </c>
      <c r="F21" s="64"/>
      <c r="G21" s="64" t="s">
        <v>58</v>
      </c>
      <c r="I21" s="144">
        <f>SUM(I8:I20)</f>
        <v>28590.468000000001</v>
      </c>
      <c r="J21" s="144" t="s">
        <v>1031</v>
      </c>
    </row>
    <row r="22" spans="2:16" ht="15.75">
      <c r="B22" s="99" t="s">
        <v>660</v>
      </c>
      <c r="C22" s="96">
        <v>-780</v>
      </c>
      <c r="D22" s="92"/>
      <c r="E22" s="63">
        <v>0</v>
      </c>
      <c r="F22" s="64"/>
      <c r="G22" s="64" t="s">
        <v>58</v>
      </c>
      <c r="L22" s="221" t="s">
        <v>1223</v>
      </c>
      <c r="M22" s="221" t="s">
        <v>1019</v>
      </c>
      <c r="N22" s="221" t="s">
        <v>1130</v>
      </c>
      <c r="O22" s="221" t="s">
        <v>1020</v>
      </c>
      <c r="P22" s="221" t="s">
        <v>45</v>
      </c>
    </row>
    <row r="23" spans="2:16">
      <c r="B23" s="99" t="s">
        <v>1192</v>
      </c>
      <c r="C23" s="96">
        <v>-576</v>
      </c>
      <c r="D23" s="92"/>
      <c r="E23" s="63">
        <v>0</v>
      </c>
      <c r="F23" s="64"/>
      <c r="G23" s="64" t="s">
        <v>58</v>
      </c>
      <c r="L23" s="10" t="s">
        <v>1210</v>
      </c>
      <c r="M23" s="184">
        <v>0.05</v>
      </c>
      <c r="N23" s="184">
        <v>0.05</v>
      </c>
      <c r="O23" s="185">
        <v>0.9</v>
      </c>
      <c r="P23" s="208">
        <v>10206.77</v>
      </c>
    </row>
    <row r="24" spans="2:16">
      <c r="B24" s="99" t="s">
        <v>1230</v>
      </c>
      <c r="C24" s="96">
        <v>-595</v>
      </c>
      <c r="D24" s="92"/>
      <c r="E24" s="63">
        <v>0</v>
      </c>
      <c r="F24" s="64"/>
      <c r="G24" s="64" t="s">
        <v>58</v>
      </c>
    </row>
    <row r="25" spans="2:16" ht="15.75">
      <c r="B25" s="99" t="s">
        <v>125</v>
      </c>
      <c r="C25" s="96">
        <v>-3500</v>
      </c>
      <c r="D25" s="92"/>
      <c r="E25" s="63">
        <v>0</v>
      </c>
      <c r="F25" s="64"/>
      <c r="G25" s="64" t="s">
        <v>58</v>
      </c>
      <c r="L25" s="203" t="s">
        <v>1169</v>
      </c>
      <c r="M25" s="204">
        <v>992</v>
      </c>
      <c r="N25" s="587" t="s">
        <v>1091</v>
      </c>
      <c r="O25" s="587"/>
    </row>
    <row r="26" spans="2:16" ht="15.75">
      <c r="B26" s="99" t="s">
        <v>73</v>
      </c>
      <c r="C26" s="96">
        <v>-583.88</v>
      </c>
      <c r="D26" s="97"/>
      <c r="E26" s="63">
        <v>0</v>
      </c>
      <c r="F26" s="64"/>
      <c r="G26" s="64" t="s">
        <v>58</v>
      </c>
      <c r="I26" s="203" t="s">
        <v>1167</v>
      </c>
      <c r="J26" s="204">
        <v>9.4700000000000006</v>
      </c>
      <c r="L26" s="203" t="s">
        <v>1171</v>
      </c>
      <c r="M26" s="203">
        <v>3161</v>
      </c>
      <c r="N26" s="194" t="s">
        <v>45</v>
      </c>
      <c r="O26" s="195">
        <v>10699.52</v>
      </c>
    </row>
    <row r="27" spans="2:16" ht="15.75">
      <c r="B27" s="99" t="s">
        <v>755</v>
      </c>
      <c r="C27" s="96">
        <v>5100</v>
      </c>
      <c r="D27" s="97"/>
      <c r="E27" s="63">
        <v>0</v>
      </c>
      <c r="F27" s="64"/>
      <c r="G27" s="64" t="s">
        <v>58</v>
      </c>
      <c r="I27" s="205">
        <f>63+25+50</f>
        <v>138</v>
      </c>
      <c r="J27" s="206" t="s">
        <v>1019</v>
      </c>
      <c r="L27" s="203" t="s">
        <v>1172</v>
      </c>
      <c r="M27" s="207">
        <v>1.6399999999999999E-5</v>
      </c>
      <c r="N27" s="194" t="s">
        <v>993</v>
      </c>
      <c r="O27" s="195">
        <f>O26/2</f>
        <v>5349.76</v>
      </c>
    </row>
    <row r="28" spans="2:16">
      <c r="B28" s="99" t="s">
        <v>1231</v>
      </c>
      <c r="C28" s="96">
        <v>-67.5</v>
      </c>
      <c r="D28" s="97"/>
      <c r="E28" s="63">
        <v>0</v>
      </c>
      <c r="F28" s="64"/>
      <c r="G28" s="64" t="s">
        <v>58</v>
      </c>
      <c r="I28" s="205">
        <f>63+25+50</f>
        <v>138</v>
      </c>
      <c r="J28" s="206" t="s">
        <v>1168</v>
      </c>
      <c r="L28" s="206" t="s">
        <v>1173</v>
      </c>
      <c r="M28" s="206">
        <f>M26*M27</f>
        <v>5.1840399999999995E-2</v>
      </c>
      <c r="N28" s="194" t="s">
        <v>1092</v>
      </c>
      <c r="O28" s="195">
        <f>O26/2</f>
        <v>5349.76</v>
      </c>
    </row>
    <row r="29" spans="2:16">
      <c r="B29" s="99" t="s">
        <v>755</v>
      </c>
      <c r="C29" s="96">
        <v>1500</v>
      </c>
      <c r="D29" s="97"/>
      <c r="E29" s="63">
        <v>0</v>
      </c>
      <c r="F29" s="64"/>
      <c r="G29" s="64" t="s">
        <v>58</v>
      </c>
      <c r="I29" s="205">
        <f>600-63*2+50+200</f>
        <v>724</v>
      </c>
      <c r="J29" s="206" t="s">
        <v>1170</v>
      </c>
      <c r="L29" s="206" t="s">
        <v>1174</v>
      </c>
      <c r="M29" s="205">
        <f>M25*M28</f>
        <v>51.425676799999998</v>
      </c>
    </row>
    <row r="30" spans="2:16">
      <c r="B30" s="99" t="s">
        <v>102</v>
      </c>
      <c r="C30" s="96">
        <v>-4800</v>
      </c>
      <c r="D30" s="97"/>
      <c r="E30" s="63">
        <v>0</v>
      </c>
      <c r="F30" s="64"/>
      <c r="G30" s="64" t="s">
        <v>58</v>
      </c>
      <c r="I30" s="199"/>
    </row>
    <row r="31" spans="2:16">
      <c r="B31" s="99" t="s">
        <v>1232</v>
      </c>
      <c r="C31" s="96">
        <v>-600</v>
      </c>
      <c r="D31" s="97"/>
      <c r="E31" s="63">
        <v>0</v>
      </c>
      <c r="F31" s="64"/>
      <c r="G31" s="64" t="s">
        <v>58</v>
      </c>
    </row>
    <row r="32" spans="2:16" ht="18">
      <c r="B32" s="99" t="s">
        <v>1233</v>
      </c>
      <c r="C32" s="96">
        <v>-230</v>
      </c>
      <c r="D32" s="97"/>
      <c r="E32" s="63">
        <v>0</v>
      </c>
      <c r="F32" s="64"/>
      <c r="G32" s="64" t="s">
        <v>58</v>
      </c>
      <c r="H32" s="211"/>
      <c r="I32" s="211"/>
    </row>
    <row r="33" spans="2:7">
      <c r="B33" s="99" t="s">
        <v>41</v>
      </c>
      <c r="C33" s="96">
        <v>-66.81</v>
      </c>
      <c r="D33" s="97"/>
      <c r="E33" s="190">
        <f>C33</f>
        <v>-66.81</v>
      </c>
      <c r="F33" s="191"/>
      <c r="G33" s="191"/>
    </row>
    <row r="34" spans="2:7">
      <c r="B34" s="99" t="s">
        <v>83</v>
      </c>
      <c r="C34" s="96">
        <v>-102.15</v>
      </c>
      <c r="D34" s="97"/>
      <c r="E34" s="63">
        <v>0</v>
      </c>
      <c r="F34" s="64"/>
      <c r="G34" s="64" t="s">
        <v>58</v>
      </c>
    </row>
    <row r="35" spans="2:7">
      <c r="B35" s="99" t="s">
        <v>586</v>
      </c>
      <c r="C35" s="96">
        <v>-233.18</v>
      </c>
      <c r="D35" s="97"/>
      <c r="E35" s="63">
        <v>0</v>
      </c>
      <c r="F35" s="64"/>
      <c r="G35" s="64" t="s">
        <v>58</v>
      </c>
    </row>
    <row r="36" spans="2:7">
      <c r="B36" s="99" t="s">
        <v>924</v>
      </c>
      <c r="C36" s="96">
        <v>-64.099999999999994</v>
      </c>
      <c r="D36" s="97"/>
      <c r="E36" s="63">
        <v>0</v>
      </c>
      <c r="F36" s="64"/>
      <c r="G36" s="64" t="s">
        <v>58</v>
      </c>
    </row>
    <row r="37" spans="2:7">
      <c r="B37" s="99" t="s">
        <v>686</v>
      </c>
      <c r="C37" s="96">
        <v>-747.86</v>
      </c>
      <c r="D37" s="97"/>
      <c r="E37" s="63">
        <v>0</v>
      </c>
      <c r="F37" s="64"/>
      <c r="G37" s="64" t="s">
        <v>58</v>
      </c>
    </row>
    <row r="38" spans="2:7" ht="18">
      <c r="B38" s="74" t="s">
        <v>45</v>
      </c>
      <c r="C38" s="188"/>
      <c r="D38" s="98"/>
      <c r="E38" s="129">
        <f>SUM(E3:E37)</f>
        <v>-1498.0500000000002</v>
      </c>
      <c r="F38" s="75"/>
      <c r="G38" s="75"/>
    </row>
    <row r="41" spans="2:7" ht="18">
      <c r="G41" s="211"/>
    </row>
    <row r="42" spans="2:7">
      <c r="E42" s="199"/>
    </row>
  </sheetData>
  <mergeCells count="2">
    <mergeCell ref="N2:O2"/>
    <mergeCell ref="N25:O25"/>
  </mergeCells>
  <conditionalFormatting sqref="E33">
    <cfRule type="cellIs" dxfId="525" priority="84" stopIfTrue="1" operator="greaterThan">
      <formula>0</formula>
    </cfRule>
  </conditionalFormatting>
  <conditionalFormatting sqref="E18">
    <cfRule type="cellIs" dxfId="524" priority="57" stopIfTrue="1" operator="greaterThan">
      <formula>0</formula>
    </cfRule>
  </conditionalFormatting>
  <conditionalFormatting sqref="E15">
    <cfRule type="cellIs" dxfId="523" priority="56" stopIfTrue="1" operator="greaterThan">
      <formula>0</formula>
    </cfRule>
  </conditionalFormatting>
  <conditionalFormatting sqref="E17">
    <cfRule type="cellIs" dxfId="522" priority="52" stopIfTrue="1" operator="greaterThan">
      <formula>0</formula>
    </cfRule>
  </conditionalFormatting>
  <conditionalFormatting sqref="E12">
    <cfRule type="cellIs" dxfId="521" priority="51" stopIfTrue="1" operator="greaterThan">
      <formula>0</formula>
    </cfRule>
  </conditionalFormatting>
  <conditionalFormatting sqref="E13">
    <cfRule type="cellIs" dxfId="520" priority="50" stopIfTrue="1" operator="greaterThan">
      <formula>0</formula>
    </cfRule>
  </conditionalFormatting>
  <conditionalFormatting sqref="E14">
    <cfRule type="cellIs" dxfId="519" priority="49" stopIfTrue="1" operator="greaterThan">
      <formula>0</formula>
    </cfRule>
  </conditionalFormatting>
  <conditionalFormatting sqref="E31">
    <cfRule type="cellIs" dxfId="518" priority="43" stopIfTrue="1" operator="greaterThan">
      <formula>0</formula>
    </cfRule>
  </conditionalFormatting>
  <conditionalFormatting sqref="E16">
    <cfRule type="cellIs" dxfId="517" priority="46" stopIfTrue="1" operator="greaterThan">
      <formula>0</formula>
    </cfRule>
  </conditionalFormatting>
  <conditionalFormatting sqref="E20">
    <cfRule type="cellIs" dxfId="516" priority="35" stopIfTrue="1" operator="greaterThan">
      <formula>0</formula>
    </cfRule>
  </conditionalFormatting>
  <conditionalFormatting sqref="E34">
    <cfRule type="cellIs" dxfId="515" priority="28" stopIfTrue="1" operator="greaterThan">
      <formula>0</formula>
    </cfRule>
  </conditionalFormatting>
  <conditionalFormatting sqref="E10">
    <cfRule type="cellIs" dxfId="514" priority="27" stopIfTrue="1" operator="greaterThan">
      <formula>0</formula>
    </cfRule>
  </conditionalFormatting>
  <conditionalFormatting sqref="E11">
    <cfRule type="cellIs" dxfId="513" priority="26" stopIfTrue="1" operator="greaterThan">
      <formula>0</formula>
    </cfRule>
  </conditionalFormatting>
  <conditionalFormatting sqref="E35">
    <cfRule type="cellIs" dxfId="512" priority="24" stopIfTrue="1" operator="greaterThan">
      <formula>0</formula>
    </cfRule>
  </conditionalFormatting>
  <conditionalFormatting sqref="E21">
    <cfRule type="cellIs" dxfId="511" priority="23" stopIfTrue="1" operator="greaterThan">
      <formula>0</formula>
    </cfRule>
  </conditionalFormatting>
  <conditionalFormatting sqref="E19">
    <cfRule type="cellIs" dxfId="510" priority="20" stopIfTrue="1" operator="greaterThan">
      <formula>0</formula>
    </cfRule>
  </conditionalFormatting>
  <conditionalFormatting sqref="E22">
    <cfRule type="cellIs" dxfId="509" priority="19" stopIfTrue="1" operator="greaterThan">
      <formula>0</formula>
    </cfRule>
  </conditionalFormatting>
  <conditionalFormatting sqref="E23">
    <cfRule type="cellIs" dxfId="508" priority="16" stopIfTrue="1" operator="greaterThan">
      <formula>0</formula>
    </cfRule>
  </conditionalFormatting>
  <conditionalFormatting sqref="E37">
    <cfRule type="cellIs" dxfId="507" priority="15" stopIfTrue="1" operator="greaterThan">
      <formula>0</formula>
    </cfRule>
  </conditionalFormatting>
  <conditionalFormatting sqref="E26">
    <cfRule type="cellIs" dxfId="506" priority="13" stopIfTrue="1" operator="greaterThan">
      <formula>0</formula>
    </cfRule>
  </conditionalFormatting>
  <conditionalFormatting sqref="E24">
    <cfRule type="cellIs" dxfId="505" priority="12" stopIfTrue="1" operator="greaterThan">
      <formula>0</formula>
    </cfRule>
  </conditionalFormatting>
  <conditionalFormatting sqref="E25">
    <cfRule type="cellIs" dxfId="504" priority="11" stopIfTrue="1" operator="greaterThan">
      <formula>0</formula>
    </cfRule>
  </conditionalFormatting>
  <conditionalFormatting sqref="E36">
    <cfRule type="cellIs" dxfId="503" priority="10" stopIfTrue="1" operator="greaterThan">
      <formula>0</formula>
    </cfRule>
  </conditionalFormatting>
  <conditionalFormatting sqref="E32">
    <cfRule type="cellIs" dxfId="502" priority="8" stopIfTrue="1" operator="greaterThan">
      <formula>0</formula>
    </cfRule>
  </conditionalFormatting>
  <conditionalFormatting sqref="E30">
    <cfRule type="cellIs" dxfId="501" priority="7" stopIfTrue="1" operator="greaterThan">
      <formula>0</formula>
    </cfRule>
  </conditionalFormatting>
  <conditionalFormatting sqref="E27">
    <cfRule type="cellIs" dxfId="500" priority="4" stopIfTrue="1" operator="greaterThan">
      <formula>0</formula>
    </cfRule>
  </conditionalFormatting>
  <conditionalFormatting sqref="E28">
    <cfRule type="cellIs" dxfId="499" priority="2" stopIfTrue="1" operator="greaterThan">
      <formula>0</formula>
    </cfRule>
  </conditionalFormatting>
  <conditionalFormatting sqref="E29">
    <cfRule type="cellIs" dxfId="498" priority="1" stopIfTrue="1" operator="greaterThan">
      <formula>0</formula>
    </cfRule>
  </conditionalFormatting>
  <pageMargins left="0.511811024" right="0.511811024" top="0.78740157499999996" bottom="0.78740157499999996" header="0.31496062000000002" footer="0.31496062000000002"/>
</worksheet>
</file>

<file path=xl/worksheets/sheet109.xml><?xml version="1.0" encoding="utf-8"?>
<worksheet xmlns="http://schemas.openxmlformats.org/spreadsheetml/2006/main" xmlns:r="http://schemas.openxmlformats.org/officeDocument/2006/relationships">
  <sheetPr>
    <pageSetUpPr autoPageBreaks="0"/>
  </sheetPr>
  <dimension ref="B1:M43"/>
  <sheetViews>
    <sheetView topLeftCell="A6" zoomScale="75" zoomScaleNormal="75" zoomScalePageLayoutView="75" workbookViewId="0">
      <selection activeCell="B38" sqref="B38:G38"/>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4" bestFit="1" customWidth="1"/>
  </cols>
  <sheetData>
    <row r="1" spans="2:13">
      <c r="E1" s="106"/>
    </row>
    <row r="2" spans="2:13" ht="18">
      <c r="B2" s="220" t="s">
        <v>135</v>
      </c>
      <c r="C2" s="220" t="s">
        <v>136</v>
      </c>
      <c r="D2" s="90"/>
      <c r="E2" s="220" t="s">
        <v>0</v>
      </c>
      <c r="F2" s="82" t="s">
        <v>1</v>
      </c>
      <c r="G2" s="82" t="s">
        <v>57</v>
      </c>
      <c r="I2" s="221" t="s">
        <v>913</v>
      </c>
      <c r="J2" s="221" t="s">
        <v>408</v>
      </c>
      <c r="L2" s="587" t="s">
        <v>1213</v>
      </c>
      <c r="M2" s="587"/>
    </row>
    <row r="3" spans="2:13">
      <c r="B3" s="71" t="s">
        <v>56</v>
      </c>
      <c r="C3" s="191"/>
      <c r="D3" s="92"/>
      <c r="E3" s="95">
        <v>-246.65</v>
      </c>
      <c r="F3" s="72"/>
      <c r="G3" s="72"/>
      <c r="I3" s="10">
        <v>1326.41</v>
      </c>
      <c r="J3" s="10" t="s">
        <v>914</v>
      </c>
      <c r="L3" s="144">
        <v>4717.37</v>
      </c>
      <c r="M3" s="144" t="s">
        <v>1215</v>
      </c>
    </row>
    <row r="4" spans="2:13" ht="12" customHeight="1">
      <c r="B4" s="71" t="s">
        <v>48</v>
      </c>
      <c r="C4" s="191"/>
      <c r="D4" s="92"/>
      <c r="E4" s="95">
        <v>-133.33000000000001</v>
      </c>
      <c r="F4" s="72"/>
      <c r="G4" s="72"/>
      <c r="I4" s="10">
        <v>0</v>
      </c>
      <c r="J4" s="10" t="s">
        <v>915</v>
      </c>
      <c r="L4" s="144">
        <v>1200</v>
      </c>
      <c r="M4" s="144" t="s">
        <v>143</v>
      </c>
    </row>
    <row r="5" spans="2:13" ht="12" customHeight="1">
      <c r="B5" s="71" t="s">
        <v>5</v>
      </c>
      <c r="C5" s="91">
        <v>13375.48</v>
      </c>
      <c r="D5" s="92"/>
      <c r="E5" s="95">
        <v>0</v>
      </c>
      <c r="F5" s="72"/>
      <c r="G5" s="72"/>
      <c r="I5" s="10">
        <v>4860.6400000000003</v>
      </c>
      <c r="J5" s="10" t="s">
        <v>1234</v>
      </c>
      <c r="L5" s="144">
        <v>-279</v>
      </c>
      <c r="M5" s="144" t="s">
        <v>646</v>
      </c>
    </row>
    <row r="6" spans="2:13">
      <c r="B6" s="71" t="s">
        <v>1235</v>
      </c>
      <c r="C6" s="91">
        <v>2187.4</v>
      </c>
      <c r="D6" s="92"/>
      <c r="E6" s="95">
        <v>0</v>
      </c>
      <c r="F6" s="72"/>
      <c r="G6" s="72"/>
      <c r="L6" s="144">
        <f>SUM(L3:L5)</f>
        <v>5638.37</v>
      </c>
      <c r="M6" s="144" t="s">
        <v>114</v>
      </c>
    </row>
    <row r="7" spans="2:13" ht="15.75">
      <c r="B7" s="71" t="s">
        <v>927</v>
      </c>
      <c r="C7" s="91">
        <v>108</v>
      </c>
      <c r="D7" s="92"/>
      <c r="E7" s="95">
        <v>0</v>
      </c>
      <c r="F7" s="72"/>
      <c r="G7" s="72"/>
      <c r="I7" s="221" t="s">
        <v>1143</v>
      </c>
      <c r="J7" s="221" t="s">
        <v>408</v>
      </c>
      <c r="L7" s="203" t="s">
        <v>1169</v>
      </c>
      <c r="M7" s="204">
        <v>646.47</v>
      </c>
    </row>
    <row r="8" spans="2:13" ht="15.75">
      <c r="B8" s="71" t="s">
        <v>107</v>
      </c>
      <c r="C8" s="91">
        <f>586.5+544</f>
        <v>1130.5</v>
      </c>
      <c r="D8" s="92"/>
      <c r="E8" s="95">
        <f>C8</f>
        <v>1130.5</v>
      </c>
      <c r="F8" s="72"/>
      <c r="G8" s="72"/>
      <c r="I8" s="10"/>
      <c r="J8" s="10"/>
      <c r="L8" s="203" t="s">
        <v>1171</v>
      </c>
      <c r="M8" s="203">
        <v>4775</v>
      </c>
    </row>
    <row r="9" spans="2:13" ht="15.75">
      <c r="B9" s="71" t="s">
        <v>1236</v>
      </c>
      <c r="C9" s="91">
        <v>365</v>
      </c>
      <c r="D9" s="92"/>
      <c r="E9" s="95">
        <v>0</v>
      </c>
      <c r="F9" s="72"/>
      <c r="G9" s="72"/>
      <c r="I9" s="10"/>
      <c r="J9" s="10"/>
      <c r="L9" s="203" t="s">
        <v>1172</v>
      </c>
      <c r="M9" s="207">
        <v>1.8660000000000001E-5</v>
      </c>
    </row>
    <row r="10" spans="2:13" ht="14.25" customHeight="1">
      <c r="B10" s="99" t="s">
        <v>1237</v>
      </c>
      <c r="C10" s="96">
        <v>-75</v>
      </c>
      <c r="D10" s="97"/>
      <c r="E10" s="63">
        <v>0</v>
      </c>
      <c r="F10" s="64"/>
      <c r="G10" s="64" t="s">
        <v>58</v>
      </c>
      <c r="I10" s="10">
        <v>-2400</v>
      </c>
      <c r="J10" s="10" t="s">
        <v>906</v>
      </c>
      <c r="L10" s="206" t="s">
        <v>1173</v>
      </c>
      <c r="M10" s="206">
        <f>M8*M9</f>
        <v>8.91015E-2</v>
      </c>
    </row>
    <row r="11" spans="2:13">
      <c r="B11" s="99" t="s">
        <v>1098</v>
      </c>
      <c r="C11" s="96">
        <v>-77.099999999999994</v>
      </c>
      <c r="D11" s="97"/>
      <c r="E11" s="63">
        <v>0</v>
      </c>
      <c r="F11" s="64"/>
      <c r="G11" s="64" t="s">
        <v>58</v>
      </c>
      <c r="I11" s="10">
        <f>M11</f>
        <v>57.601446705000001</v>
      </c>
      <c r="J11" s="10" t="s">
        <v>1162</v>
      </c>
      <c r="L11" s="206" t="s">
        <v>1174</v>
      </c>
      <c r="M11" s="205">
        <f>M7*M10</f>
        <v>57.601446705000001</v>
      </c>
    </row>
    <row r="12" spans="2:13">
      <c r="B12" s="99" t="s">
        <v>1238</v>
      </c>
      <c r="C12" s="96">
        <v>-200</v>
      </c>
      <c r="D12" s="97"/>
      <c r="E12" s="63">
        <v>0</v>
      </c>
      <c r="F12" s="64"/>
      <c r="G12" s="64" t="s">
        <v>58</v>
      </c>
      <c r="I12" s="10">
        <f>400*2.75</f>
        <v>1100</v>
      </c>
      <c r="J12" s="10" t="s">
        <v>1239</v>
      </c>
    </row>
    <row r="13" spans="2:13">
      <c r="B13" s="99" t="s">
        <v>65</v>
      </c>
      <c r="C13" s="96">
        <f>(810+126+209.25)*-1</f>
        <v>-1145.25</v>
      </c>
      <c r="D13" s="97"/>
      <c r="E13" s="63">
        <v>0</v>
      </c>
      <c r="F13" s="64"/>
      <c r="G13" s="64" t="s">
        <v>58</v>
      </c>
      <c r="I13" s="10">
        <f>589.05*2.75</f>
        <v>1619.8874999999998</v>
      </c>
      <c r="J13" s="10" t="s">
        <v>1088</v>
      </c>
    </row>
    <row r="14" spans="2:13">
      <c r="B14" s="99" t="s">
        <v>1197</v>
      </c>
      <c r="C14" s="96">
        <f>-110-162</f>
        <v>-272</v>
      </c>
      <c r="D14" s="97"/>
      <c r="E14" s="63">
        <v>0</v>
      </c>
      <c r="F14" s="64"/>
      <c r="G14" s="64" t="s">
        <v>58</v>
      </c>
      <c r="I14" s="10">
        <v>10386</v>
      </c>
      <c r="J14" s="10" t="s">
        <v>1127</v>
      </c>
    </row>
    <row r="15" spans="2:13">
      <c r="B15" s="99" t="s">
        <v>707</v>
      </c>
      <c r="C15" s="96">
        <v>-4500</v>
      </c>
      <c r="D15" s="97"/>
      <c r="E15" s="63">
        <v>0</v>
      </c>
      <c r="F15" s="64"/>
      <c r="G15" s="64" t="s">
        <v>58</v>
      </c>
      <c r="I15" s="10">
        <f>1000*9.44</f>
        <v>9440</v>
      </c>
      <c r="J15" s="10" t="s">
        <v>1133</v>
      </c>
    </row>
    <row r="16" spans="2:13">
      <c r="B16" s="99" t="s">
        <v>1240</v>
      </c>
      <c r="C16" s="96">
        <v>4500</v>
      </c>
      <c r="D16" s="97"/>
      <c r="E16" s="63">
        <v>0</v>
      </c>
      <c r="F16" s="64"/>
      <c r="G16" s="64" t="s">
        <v>58</v>
      </c>
      <c r="I16" s="10">
        <v>2435.29</v>
      </c>
      <c r="J16" s="10" t="s">
        <v>1211</v>
      </c>
    </row>
    <row r="17" spans="2:10">
      <c r="B17" s="99" t="s">
        <v>1241</v>
      </c>
      <c r="C17" s="96">
        <v>250</v>
      </c>
      <c r="D17" s="97"/>
      <c r="E17" s="63">
        <v>0</v>
      </c>
      <c r="F17" s="64"/>
      <c r="G17" s="64" t="s">
        <v>58</v>
      </c>
      <c r="I17" s="10">
        <v>10295.879999999999</v>
      </c>
      <c r="J17" s="10" t="s">
        <v>1210</v>
      </c>
    </row>
    <row r="18" spans="2:10">
      <c r="B18" s="99" t="s">
        <v>1069</v>
      </c>
      <c r="C18" s="96">
        <v>-802.75</v>
      </c>
      <c r="D18" s="97"/>
      <c r="E18" s="63">
        <v>0</v>
      </c>
      <c r="F18" s="64"/>
      <c r="G18" s="64" t="s">
        <v>58</v>
      </c>
      <c r="H18" s="143"/>
      <c r="I18" s="10">
        <v>2625.85</v>
      </c>
      <c r="J18" s="10" t="s">
        <v>1227</v>
      </c>
    </row>
    <row r="19" spans="2:10">
      <c r="B19" s="99" t="s">
        <v>1242</v>
      </c>
      <c r="C19" s="96">
        <v>-580</v>
      </c>
      <c r="D19" s="97"/>
      <c r="E19" s="63">
        <v>0</v>
      </c>
      <c r="F19" s="64"/>
      <c r="G19" s="64" t="s">
        <v>58</v>
      </c>
      <c r="I19" s="10"/>
      <c r="J19" s="10"/>
    </row>
    <row r="20" spans="2:10">
      <c r="B20" s="99" t="s">
        <v>1243</v>
      </c>
      <c r="C20" s="96">
        <v>-2300</v>
      </c>
      <c r="D20" s="97"/>
      <c r="E20" s="190">
        <f>C20</f>
        <v>-2300</v>
      </c>
      <c r="F20" s="191"/>
      <c r="G20" s="191"/>
      <c r="I20" s="10">
        <v>230.76</v>
      </c>
      <c r="J20" s="10" t="s">
        <v>1165</v>
      </c>
    </row>
    <row r="21" spans="2:10">
      <c r="B21" s="99" t="s">
        <v>103</v>
      </c>
      <c r="C21" s="96">
        <f>-I3</f>
        <v>-1326.41</v>
      </c>
      <c r="D21" s="97"/>
      <c r="E21" s="63">
        <v>0</v>
      </c>
      <c r="F21" s="64"/>
      <c r="G21" s="64" t="s">
        <v>58</v>
      </c>
      <c r="I21" s="144">
        <f>SUM(I8:I20)</f>
        <v>35791.268946705</v>
      </c>
      <c r="J21" s="144" t="s">
        <v>1031</v>
      </c>
    </row>
    <row r="22" spans="2:10">
      <c r="B22" s="99" t="s">
        <v>1032</v>
      </c>
      <c r="C22" s="96">
        <v>-37.950000000000003</v>
      </c>
      <c r="D22" s="97"/>
      <c r="E22" s="63">
        <v>0</v>
      </c>
      <c r="F22" s="64"/>
      <c r="G22" s="64" t="s">
        <v>58</v>
      </c>
    </row>
    <row r="23" spans="2:10">
      <c r="B23" s="99" t="s">
        <v>748</v>
      </c>
      <c r="C23" s="96">
        <v>-100</v>
      </c>
      <c r="D23" s="97"/>
      <c r="E23" s="63">
        <v>0</v>
      </c>
      <c r="F23" s="64"/>
      <c r="G23" s="64" t="s">
        <v>58</v>
      </c>
    </row>
    <row r="24" spans="2:10" ht="18">
      <c r="B24" s="99" t="s">
        <v>1244</v>
      </c>
      <c r="C24" s="96">
        <v>-50</v>
      </c>
      <c r="D24" s="92"/>
      <c r="E24" s="63">
        <v>0</v>
      </c>
      <c r="F24" s="64"/>
      <c r="G24" s="64" t="s">
        <v>58</v>
      </c>
      <c r="I24" s="211"/>
    </row>
    <row r="25" spans="2:10">
      <c r="B25" s="99" t="s">
        <v>1245</v>
      </c>
      <c r="C25" s="96">
        <v>-80.8</v>
      </c>
      <c r="D25" s="92"/>
      <c r="E25" s="63">
        <v>0</v>
      </c>
      <c r="F25" s="64"/>
      <c r="G25" s="64" t="s">
        <v>58</v>
      </c>
    </row>
    <row r="26" spans="2:10">
      <c r="B26" s="99" t="s">
        <v>1246</v>
      </c>
      <c r="C26" s="96">
        <v>-828</v>
      </c>
      <c r="D26" s="92"/>
      <c r="E26" s="190">
        <f>C26</f>
        <v>-828</v>
      </c>
      <c r="F26" s="191"/>
      <c r="G26" s="191"/>
    </row>
    <row r="27" spans="2:10">
      <c r="B27" s="99" t="s">
        <v>125</v>
      </c>
      <c r="C27" s="96">
        <f>-2960-117-822</f>
        <v>-3899</v>
      </c>
      <c r="D27" s="92"/>
      <c r="E27" s="63">
        <v>0</v>
      </c>
      <c r="F27" s="64"/>
      <c r="G27" s="64" t="s">
        <v>58</v>
      </c>
    </row>
    <row r="28" spans="2:10">
      <c r="B28" s="99" t="s">
        <v>73</v>
      </c>
      <c r="C28" s="96">
        <v>-569.85</v>
      </c>
      <c r="D28" s="97"/>
      <c r="E28" s="63">
        <v>0</v>
      </c>
      <c r="F28" s="64"/>
      <c r="G28" s="64" t="s">
        <v>58</v>
      </c>
    </row>
    <row r="29" spans="2:10">
      <c r="B29" s="99" t="s">
        <v>1247</v>
      </c>
      <c r="C29" s="96">
        <v>2000</v>
      </c>
      <c r="D29" s="97"/>
      <c r="E29" s="63">
        <v>0</v>
      </c>
      <c r="F29" s="64"/>
      <c r="G29" s="64" t="s">
        <v>58</v>
      </c>
    </row>
    <row r="30" spans="2:10">
      <c r="B30" s="99" t="s">
        <v>1248</v>
      </c>
      <c r="C30" s="96">
        <v>-76</v>
      </c>
      <c r="D30" s="97"/>
      <c r="E30" s="63">
        <v>0</v>
      </c>
      <c r="F30" s="64"/>
      <c r="G30" s="64" t="s">
        <v>58</v>
      </c>
    </row>
    <row r="31" spans="2:10">
      <c r="B31" s="99" t="s">
        <v>298</v>
      </c>
      <c r="C31" s="96">
        <v>800</v>
      </c>
      <c r="D31" s="97"/>
      <c r="E31" s="63">
        <v>0</v>
      </c>
      <c r="F31" s="64"/>
      <c r="G31" s="64" t="s">
        <v>58</v>
      </c>
    </row>
    <row r="32" spans="2:10" ht="18">
      <c r="B32" s="99" t="s">
        <v>1202</v>
      </c>
      <c r="C32" s="96">
        <v>2400</v>
      </c>
      <c r="D32" s="97"/>
      <c r="E32" s="190">
        <f>C32</f>
        <v>2400</v>
      </c>
      <c r="F32" s="191"/>
      <c r="G32" s="191"/>
      <c r="H32" s="211"/>
    </row>
    <row r="33" spans="2:7">
      <c r="B33" s="99" t="s">
        <v>1138</v>
      </c>
      <c r="C33" s="96">
        <v>-61.66</v>
      </c>
      <c r="D33" s="97"/>
      <c r="E33" s="63">
        <v>0</v>
      </c>
      <c r="F33" s="64"/>
      <c r="G33" s="64" t="s">
        <v>58</v>
      </c>
    </row>
    <row r="34" spans="2:7">
      <c r="B34" s="99" t="s">
        <v>1139</v>
      </c>
      <c r="C34" s="96">
        <v>-53.2</v>
      </c>
      <c r="D34" s="97"/>
      <c r="E34" s="190">
        <f>C34</f>
        <v>-53.2</v>
      </c>
      <c r="F34" s="191"/>
      <c r="G34" s="191"/>
    </row>
    <row r="35" spans="2:7">
      <c r="B35" s="99" t="s">
        <v>586</v>
      </c>
      <c r="C35" s="96">
        <v>-175.98</v>
      </c>
      <c r="D35" s="97"/>
      <c r="E35" s="63">
        <v>0</v>
      </c>
      <c r="F35" s="64"/>
      <c r="G35" s="64" t="s">
        <v>58</v>
      </c>
    </row>
    <row r="36" spans="2:7">
      <c r="B36" s="99" t="s">
        <v>1249</v>
      </c>
      <c r="C36" s="96">
        <v>-2554.13</v>
      </c>
      <c r="D36" s="97"/>
      <c r="E36" s="63">
        <v>0</v>
      </c>
      <c r="F36" s="64"/>
      <c r="G36" s="64" t="s">
        <v>58</v>
      </c>
    </row>
    <row r="37" spans="2:7">
      <c r="B37" s="99" t="s">
        <v>686</v>
      </c>
      <c r="C37" s="96">
        <v>-706.7</v>
      </c>
      <c r="D37" s="97"/>
      <c r="E37" s="63">
        <v>0</v>
      </c>
      <c r="F37" s="64"/>
      <c r="G37" s="64" t="s">
        <v>58</v>
      </c>
    </row>
    <row r="38" spans="2:7">
      <c r="B38" s="99" t="s">
        <v>974</v>
      </c>
      <c r="C38" s="96">
        <f>-1265.15-105.65-11-72.25</f>
        <v>-1454.0500000000002</v>
      </c>
      <c r="D38" s="97"/>
      <c r="E38" s="63">
        <v>0</v>
      </c>
      <c r="F38" s="64"/>
      <c r="G38" s="64" t="s">
        <v>58</v>
      </c>
    </row>
    <row r="39" spans="2:7" ht="18">
      <c r="B39" s="74" t="s">
        <v>45</v>
      </c>
      <c r="C39" s="188"/>
      <c r="D39" s="98"/>
      <c r="E39" s="129">
        <f>SUM(E3:E38)</f>
        <v>-30.680000000000021</v>
      </c>
      <c r="F39" s="75"/>
      <c r="G39" s="75"/>
    </row>
    <row r="42" spans="2:7" ht="18">
      <c r="G42" s="211"/>
    </row>
    <row r="43" spans="2:7">
      <c r="E43" s="199"/>
    </row>
  </sheetData>
  <mergeCells count="1">
    <mergeCell ref="L2:M2"/>
  </mergeCells>
  <conditionalFormatting sqref="E34 E32">
    <cfRule type="cellIs" dxfId="497" priority="93" stopIfTrue="1" operator="greaterThan">
      <formula>0</formula>
    </cfRule>
  </conditionalFormatting>
  <conditionalFormatting sqref="E32">
    <cfRule type="cellIs" dxfId="496" priority="73" stopIfTrue="1" operator="greaterThan">
      <formula>0</formula>
    </cfRule>
  </conditionalFormatting>
  <conditionalFormatting sqref="E20">
    <cfRule type="cellIs" dxfId="495" priority="54" stopIfTrue="1" operator="greaterThan">
      <formula>0</formula>
    </cfRule>
  </conditionalFormatting>
  <conditionalFormatting sqref="E20">
    <cfRule type="cellIs" dxfId="494" priority="55" stopIfTrue="1" operator="greaterThan">
      <formula>0</formula>
    </cfRule>
  </conditionalFormatting>
  <conditionalFormatting sqref="E12">
    <cfRule type="cellIs" dxfId="493" priority="51" stopIfTrue="1" operator="greaterThan">
      <formula>0</formula>
    </cfRule>
  </conditionalFormatting>
  <conditionalFormatting sqref="E13">
    <cfRule type="cellIs" dxfId="492" priority="47" stopIfTrue="1" operator="greaterThan">
      <formula>0</formula>
    </cfRule>
  </conditionalFormatting>
  <conditionalFormatting sqref="E23">
    <cfRule type="cellIs" dxfId="491" priority="46" stopIfTrue="1" operator="greaterThan">
      <formula>0</formula>
    </cfRule>
  </conditionalFormatting>
  <conditionalFormatting sqref="E18">
    <cfRule type="cellIs" dxfId="490" priority="42" stopIfTrue="1" operator="greaterThan">
      <formula>0</formula>
    </cfRule>
  </conditionalFormatting>
  <conditionalFormatting sqref="E21">
    <cfRule type="cellIs" dxfId="489" priority="41" stopIfTrue="1" operator="greaterThan">
      <formula>0</formula>
    </cfRule>
  </conditionalFormatting>
  <conditionalFormatting sqref="E22">
    <cfRule type="cellIs" dxfId="488" priority="40" stopIfTrue="1" operator="greaterThan">
      <formula>0</formula>
    </cfRule>
  </conditionalFormatting>
  <conditionalFormatting sqref="E24">
    <cfRule type="cellIs" dxfId="487" priority="39" stopIfTrue="1" operator="greaterThan">
      <formula>0</formula>
    </cfRule>
  </conditionalFormatting>
  <conditionalFormatting sqref="E36">
    <cfRule type="cellIs" dxfId="486" priority="38" stopIfTrue="1" operator="greaterThan">
      <formula>0</formula>
    </cfRule>
  </conditionalFormatting>
  <conditionalFormatting sqref="E33">
    <cfRule type="cellIs" dxfId="485" priority="37" stopIfTrue="1" operator="greaterThan">
      <formula>0</formula>
    </cfRule>
  </conditionalFormatting>
  <conditionalFormatting sqref="E14">
    <cfRule type="cellIs" dxfId="484" priority="33" stopIfTrue="1" operator="greaterThan">
      <formula>0</formula>
    </cfRule>
  </conditionalFormatting>
  <conditionalFormatting sqref="E15">
    <cfRule type="cellIs" dxfId="483" priority="28" stopIfTrue="1" operator="greaterThan">
      <formula>0</formula>
    </cfRule>
  </conditionalFormatting>
  <conditionalFormatting sqref="E37">
    <cfRule type="cellIs" dxfId="482" priority="27" stopIfTrue="1" operator="greaterThan">
      <formula>0</formula>
    </cfRule>
  </conditionalFormatting>
  <conditionalFormatting sqref="E35">
    <cfRule type="cellIs" dxfId="481" priority="26" stopIfTrue="1" operator="greaterThan">
      <formula>0</formula>
    </cfRule>
  </conditionalFormatting>
  <conditionalFormatting sqref="E10">
    <cfRule type="cellIs" dxfId="480" priority="25" stopIfTrue="1" operator="greaterThan">
      <formula>0</formula>
    </cfRule>
  </conditionalFormatting>
  <conditionalFormatting sqref="E11">
    <cfRule type="cellIs" dxfId="479" priority="24" stopIfTrue="1" operator="greaterThan">
      <formula>0</formula>
    </cfRule>
  </conditionalFormatting>
  <conditionalFormatting sqref="E17">
    <cfRule type="cellIs" dxfId="478" priority="23" stopIfTrue="1" operator="greaterThan">
      <formula>0</formula>
    </cfRule>
  </conditionalFormatting>
  <conditionalFormatting sqref="E19">
    <cfRule type="cellIs" dxfId="477" priority="22" stopIfTrue="1" operator="greaterThan">
      <formula>0</formula>
    </cfRule>
  </conditionalFormatting>
  <conditionalFormatting sqref="E38">
    <cfRule type="cellIs" dxfId="476" priority="21" stopIfTrue="1" operator="greaterThan">
      <formula>0</formula>
    </cfRule>
  </conditionalFormatting>
  <conditionalFormatting sqref="E26">
    <cfRule type="cellIs" dxfId="475" priority="16" stopIfTrue="1" operator="greaterThan">
      <formula>0</formula>
    </cfRule>
  </conditionalFormatting>
  <conditionalFormatting sqref="E26">
    <cfRule type="cellIs" dxfId="474" priority="15" stopIfTrue="1" operator="greaterThan">
      <formula>0</formula>
    </cfRule>
  </conditionalFormatting>
  <conditionalFormatting sqref="E16">
    <cfRule type="cellIs" dxfId="473" priority="14" stopIfTrue="1" operator="greaterThan">
      <formula>0</formula>
    </cfRule>
  </conditionalFormatting>
  <conditionalFormatting sqref="E27">
    <cfRule type="cellIs" dxfId="472" priority="13" stopIfTrue="1" operator="greaterThan">
      <formula>0</formula>
    </cfRule>
  </conditionalFormatting>
  <conditionalFormatting sqref="E28">
    <cfRule type="cellIs" dxfId="471" priority="12" stopIfTrue="1" operator="greaterThan">
      <formula>0</formula>
    </cfRule>
  </conditionalFormatting>
  <conditionalFormatting sqref="E31">
    <cfRule type="cellIs" dxfId="470" priority="8" stopIfTrue="1" operator="greaterThan">
      <formula>0</formula>
    </cfRule>
  </conditionalFormatting>
  <conditionalFormatting sqref="E29">
    <cfRule type="cellIs" dxfId="469" priority="7" stopIfTrue="1" operator="greaterThan">
      <formula>0</formula>
    </cfRule>
  </conditionalFormatting>
  <conditionalFormatting sqref="E25">
    <cfRule type="cellIs" dxfId="468" priority="2" stopIfTrue="1" operator="greaterThan">
      <formula>0</formula>
    </cfRule>
  </conditionalFormatting>
  <conditionalFormatting sqref="E30">
    <cfRule type="cellIs" dxfId="467" priority="1" stopIfTrue="1" operator="greaterThan">
      <formula>0</formula>
    </cfRule>
  </conditionalFormatting>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sheetPr>
    <pageSetUpPr autoPageBreaks="0"/>
  </sheetPr>
  <dimension ref="B2:H21"/>
  <sheetViews>
    <sheetView showGridLines="0" workbookViewId="0">
      <selection activeCell="B6" activeCellId="1" sqref="G13 B6"/>
    </sheetView>
  </sheetViews>
  <sheetFormatPr defaultColWidth="8.85546875" defaultRowHeight="12.75"/>
  <cols>
    <col min="2" max="2" width="21.85546875" customWidth="1"/>
    <col min="3" max="3" width="19.140625" customWidth="1"/>
    <col min="4" max="4" width="9.42578125" customWidth="1"/>
    <col min="7" max="7" width="12.140625" customWidth="1"/>
    <col min="8" max="8" width="19" customWidth="1"/>
    <col min="9" max="9" width="18" customWidth="1"/>
  </cols>
  <sheetData>
    <row r="2" spans="2:8" ht="18">
      <c r="B2" s="579" t="s">
        <v>0</v>
      </c>
      <c r="C2" s="579"/>
      <c r="D2" s="59" t="s">
        <v>1</v>
      </c>
      <c r="E2" s="59" t="s">
        <v>57</v>
      </c>
    </row>
    <row r="3" spans="2:8">
      <c r="B3" s="62" t="s">
        <v>7</v>
      </c>
      <c r="C3" s="62">
        <v>-58.14</v>
      </c>
      <c r="D3" s="72"/>
      <c r="E3" s="72"/>
      <c r="H3" s="1"/>
    </row>
    <row r="4" spans="2:8">
      <c r="B4" s="62" t="s">
        <v>11</v>
      </c>
      <c r="C4" s="62">
        <f>-269.24+150</f>
        <v>-119.24000000000001</v>
      </c>
      <c r="D4" s="61"/>
      <c r="E4" s="61"/>
    </row>
    <row r="5" spans="2:8">
      <c r="B5" s="71" t="s">
        <v>56</v>
      </c>
      <c r="C5" s="71">
        <v>118.87</v>
      </c>
      <c r="D5" s="72"/>
      <c r="E5" s="72"/>
    </row>
    <row r="6" spans="2:8">
      <c r="B6" s="63" t="s">
        <v>84</v>
      </c>
      <c r="C6" s="63">
        <v>0</v>
      </c>
      <c r="D6" s="64"/>
      <c r="E6" s="64" t="s">
        <v>58</v>
      </c>
    </row>
    <row r="7" spans="2:8">
      <c r="B7" s="63" t="s">
        <v>14</v>
      </c>
      <c r="C7" s="63">
        <v>0</v>
      </c>
      <c r="D7" s="64">
        <v>39050</v>
      </c>
      <c r="E7" s="64"/>
    </row>
    <row r="8" spans="2:8">
      <c r="B8" s="63" t="s">
        <v>108</v>
      </c>
      <c r="C8" s="63">
        <v>0</v>
      </c>
      <c r="D8" s="64">
        <v>39052</v>
      </c>
      <c r="E8" s="64"/>
    </row>
    <row r="9" spans="2:8">
      <c r="B9" s="63" t="s">
        <v>110</v>
      </c>
      <c r="C9" s="63">
        <v>0</v>
      </c>
      <c r="D9" s="64">
        <v>39052</v>
      </c>
      <c r="E9" s="64" t="s">
        <v>58</v>
      </c>
    </row>
    <row r="10" spans="2:8">
      <c r="B10" s="63" t="s">
        <v>42</v>
      </c>
      <c r="C10" s="63">
        <v>0</v>
      </c>
      <c r="D10" s="64"/>
      <c r="E10" s="64" t="s">
        <v>58</v>
      </c>
    </row>
    <row r="11" spans="2:8">
      <c r="B11" s="63" t="s">
        <v>28</v>
      </c>
      <c r="C11" s="63">
        <v>0</v>
      </c>
      <c r="D11" s="64">
        <v>39055</v>
      </c>
      <c r="E11" s="64" t="s">
        <v>58</v>
      </c>
    </row>
    <row r="12" spans="2:8">
      <c r="B12" s="63" t="s">
        <v>109</v>
      </c>
      <c r="C12" s="63">
        <v>0</v>
      </c>
      <c r="D12" s="64">
        <v>39052</v>
      </c>
      <c r="E12" s="64"/>
    </row>
    <row r="13" spans="2:8">
      <c r="B13" s="63" t="s">
        <v>96</v>
      </c>
      <c r="C13" s="63">
        <v>0</v>
      </c>
      <c r="D13" s="64">
        <v>39055</v>
      </c>
      <c r="E13" s="64" t="s">
        <v>58</v>
      </c>
    </row>
    <row r="14" spans="2:8">
      <c r="B14" s="63" t="s">
        <v>29</v>
      </c>
      <c r="C14" s="63">
        <v>0</v>
      </c>
      <c r="D14" s="64">
        <v>39058</v>
      </c>
      <c r="E14" s="64" t="s">
        <v>58</v>
      </c>
    </row>
    <row r="15" spans="2:8">
      <c r="B15" s="63" t="s">
        <v>111</v>
      </c>
      <c r="C15" s="63">
        <v>0</v>
      </c>
      <c r="D15" s="64"/>
      <c r="E15" s="64" t="s">
        <v>58</v>
      </c>
    </row>
    <row r="16" spans="2:8">
      <c r="B16" s="63" t="s">
        <v>41</v>
      </c>
      <c r="C16" s="63">
        <v>0</v>
      </c>
      <c r="D16" s="64">
        <v>39062</v>
      </c>
      <c r="E16" s="64" t="s">
        <v>58</v>
      </c>
      <c r="G16" s="77"/>
    </row>
    <row r="17" spans="2:7">
      <c r="B17" s="63" t="s">
        <v>98</v>
      </c>
      <c r="C17" s="63">
        <v>0</v>
      </c>
      <c r="D17" s="64">
        <v>39063</v>
      </c>
      <c r="E17" s="64" t="s">
        <v>58</v>
      </c>
      <c r="G17" s="1"/>
    </row>
    <row r="18" spans="2:7">
      <c r="B18" s="63" t="s">
        <v>91</v>
      </c>
      <c r="C18" s="63">
        <v>0</v>
      </c>
      <c r="D18" s="64"/>
      <c r="E18" s="64" t="s">
        <v>58</v>
      </c>
    </row>
    <row r="19" spans="2:7">
      <c r="B19" s="63" t="s">
        <v>69</v>
      </c>
      <c r="C19" s="63">
        <v>0</v>
      </c>
      <c r="D19" s="64"/>
      <c r="E19" s="64" t="s">
        <v>58</v>
      </c>
    </row>
    <row r="20" spans="2:7">
      <c r="B20" s="63" t="s">
        <v>83</v>
      </c>
      <c r="C20" s="63">
        <v>0</v>
      </c>
      <c r="D20" s="64"/>
      <c r="E20" s="64" t="s">
        <v>58</v>
      </c>
    </row>
    <row r="21" spans="2:7" ht="18">
      <c r="B21" s="74" t="s">
        <v>21</v>
      </c>
      <c r="C21" s="74">
        <f>SUM(C3:C20)</f>
        <v>-58.509999999999991</v>
      </c>
      <c r="D21" s="75"/>
      <c r="E21" s="75"/>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10.xml><?xml version="1.0" encoding="utf-8"?>
<worksheet xmlns="http://schemas.openxmlformats.org/spreadsheetml/2006/main" xmlns:r="http://schemas.openxmlformats.org/officeDocument/2006/relationships">
  <sheetPr>
    <pageSetUpPr autoPageBreaks="0"/>
  </sheetPr>
  <dimension ref="B1:M39"/>
  <sheetViews>
    <sheetView zoomScale="75" zoomScaleNormal="75" zoomScalePageLayoutView="75" workbookViewId="0">
      <selection activeCell="B16" sqref="B16"/>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4" bestFit="1" customWidth="1"/>
  </cols>
  <sheetData>
    <row r="1" spans="2:13">
      <c r="E1" s="106"/>
    </row>
    <row r="2" spans="2:13" ht="18">
      <c r="B2" s="220" t="s">
        <v>135</v>
      </c>
      <c r="C2" s="220" t="s">
        <v>136</v>
      </c>
      <c r="D2" s="90"/>
      <c r="E2" s="220" t="s">
        <v>0</v>
      </c>
      <c r="F2" s="82" t="s">
        <v>1</v>
      </c>
      <c r="G2" s="82" t="s">
        <v>57</v>
      </c>
      <c r="I2" s="221" t="s">
        <v>913</v>
      </c>
      <c r="J2" s="221" t="s">
        <v>408</v>
      </c>
      <c r="L2" s="587" t="s">
        <v>1213</v>
      </c>
      <c r="M2" s="587"/>
    </row>
    <row r="3" spans="2:13">
      <c r="B3" s="71" t="s">
        <v>56</v>
      </c>
      <c r="C3" s="191"/>
      <c r="D3" s="92"/>
      <c r="E3" s="95">
        <v>-432.12</v>
      </c>
      <c r="F3" s="72"/>
      <c r="G3" s="72"/>
      <c r="I3" s="10">
        <v>926.77</v>
      </c>
      <c r="J3" s="10" t="s">
        <v>914</v>
      </c>
      <c r="L3" s="144">
        <v>4454.3100000000004</v>
      </c>
      <c r="M3" s="144" t="s">
        <v>1215</v>
      </c>
    </row>
    <row r="4" spans="2:13" ht="12" customHeight="1">
      <c r="B4" s="71" t="s">
        <v>48</v>
      </c>
      <c r="C4" s="191"/>
      <c r="D4" s="92"/>
      <c r="E4" s="95">
        <v>-1646.7</v>
      </c>
      <c r="F4" s="72"/>
      <c r="G4" s="72"/>
      <c r="I4" s="10">
        <v>0</v>
      </c>
      <c r="J4" s="10" t="s">
        <v>915</v>
      </c>
      <c r="L4" s="144">
        <v>1200</v>
      </c>
      <c r="M4" s="144"/>
    </row>
    <row r="5" spans="2:13" ht="12" customHeight="1">
      <c r="B5" s="71" t="s">
        <v>5</v>
      </c>
      <c r="C5" s="91">
        <v>13425.29</v>
      </c>
      <c r="D5" s="92"/>
      <c r="E5" s="95">
        <v>0</v>
      </c>
      <c r="F5" s="72"/>
      <c r="G5" s="72"/>
      <c r="I5" s="10">
        <v>923.41</v>
      </c>
      <c r="J5" s="10" t="s">
        <v>1234</v>
      </c>
      <c r="L5" s="144"/>
      <c r="M5" s="144"/>
    </row>
    <row r="6" spans="2:13">
      <c r="B6" s="71" t="s">
        <v>107</v>
      </c>
      <c r="C6" s="91">
        <f>586.5+544</f>
        <v>1130.5</v>
      </c>
      <c r="D6" s="92"/>
      <c r="E6" s="95">
        <v>0</v>
      </c>
      <c r="F6" s="72"/>
      <c r="G6" s="72"/>
      <c r="L6" s="144"/>
      <c r="M6" s="144"/>
    </row>
    <row r="7" spans="2:13" ht="15.75">
      <c r="B7" s="71" t="s">
        <v>1046</v>
      </c>
      <c r="C7" s="91">
        <v>583</v>
      </c>
      <c r="D7" s="92"/>
      <c r="E7" s="95">
        <v>0</v>
      </c>
      <c r="F7" s="72"/>
      <c r="G7" s="72"/>
      <c r="I7" s="221" t="s">
        <v>1143</v>
      </c>
      <c r="J7" s="221" t="s">
        <v>408</v>
      </c>
      <c r="L7" s="203" t="s">
        <v>1169</v>
      </c>
      <c r="M7" s="204">
        <v>720</v>
      </c>
    </row>
    <row r="8" spans="2:13" ht="15.75">
      <c r="B8" s="71" t="s">
        <v>1236</v>
      </c>
      <c r="C8" s="91">
        <v>365</v>
      </c>
      <c r="D8" s="92"/>
      <c r="E8" s="95">
        <v>0</v>
      </c>
      <c r="F8" s="72"/>
      <c r="G8" s="72"/>
      <c r="I8" s="10"/>
      <c r="J8" s="10"/>
      <c r="L8" s="203" t="s">
        <v>1171</v>
      </c>
      <c r="M8" s="203">
        <v>6912</v>
      </c>
    </row>
    <row r="9" spans="2:13" ht="15.75">
      <c r="B9" s="71" t="s">
        <v>1250</v>
      </c>
      <c r="C9" s="91">
        <v>77.83</v>
      </c>
      <c r="D9" s="92"/>
      <c r="E9" s="95">
        <v>0</v>
      </c>
      <c r="F9" s="72"/>
      <c r="G9" s="72"/>
      <c r="I9" s="10"/>
      <c r="J9" s="10"/>
      <c r="L9" s="203" t="s">
        <v>1172</v>
      </c>
      <c r="M9" s="207">
        <v>1.3910000000000001E-5</v>
      </c>
    </row>
    <row r="10" spans="2:13" ht="14.25" customHeight="1">
      <c r="B10" s="99" t="s">
        <v>714</v>
      </c>
      <c r="C10" s="96">
        <v>-10</v>
      </c>
      <c r="D10" s="97"/>
      <c r="E10" s="63">
        <v>0</v>
      </c>
      <c r="F10" s="64"/>
      <c r="G10" s="64" t="s">
        <v>58</v>
      </c>
      <c r="I10" s="10"/>
      <c r="J10" s="10"/>
      <c r="L10" s="206" t="s">
        <v>1173</v>
      </c>
      <c r="M10" s="206">
        <f>M8*M9</f>
        <v>9.614592000000001E-2</v>
      </c>
    </row>
    <row r="11" spans="2:13">
      <c r="B11" s="99" t="s">
        <v>1098</v>
      </c>
      <c r="C11" s="96">
        <v>-87.5</v>
      </c>
      <c r="D11" s="97"/>
      <c r="E11" s="63">
        <v>0</v>
      </c>
      <c r="F11" s="64"/>
      <c r="G11" s="64" t="s">
        <v>58</v>
      </c>
      <c r="I11" s="10">
        <f>M11</f>
        <v>69.225062400000013</v>
      </c>
      <c r="J11" s="10" t="s">
        <v>1162</v>
      </c>
      <c r="L11" s="206" t="s">
        <v>1174</v>
      </c>
      <c r="M11" s="205">
        <f>M7*M10</f>
        <v>69.225062400000013</v>
      </c>
    </row>
    <row r="12" spans="2:13">
      <c r="B12" s="99" t="s">
        <v>65</v>
      </c>
      <c r="C12" s="96">
        <v>-1500</v>
      </c>
      <c r="D12" s="97"/>
      <c r="E12" s="63">
        <v>0</v>
      </c>
      <c r="F12" s="64"/>
      <c r="G12" s="64" t="s">
        <v>58</v>
      </c>
      <c r="I12" s="10">
        <f>400*2.9</f>
        <v>1160</v>
      </c>
      <c r="J12" s="10" t="s">
        <v>1239</v>
      </c>
    </row>
    <row r="13" spans="2:13">
      <c r="B13" s="99" t="s">
        <v>1069</v>
      </c>
      <c r="C13" s="96">
        <v>-865.75</v>
      </c>
      <c r="D13" s="97"/>
      <c r="E13" s="63">
        <v>0</v>
      </c>
      <c r="F13" s="64"/>
      <c r="G13" s="64" t="s">
        <v>58</v>
      </c>
      <c r="I13" s="10">
        <f>589.05*2.9</f>
        <v>1708.2449999999999</v>
      </c>
      <c r="J13" s="10" t="s">
        <v>1088</v>
      </c>
    </row>
    <row r="14" spans="2:13">
      <c r="B14" s="99" t="s">
        <v>1242</v>
      </c>
      <c r="C14" s="96">
        <v>-580</v>
      </c>
      <c r="D14" s="97"/>
      <c r="E14" s="63">
        <v>0</v>
      </c>
      <c r="F14" s="64"/>
      <c r="G14" s="64" t="s">
        <v>58</v>
      </c>
      <c r="I14" s="10">
        <v>10716.15</v>
      </c>
      <c r="J14" s="10" t="s">
        <v>1127</v>
      </c>
    </row>
    <row r="15" spans="2:13">
      <c r="B15" s="99" t="s">
        <v>1251</v>
      </c>
      <c r="C15" s="96">
        <f>-196-120</f>
        <v>-316</v>
      </c>
      <c r="D15" s="97"/>
      <c r="E15" s="63">
        <v>0</v>
      </c>
      <c r="F15" s="64"/>
      <c r="G15" s="64" t="s">
        <v>58</v>
      </c>
      <c r="I15" s="10">
        <f>1000*9.71</f>
        <v>9710</v>
      </c>
      <c r="J15" s="10" t="s">
        <v>1133</v>
      </c>
    </row>
    <row r="16" spans="2:13">
      <c r="B16" s="99" t="s">
        <v>1243</v>
      </c>
      <c r="C16" s="96">
        <v>-2300</v>
      </c>
      <c r="D16" s="97"/>
      <c r="E16" s="63">
        <v>0</v>
      </c>
      <c r="F16" s="64"/>
      <c r="G16" s="64" t="s">
        <v>58</v>
      </c>
      <c r="I16" s="10">
        <v>0</v>
      </c>
      <c r="J16" s="10" t="s">
        <v>1211</v>
      </c>
    </row>
    <row r="17" spans="2:10">
      <c r="B17" s="99" t="s">
        <v>1252</v>
      </c>
      <c r="C17" s="96">
        <v>-1150</v>
      </c>
      <c r="D17" s="97"/>
      <c r="E17" s="63">
        <v>0</v>
      </c>
      <c r="F17" s="64"/>
      <c r="G17" s="64" t="s">
        <v>58</v>
      </c>
      <c r="I17" s="10">
        <v>10398.17</v>
      </c>
      <c r="J17" s="10" t="s">
        <v>1210</v>
      </c>
    </row>
    <row r="18" spans="2:10">
      <c r="B18" s="99" t="s">
        <v>103</v>
      </c>
      <c r="C18" s="96">
        <v>-1326.41</v>
      </c>
      <c r="D18" s="97"/>
      <c r="E18" s="63">
        <v>0</v>
      </c>
      <c r="F18" s="64"/>
      <c r="G18" s="64" t="s">
        <v>58</v>
      </c>
      <c r="H18" s="143"/>
      <c r="I18" s="10"/>
      <c r="J18" s="10"/>
    </row>
    <row r="19" spans="2:10">
      <c r="B19" s="99" t="s">
        <v>1032</v>
      </c>
      <c r="C19" s="96">
        <v>0</v>
      </c>
      <c r="D19" s="97"/>
      <c r="E19" s="63">
        <v>0</v>
      </c>
      <c r="F19" s="64"/>
      <c r="G19" s="64" t="s">
        <v>58</v>
      </c>
      <c r="I19" s="10"/>
      <c r="J19" s="10"/>
    </row>
    <row r="20" spans="2:10">
      <c r="B20" s="99" t="s">
        <v>1253</v>
      </c>
      <c r="C20" s="96">
        <v>-6250.44</v>
      </c>
      <c r="D20" s="97"/>
      <c r="E20" s="63">
        <v>0</v>
      </c>
      <c r="F20" s="64"/>
      <c r="G20" s="64" t="s">
        <v>58</v>
      </c>
      <c r="I20" s="10">
        <v>150.25</v>
      </c>
      <c r="J20" s="10" t="s">
        <v>1165</v>
      </c>
    </row>
    <row r="21" spans="2:10">
      <c r="B21" s="99" t="s">
        <v>748</v>
      </c>
      <c r="C21" s="96">
        <v>-70</v>
      </c>
      <c r="D21" s="97"/>
      <c r="E21" s="63">
        <v>0</v>
      </c>
      <c r="F21" s="64"/>
      <c r="G21" s="64" t="s">
        <v>58</v>
      </c>
      <c r="I21" s="144">
        <f>SUM(I8:I20)</f>
        <v>33912.040062399996</v>
      </c>
      <c r="J21" s="144" t="s">
        <v>1031</v>
      </c>
    </row>
    <row r="22" spans="2:10">
      <c r="B22" s="99" t="s">
        <v>1245</v>
      </c>
      <c r="C22" s="96">
        <v>-80.8</v>
      </c>
      <c r="D22" s="92"/>
      <c r="E22" s="63">
        <v>0</v>
      </c>
      <c r="F22" s="64"/>
      <c r="G22" s="64" t="s">
        <v>58</v>
      </c>
    </row>
    <row r="23" spans="2:10">
      <c r="B23" s="99" t="s">
        <v>125</v>
      </c>
      <c r="C23" s="96">
        <v>-4000</v>
      </c>
      <c r="D23" s="92"/>
      <c r="E23" s="63">
        <v>0</v>
      </c>
      <c r="F23" s="64"/>
      <c r="G23" s="64" t="s">
        <v>58</v>
      </c>
    </row>
    <row r="24" spans="2:10" ht="18">
      <c r="B24" s="99" t="s">
        <v>73</v>
      </c>
      <c r="C24" s="96">
        <v>-336.52</v>
      </c>
      <c r="D24" s="97"/>
      <c r="E24" s="63">
        <v>0</v>
      </c>
      <c r="F24" s="64"/>
      <c r="G24" s="64" t="s">
        <v>58</v>
      </c>
      <c r="I24" s="211"/>
    </row>
    <row r="25" spans="2:10">
      <c r="B25" s="99" t="s">
        <v>1247</v>
      </c>
      <c r="C25" s="96">
        <v>2500</v>
      </c>
      <c r="D25" s="97"/>
      <c r="E25" s="63">
        <v>0</v>
      </c>
      <c r="F25" s="64"/>
      <c r="G25" s="64" t="s">
        <v>58</v>
      </c>
    </row>
    <row r="26" spans="2:10">
      <c r="B26" s="99" t="s">
        <v>1139</v>
      </c>
      <c r="C26" s="96">
        <v>-61.66</v>
      </c>
      <c r="D26" s="97"/>
      <c r="E26" s="63">
        <v>0</v>
      </c>
      <c r="F26" s="64"/>
      <c r="G26" s="64" t="s">
        <v>58</v>
      </c>
    </row>
    <row r="27" spans="2:10">
      <c r="B27" s="99" t="s">
        <v>1254</v>
      </c>
      <c r="C27" s="96">
        <v>-64.61</v>
      </c>
      <c r="D27" s="97"/>
      <c r="E27" s="63">
        <v>0</v>
      </c>
      <c r="F27" s="64"/>
      <c r="G27" s="64" t="s">
        <v>58</v>
      </c>
    </row>
    <row r="28" spans="2:10">
      <c r="B28" s="99" t="s">
        <v>586</v>
      </c>
      <c r="C28" s="96">
        <v>-191.33</v>
      </c>
      <c r="D28" s="97"/>
      <c r="E28" s="63">
        <v>0</v>
      </c>
      <c r="F28" s="64"/>
      <c r="G28" s="64" t="s">
        <v>58</v>
      </c>
    </row>
    <row r="29" spans="2:10">
      <c r="B29" s="99" t="s">
        <v>1249</v>
      </c>
      <c r="C29" s="96">
        <v>-638.53</v>
      </c>
      <c r="D29" s="97"/>
      <c r="E29" s="63">
        <v>0</v>
      </c>
      <c r="F29" s="64"/>
      <c r="G29" s="64" t="s">
        <v>58</v>
      </c>
    </row>
    <row r="30" spans="2:10">
      <c r="B30" s="99" t="s">
        <v>686</v>
      </c>
      <c r="C30" s="96">
        <v>-544.99</v>
      </c>
      <c r="D30" s="97"/>
      <c r="E30" s="63">
        <v>0</v>
      </c>
      <c r="F30" s="64"/>
      <c r="G30" s="64" t="s">
        <v>58</v>
      </c>
    </row>
    <row r="31" spans="2:10">
      <c r="B31" s="99" t="s">
        <v>117</v>
      </c>
      <c r="C31" s="96">
        <f>-198.72-110.21</f>
        <v>-308.93</v>
      </c>
      <c r="D31" s="97"/>
      <c r="E31" s="63">
        <v>0</v>
      </c>
      <c r="F31" s="64"/>
      <c r="G31" s="64" t="s">
        <v>58</v>
      </c>
    </row>
    <row r="32" spans="2:10" ht="18">
      <c r="B32" s="99" t="s">
        <v>1255</v>
      </c>
      <c r="C32" s="96">
        <v>-116</v>
      </c>
      <c r="D32" s="97"/>
      <c r="E32" s="63">
        <v>0</v>
      </c>
      <c r="F32" s="64"/>
      <c r="G32" s="64" t="s">
        <v>58</v>
      </c>
      <c r="H32" s="211"/>
    </row>
    <row r="33" spans="2:13">
      <c r="B33" s="99" t="s">
        <v>1256</v>
      </c>
      <c r="C33" s="96">
        <f>1150-300</f>
        <v>850</v>
      </c>
      <c r="D33" s="97"/>
      <c r="E33" s="63">
        <v>0</v>
      </c>
      <c r="F33" s="64"/>
      <c r="G33" s="64" t="s">
        <v>58</v>
      </c>
    </row>
    <row r="34" spans="2:13">
      <c r="B34" s="99" t="s">
        <v>1257</v>
      </c>
      <c r="C34" s="96">
        <f>(4600/-4)</f>
        <v>-1150</v>
      </c>
      <c r="D34" s="97"/>
      <c r="E34" s="63">
        <v>0</v>
      </c>
      <c r="F34" s="64"/>
      <c r="G34" s="64" t="s">
        <v>58</v>
      </c>
    </row>
    <row r="35" spans="2:13" ht="18">
      <c r="B35" s="74" t="s">
        <v>45</v>
      </c>
      <c r="C35" s="188"/>
      <c r="D35" s="98"/>
      <c r="E35" s="129">
        <f>SUM(E3:E34)</f>
        <v>-2078.8200000000002</v>
      </c>
      <c r="F35" s="75"/>
      <c r="G35" s="75"/>
    </row>
    <row r="36" spans="2:13">
      <c r="B36" s="212" t="s">
        <v>1258</v>
      </c>
    </row>
    <row r="38" spans="2:13" ht="18">
      <c r="G38" s="211"/>
      <c r="M38" t="s">
        <v>1022</v>
      </c>
    </row>
    <row r="39" spans="2:13">
      <c r="E39" s="199"/>
    </row>
  </sheetData>
  <mergeCells count="1">
    <mergeCell ref="L2:M2"/>
  </mergeCells>
  <conditionalFormatting sqref="E19">
    <cfRule type="cellIs" dxfId="466" priority="39" stopIfTrue="1" operator="greaterThan">
      <formula>0</formula>
    </cfRule>
  </conditionalFormatting>
  <conditionalFormatting sqref="E18">
    <cfRule type="cellIs" dxfId="465" priority="38" stopIfTrue="1" operator="greaterThan">
      <formula>0</formula>
    </cfRule>
  </conditionalFormatting>
  <conditionalFormatting sqref="E26">
    <cfRule type="cellIs" dxfId="464" priority="35" stopIfTrue="1" operator="greaterThan">
      <formula>0</formula>
    </cfRule>
  </conditionalFormatting>
  <conditionalFormatting sqref="E21">
    <cfRule type="cellIs" dxfId="463" priority="34" stopIfTrue="1" operator="greaterThan">
      <formula>0</formula>
    </cfRule>
  </conditionalFormatting>
  <conditionalFormatting sqref="E28">
    <cfRule type="cellIs" dxfId="462" priority="32" stopIfTrue="1" operator="greaterThan">
      <formula>0</formula>
    </cfRule>
  </conditionalFormatting>
  <conditionalFormatting sqref="E16">
    <cfRule type="cellIs" dxfId="461" priority="31" stopIfTrue="1" operator="greaterThan">
      <formula>0</formula>
    </cfRule>
  </conditionalFormatting>
  <conditionalFormatting sqref="E13">
    <cfRule type="cellIs" dxfId="460" priority="29" stopIfTrue="1" operator="greaterThan">
      <formula>0</formula>
    </cfRule>
  </conditionalFormatting>
  <conditionalFormatting sqref="E14">
    <cfRule type="cellIs" dxfId="459" priority="28" stopIfTrue="1" operator="greaterThan">
      <formula>0</formula>
    </cfRule>
  </conditionalFormatting>
  <conditionalFormatting sqref="E11">
    <cfRule type="cellIs" dxfId="458" priority="27" stopIfTrue="1" operator="greaterThan">
      <formula>0</formula>
    </cfRule>
  </conditionalFormatting>
  <conditionalFormatting sqref="E10">
    <cfRule type="cellIs" dxfId="457" priority="26" stopIfTrue="1" operator="greaterThan">
      <formula>0</formula>
    </cfRule>
  </conditionalFormatting>
  <conditionalFormatting sqref="E12">
    <cfRule type="cellIs" dxfId="456" priority="25" stopIfTrue="1" operator="greaterThan">
      <formula>0</formula>
    </cfRule>
  </conditionalFormatting>
  <conditionalFormatting sqref="E15">
    <cfRule type="cellIs" dxfId="455" priority="22" stopIfTrue="1" operator="greaterThan">
      <formula>0</formula>
    </cfRule>
  </conditionalFormatting>
  <conditionalFormatting sqref="E17">
    <cfRule type="cellIs" dxfId="454" priority="21" stopIfTrue="1" operator="greaterThan">
      <formula>0</formula>
    </cfRule>
  </conditionalFormatting>
  <conditionalFormatting sqref="E20">
    <cfRule type="cellIs" dxfId="453" priority="20" stopIfTrue="1" operator="greaterThan">
      <formula>0</formula>
    </cfRule>
  </conditionalFormatting>
  <conditionalFormatting sqref="E29">
    <cfRule type="cellIs" dxfId="452" priority="19" stopIfTrue="1" operator="greaterThan">
      <formula>0</formula>
    </cfRule>
  </conditionalFormatting>
  <conditionalFormatting sqref="E30">
    <cfRule type="cellIs" dxfId="451" priority="18" stopIfTrue="1" operator="greaterThan">
      <formula>0</formula>
    </cfRule>
  </conditionalFormatting>
  <conditionalFormatting sqref="E24">
    <cfRule type="cellIs" dxfId="450" priority="14" stopIfTrue="1" operator="greaterThan">
      <formula>0</formula>
    </cfRule>
  </conditionalFormatting>
  <conditionalFormatting sqref="E31">
    <cfRule type="cellIs" dxfId="449" priority="13" stopIfTrue="1" operator="greaterThan">
      <formula>0</formula>
    </cfRule>
  </conditionalFormatting>
  <conditionalFormatting sqref="E23">
    <cfRule type="cellIs" dxfId="448" priority="10" stopIfTrue="1" operator="greaterThan">
      <formula>0</formula>
    </cfRule>
  </conditionalFormatting>
  <conditionalFormatting sqref="E34">
    <cfRule type="cellIs" dxfId="447" priority="9" stopIfTrue="1" operator="greaterThan">
      <formula>0</formula>
    </cfRule>
  </conditionalFormatting>
  <conditionalFormatting sqref="E25">
    <cfRule type="cellIs" dxfId="446" priority="6" stopIfTrue="1" operator="greaterThan">
      <formula>0</formula>
    </cfRule>
  </conditionalFormatting>
  <conditionalFormatting sqref="E22">
    <cfRule type="cellIs" dxfId="445" priority="4" stopIfTrue="1" operator="greaterThan">
      <formula>0</formula>
    </cfRule>
  </conditionalFormatting>
  <conditionalFormatting sqref="E32">
    <cfRule type="cellIs" dxfId="444" priority="3" stopIfTrue="1" operator="greaterThan">
      <formula>0</formula>
    </cfRule>
  </conditionalFormatting>
  <conditionalFormatting sqref="E33">
    <cfRule type="cellIs" dxfId="443" priority="2" stopIfTrue="1" operator="greaterThan">
      <formula>0</formula>
    </cfRule>
  </conditionalFormatting>
  <conditionalFormatting sqref="E27">
    <cfRule type="cellIs" dxfId="442" priority="1" stopIfTrue="1" operator="greaterThan">
      <formula>0</formula>
    </cfRule>
  </conditionalFormatting>
  <pageMargins left="0.511811024" right="0.511811024" top="0.78740157499999996" bottom="0.78740157499999996" header="0.31496062000000002" footer="0.31496062000000002"/>
</worksheet>
</file>

<file path=xl/worksheets/sheet111.xml><?xml version="1.0" encoding="utf-8"?>
<worksheet xmlns="http://schemas.openxmlformats.org/spreadsheetml/2006/main" xmlns:r="http://schemas.openxmlformats.org/officeDocument/2006/relationships">
  <sheetPr>
    <pageSetUpPr autoPageBreaks="0"/>
  </sheetPr>
  <dimension ref="B1:M41"/>
  <sheetViews>
    <sheetView topLeftCell="A3" zoomScale="75" zoomScaleNormal="75" zoomScalePageLayoutView="75" workbookViewId="0">
      <selection activeCell="B29" sqref="B29"/>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4" bestFit="1" customWidth="1"/>
  </cols>
  <sheetData>
    <row r="1" spans="2:13">
      <c r="E1" s="106"/>
    </row>
    <row r="2" spans="2:13" ht="18">
      <c r="B2" s="220" t="s">
        <v>135</v>
      </c>
      <c r="C2" s="220" t="s">
        <v>136</v>
      </c>
      <c r="D2" s="90"/>
      <c r="E2" s="220" t="s">
        <v>0</v>
      </c>
      <c r="F2" s="82" t="s">
        <v>1</v>
      </c>
      <c r="G2" s="82" t="s">
        <v>57</v>
      </c>
      <c r="I2" s="221" t="s">
        <v>913</v>
      </c>
      <c r="J2" s="221" t="s">
        <v>408</v>
      </c>
      <c r="L2" s="587" t="s">
        <v>1213</v>
      </c>
      <c r="M2" s="587"/>
    </row>
    <row r="3" spans="2:13">
      <c r="B3" s="71" t="s">
        <v>56</v>
      </c>
      <c r="C3" s="191"/>
      <c r="D3" s="92"/>
      <c r="E3" s="95">
        <v>6.66</v>
      </c>
      <c r="F3" s="72"/>
      <c r="G3" s="72"/>
      <c r="I3" s="10">
        <v>2918.17</v>
      </c>
      <c r="J3" s="10" t="s">
        <v>914</v>
      </c>
      <c r="L3" s="144">
        <v>93.72</v>
      </c>
      <c r="M3" s="144" t="s">
        <v>1215</v>
      </c>
    </row>
    <row r="4" spans="2:13" ht="12" customHeight="1">
      <c r="B4" s="71" t="s">
        <v>48</v>
      </c>
      <c r="C4" s="191"/>
      <c r="D4" s="92"/>
      <c r="E4" s="95">
        <v>-1229.1400000000001</v>
      </c>
      <c r="F4" s="72"/>
      <c r="G4" s="72"/>
      <c r="I4" s="10">
        <v>0</v>
      </c>
      <c r="J4" s="10" t="s">
        <v>915</v>
      </c>
      <c r="L4" s="144">
        <v>0</v>
      </c>
      <c r="M4" s="144"/>
    </row>
    <row r="5" spans="2:13" ht="12" customHeight="1">
      <c r="B5" s="71" t="s">
        <v>5</v>
      </c>
      <c r="C5" s="91">
        <v>14235.25</v>
      </c>
      <c r="D5" s="92"/>
      <c r="E5" s="95">
        <v>0</v>
      </c>
      <c r="F5" s="72"/>
      <c r="G5" s="72"/>
      <c r="I5" s="10">
        <v>0</v>
      </c>
      <c r="J5" s="10" t="s">
        <v>1234</v>
      </c>
      <c r="L5" s="144"/>
      <c r="M5" s="144"/>
    </row>
    <row r="6" spans="2:13">
      <c r="B6" s="71" t="s">
        <v>107</v>
      </c>
      <c r="C6" s="91">
        <v>585</v>
      </c>
      <c r="D6" s="92"/>
      <c r="E6" s="95">
        <v>0</v>
      </c>
      <c r="F6" s="72"/>
      <c r="G6" s="72"/>
      <c r="L6" s="144"/>
      <c r="M6" s="144"/>
    </row>
    <row r="7" spans="2:13" ht="15.75">
      <c r="B7" s="71" t="s">
        <v>1046</v>
      </c>
      <c r="C7" s="91">
        <v>396.3</v>
      </c>
      <c r="D7" s="92"/>
      <c r="E7" s="95">
        <v>0</v>
      </c>
      <c r="F7" s="72"/>
      <c r="G7" s="72"/>
      <c r="I7" s="221" t="s">
        <v>1143</v>
      </c>
      <c r="J7" s="221" t="s">
        <v>408</v>
      </c>
      <c r="L7" s="203" t="s">
        <v>1169</v>
      </c>
      <c r="M7" s="204">
        <v>876.49</v>
      </c>
    </row>
    <row r="8" spans="2:13" ht="15.75">
      <c r="B8" s="71" t="s">
        <v>1256</v>
      </c>
      <c r="C8" s="91">
        <v>300</v>
      </c>
      <c r="D8" s="92"/>
      <c r="E8" s="95">
        <v>0</v>
      </c>
      <c r="F8" s="72"/>
      <c r="G8" s="72"/>
      <c r="I8" s="10"/>
      <c r="J8" s="10"/>
      <c r="L8" s="203" t="s">
        <v>1171</v>
      </c>
      <c r="M8" s="203">
        <v>10735</v>
      </c>
    </row>
    <row r="9" spans="2:13" ht="15.75">
      <c r="B9" s="71" t="s">
        <v>1259</v>
      </c>
      <c r="C9" s="91">
        <v>250</v>
      </c>
      <c r="D9" s="92"/>
      <c r="E9" s="95">
        <v>0</v>
      </c>
      <c r="F9" s="72"/>
      <c r="G9" s="72"/>
      <c r="I9" s="10"/>
      <c r="J9" s="10"/>
      <c r="L9" s="203" t="s">
        <v>1172</v>
      </c>
      <c r="M9" s="207">
        <v>1.148E-5</v>
      </c>
    </row>
    <row r="10" spans="2:13" ht="14.25" customHeight="1">
      <c r="B10" s="71" t="s">
        <v>1260</v>
      </c>
      <c r="C10" s="91">
        <v>490</v>
      </c>
      <c r="D10" s="92"/>
      <c r="E10" s="95">
        <v>0</v>
      </c>
      <c r="F10" s="72"/>
      <c r="G10" s="72"/>
      <c r="I10" s="10"/>
      <c r="J10" s="10"/>
      <c r="L10" s="206" t="s">
        <v>1173</v>
      </c>
      <c r="M10" s="206">
        <f>M8*M9</f>
        <v>0.12323780000000001</v>
      </c>
    </row>
    <row r="11" spans="2:13">
      <c r="B11" s="71" t="s">
        <v>1261</v>
      </c>
      <c r="C11" s="91">
        <v>160</v>
      </c>
      <c r="D11" s="92"/>
      <c r="E11" s="95">
        <v>0</v>
      </c>
      <c r="F11" s="72"/>
      <c r="G11" s="72"/>
      <c r="I11" s="10">
        <f>M11</f>
        <v>108.01669932200001</v>
      </c>
      <c r="J11" s="10" t="s">
        <v>1162</v>
      </c>
      <c r="L11" s="206" t="s">
        <v>1174</v>
      </c>
      <c r="M11" s="205">
        <f>M7*M10</f>
        <v>108.01669932200001</v>
      </c>
    </row>
    <row r="12" spans="2:13">
      <c r="B12" s="71" t="s">
        <v>1213</v>
      </c>
      <c r="C12" s="91">
        <v>305</v>
      </c>
      <c r="D12" s="92"/>
      <c r="E12" s="95">
        <v>0</v>
      </c>
      <c r="F12" s="72"/>
      <c r="G12" s="72"/>
      <c r="I12" s="10">
        <f>400*3.4</f>
        <v>1360</v>
      </c>
      <c r="J12" s="10" t="s">
        <v>1239</v>
      </c>
    </row>
    <row r="13" spans="2:13">
      <c r="B13" s="99" t="s">
        <v>1262</v>
      </c>
      <c r="C13" s="96">
        <v>-32.479999999999997</v>
      </c>
      <c r="D13" s="97"/>
      <c r="E13" s="63">
        <v>0</v>
      </c>
      <c r="F13" s="64"/>
      <c r="G13" s="64" t="s">
        <v>58</v>
      </c>
      <c r="I13" s="10">
        <f>589.05*3.4</f>
        <v>2002.7699999999998</v>
      </c>
      <c r="J13" s="10" t="s">
        <v>1088</v>
      </c>
    </row>
    <row r="14" spans="2:13">
      <c r="B14" s="99" t="s">
        <v>1263</v>
      </c>
      <c r="C14" s="96">
        <v>-51.6</v>
      </c>
      <c r="D14" s="97"/>
      <c r="E14" s="63">
        <v>0</v>
      </c>
      <c r="F14" s="64"/>
      <c r="G14" s="64" t="s">
        <v>58</v>
      </c>
      <c r="I14" s="10">
        <v>10915.51</v>
      </c>
      <c r="J14" s="10" t="s">
        <v>1127</v>
      </c>
    </row>
    <row r="15" spans="2:13">
      <c r="B15" s="99" t="s">
        <v>1098</v>
      </c>
      <c r="C15" s="96">
        <v>-49.7</v>
      </c>
      <c r="D15" s="97"/>
      <c r="E15" s="63">
        <v>0</v>
      </c>
      <c r="F15" s="64"/>
      <c r="G15" s="64" t="s">
        <v>58</v>
      </c>
      <c r="I15" s="10">
        <f>1000*9.14</f>
        <v>9140</v>
      </c>
      <c r="J15" s="10" t="s">
        <v>1133</v>
      </c>
    </row>
    <row r="16" spans="2:13">
      <c r="B16" s="99" t="s">
        <v>1264</v>
      </c>
      <c r="C16" s="96">
        <v>-500</v>
      </c>
      <c r="D16" s="97"/>
      <c r="E16" s="63">
        <v>0</v>
      </c>
      <c r="F16" s="64"/>
      <c r="G16" s="64" t="s">
        <v>58</v>
      </c>
      <c r="I16" s="10">
        <v>0</v>
      </c>
      <c r="J16" s="10" t="s">
        <v>1211</v>
      </c>
    </row>
    <row r="17" spans="2:10">
      <c r="B17" s="99" t="s">
        <v>65</v>
      </c>
      <c r="C17" s="96">
        <v>-600</v>
      </c>
      <c r="D17" s="97"/>
      <c r="E17" s="63">
        <v>0</v>
      </c>
      <c r="F17" s="64"/>
      <c r="G17" s="64" t="s">
        <v>58</v>
      </c>
      <c r="I17" s="10">
        <v>10499.64</v>
      </c>
      <c r="J17" s="10" t="s">
        <v>1210</v>
      </c>
    </row>
    <row r="18" spans="2:10">
      <c r="B18" s="99" t="s">
        <v>1069</v>
      </c>
      <c r="C18" s="96">
        <v>-802.75</v>
      </c>
      <c r="D18" s="97"/>
      <c r="E18" s="63">
        <v>0</v>
      </c>
      <c r="F18" s="64"/>
      <c r="G18" s="64" t="s">
        <v>58</v>
      </c>
      <c r="H18" s="143"/>
      <c r="I18" s="10"/>
      <c r="J18" s="10"/>
    </row>
    <row r="19" spans="2:10">
      <c r="B19" s="99" t="s">
        <v>1242</v>
      </c>
      <c r="C19" s="96">
        <v>-580</v>
      </c>
      <c r="D19" s="97"/>
      <c r="E19" s="63">
        <v>0</v>
      </c>
      <c r="F19" s="64"/>
      <c r="G19" s="64" t="s">
        <v>58</v>
      </c>
      <c r="I19" s="10">
        <v>164</v>
      </c>
      <c r="J19" s="10" t="s">
        <v>1265</v>
      </c>
    </row>
    <row r="20" spans="2:10">
      <c r="B20" s="99" t="s">
        <v>1266</v>
      </c>
      <c r="C20" s="96">
        <v>-1150</v>
      </c>
      <c r="D20" s="97"/>
      <c r="E20" s="63">
        <v>0</v>
      </c>
      <c r="F20" s="64"/>
      <c r="G20" s="64" t="s">
        <v>58</v>
      </c>
      <c r="I20" s="10">
        <v>185.53</v>
      </c>
      <c r="J20" s="10" t="s">
        <v>1165</v>
      </c>
    </row>
    <row r="21" spans="2:10">
      <c r="B21" s="99" t="s">
        <v>103</v>
      </c>
      <c r="C21" s="96">
        <v>-926.77</v>
      </c>
      <c r="D21" s="97"/>
      <c r="E21" s="63">
        <v>0</v>
      </c>
      <c r="F21" s="64"/>
      <c r="G21" s="64" t="s">
        <v>58</v>
      </c>
      <c r="I21" s="144">
        <f>SUM(I8:I20)</f>
        <v>34375.466699322002</v>
      </c>
      <c r="J21" s="144" t="s">
        <v>1031</v>
      </c>
    </row>
    <row r="22" spans="2:10">
      <c r="B22" s="99" t="s">
        <v>1032</v>
      </c>
      <c r="C22" s="96">
        <v>0</v>
      </c>
      <c r="D22" s="97"/>
      <c r="E22" s="63">
        <v>0</v>
      </c>
      <c r="F22" s="64"/>
      <c r="G22" s="64" t="s">
        <v>58</v>
      </c>
    </row>
    <row r="23" spans="2:10">
      <c r="B23" s="99" t="s">
        <v>1253</v>
      </c>
      <c r="C23" s="96">
        <v>-923.41</v>
      </c>
      <c r="D23" s="97"/>
      <c r="E23" s="63">
        <v>0</v>
      </c>
      <c r="F23" s="64"/>
      <c r="G23" s="64" t="s">
        <v>58</v>
      </c>
    </row>
    <row r="24" spans="2:10" ht="18">
      <c r="B24" s="99" t="s">
        <v>748</v>
      </c>
      <c r="C24" s="96">
        <v>-70</v>
      </c>
      <c r="D24" s="97"/>
      <c r="E24" s="63">
        <v>0</v>
      </c>
      <c r="F24" s="64"/>
      <c r="G24" s="64" t="s">
        <v>58</v>
      </c>
      <c r="I24" s="211"/>
    </row>
    <row r="25" spans="2:10">
      <c r="B25" s="99" t="s">
        <v>1245</v>
      </c>
      <c r="C25" s="96">
        <v>-80.8</v>
      </c>
      <c r="D25" s="92"/>
      <c r="E25" s="63">
        <v>0</v>
      </c>
      <c r="F25" s="64"/>
      <c r="G25" s="64" t="s">
        <v>58</v>
      </c>
    </row>
    <row r="26" spans="2:10">
      <c r="B26" s="99" t="s">
        <v>125</v>
      </c>
      <c r="C26" s="96">
        <v>-2650</v>
      </c>
      <c r="D26" s="92"/>
      <c r="E26" s="63">
        <v>0</v>
      </c>
      <c r="F26" s="64"/>
      <c r="G26" s="64" t="s">
        <v>58</v>
      </c>
    </row>
    <row r="27" spans="2:10">
      <c r="B27" s="99" t="s">
        <v>73</v>
      </c>
      <c r="C27" s="96">
        <v>-320.77999999999997</v>
      </c>
      <c r="D27" s="97"/>
      <c r="E27" s="63">
        <v>0</v>
      </c>
      <c r="F27" s="64"/>
      <c r="G27" s="64" t="s">
        <v>58</v>
      </c>
    </row>
    <row r="28" spans="2:10">
      <c r="B28" s="99" t="s">
        <v>1254</v>
      </c>
      <c r="C28" s="96">
        <v>-79.150000000000006</v>
      </c>
      <c r="D28" s="97"/>
      <c r="E28" s="63">
        <v>0</v>
      </c>
      <c r="F28" s="64"/>
      <c r="G28" s="64" t="s">
        <v>58</v>
      </c>
    </row>
    <row r="29" spans="2:10">
      <c r="B29" s="99" t="s">
        <v>1267</v>
      </c>
      <c r="C29" s="96">
        <v>-702</v>
      </c>
      <c r="D29" s="97"/>
      <c r="E29" s="63">
        <v>0</v>
      </c>
      <c r="F29" s="64"/>
      <c r="G29" s="64" t="s">
        <v>58</v>
      </c>
    </row>
    <row r="30" spans="2:10">
      <c r="B30" s="99" t="s">
        <v>1255</v>
      </c>
      <c r="C30" s="96">
        <f>-181+90</f>
        <v>-91</v>
      </c>
      <c r="D30" s="97"/>
      <c r="E30" s="63">
        <v>0</v>
      </c>
      <c r="F30" s="64"/>
      <c r="G30" s="64" t="s">
        <v>58</v>
      </c>
    </row>
    <row r="31" spans="2:10">
      <c r="B31" s="99" t="s">
        <v>1268</v>
      </c>
      <c r="C31" s="96">
        <v>-50</v>
      </c>
      <c r="D31" s="97"/>
      <c r="E31" s="63">
        <v>0</v>
      </c>
      <c r="F31" s="64"/>
      <c r="G31" s="64" t="s">
        <v>58</v>
      </c>
    </row>
    <row r="32" spans="2:10" ht="18">
      <c r="B32" s="99" t="s">
        <v>586</v>
      </c>
      <c r="C32" s="96">
        <v>-210.03</v>
      </c>
      <c r="D32" s="97"/>
      <c r="E32" s="63">
        <v>0</v>
      </c>
      <c r="F32" s="64"/>
      <c r="G32" s="64" t="s">
        <v>58</v>
      </c>
      <c r="H32" s="211"/>
    </row>
    <row r="33" spans="2:13">
      <c r="B33" s="99" t="s">
        <v>1249</v>
      </c>
      <c r="C33" s="96">
        <v>-638.53</v>
      </c>
      <c r="D33" s="97"/>
      <c r="E33" s="63">
        <v>0</v>
      </c>
      <c r="F33" s="64"/>
      <c r="G33" s="64" t="s">
        <v>58</v>
      </c>
    </row>
    <row r="34" spans="2:13">
      <c r="B34" s="99" t="s">
        <v>686</v>
      </c>
      <c r="C34" s="96">
        <v>-574.66999999999996</v>
      </c>
      <c r="D34" s="97"/>
      <c r="E34" s="63">
        <v>0</v>
      </c>
      <c r="F34" s="64"/>
      <c r="G34" s="64" t="s">
        <v>58</v>
      </c>
    </row>
    <row r="35" spans="2:13">
      <c r="B35" s="99" t="s">
        <v>1269</v>
      </c>
      <c r="C35" s="96">
        <f>(4600/-4)</f>
        <v>-1150</v>
      </c>
      <c r="D35" s="97"/>
      <c r="E35" s="63">
        <v>0</v>
      </c>
      <c r="F35" s="64"/>
      <c r="G35" s="64" t="s">
        <v>58</v>
      </c>
    </row>
    <row r="36" spans="2:13">
      <c r="B36" s="99" t="s">
        <v>621</v>
      </c>
      <c r="C36" s="96">
        <f>-821.86</f>
        <v>-821.86</v>
      </c>
      <c r="D36" s="97"/>
      <c r="E36" s="63">
        <v>0</v>
      </c>
      <c r="F36" s="64"/>
      <c r="G36" s="64" t="s">
        <v>58</v>
      </c>
    </row>
    <row r="37" spans="2:13" ht="18">
      <c r="B37" s="74" t="s">
        <v>45</v>
      </c>
      <c r="C37" s="188"/>
      <c r="D37" s="98"/>
      <c r="E37" s="129">
        <f>SUM(E3:E36)</f>
        <v>-1222.48</v>
      </c>
      <c r="F37" s="75"/>
      <c r="G37" s="75"/>
    </row>
    <row r="38" spans="2:13">
      <c r="M38" t="s">
        <v>1022</v>
      </c>
    </row>
    <row r="40" spans="2:13" ht="18">
      <c r="G40" s="211"/>
    </row>
    <row r="41" spans="2:13">
      <c r="E41" s="199"/>
    </row>
  </sheetData>
  <mergeCells count="1">
    <mergeCell ref="L2:M2"/>
  </mergeCells>
  <conditionalFormatting sqref="E22">
    <cfRule type="cellIs" dxfId="441" priority="34" stopIfTrue="1" operator="greaterThan">
      <formula>0</formula>
    </cfRule>
  </conditionalFormatting>
  <conditionalFormatting sqref="E21">
    <cfRule type="cellIs" dxfId="440" priority="25" stopIfTrue="1" operator="greaterThan">
      <formula>0</formula>
    </cfRule>
  </conditionalFormatting>
  <conditionalFormatting sqref="E18">
    <cfRule type="cellIs" dxfId="439" priority="24" stopIfTrue="1" operator="greaterThan">
      <formula>0</formula>
    </cfRule>
  </conditionalFormatting>
  <conditionalFormatting sqref="E19">
    <cfRule type="cellIs" dxfId="438" priority="23" stopIfTrue="1" operator="greaterThan">
      <formula>0</formula>
    </cfRule>
  </conditionalFormatting>
  <conditionalFormatting sqref="E20">
    <cfRule type="cellIs" dxfId="437" priority="22" stopIfTrue="1" operator="greaterThan">
      <formula>0</formula>
    </cfRule>
  </conditionalFormatting>
  <conditionalFormatting sqref="E16">
    <cfRule type="cellIs" dxfId="436" priority="21" stopIfTrue="1" operator="greaterThan">
      <formula>0</formula>
    </cfRule>
  </conditionalFormatting>
  <conditionalFormatting sqref="E33">
    <cfRule type="cellIs" dxfId="435" priority="20" stopIfTrue="1" operator="greaterThan">
      <formula>0</formula>
    </cfRule>
  </conditionalFormatting>
  <conditionalFormatting sqref="E32">
    <cfRule type="cellIs" dxfId="434" priority="19" stopIfTrue="1" operator="greaterThan">
      <formula>0</formula>
    </cfRule>
  </conditionalFormatting>
  <conditionalFormatting sqref="E17">
    <cfRule type="cellIs" dxfId="433" priority="18" stopIfTrue="1" operator="greaterThan">
      <formula>0</formula>
    </cfRule>
  </conditionalFormatting>
  <conditionalFormatting sqref="E13">
    <cfRule type="cellIs" dxfId="432" priority="17" stopIfTrue="1" operator="greaterThan">
      <formula>0</formula>
    </cfRule>
  </conditionalFormatting>
  <conditionalFormatting sqref="E29">
    <cfRule type="cellIs" dxfId="431" priority="16" stopIfTrue="1" operator="greaterThan">
      <formula>0</formula>
    </cfRule>
  </conditionalFormatting>
  <conditionalFormatting sqref="E14">
    <cfRule type="cellIs" dxfId="430" priority="15" stopIfTrue="1" operator="greaterThan">
      <formula>0</formula>
    </cfRule>
  </conditionalFormatting>
  <conditionalFormatting sqref="E24">
    <cfRule type="cellIs" dxfId="429" priority="14" stopIfTrue="1" operator="greaterThan">
      <formula>0</formula>
    </cfRule>
  </conditionalFormatting>
  <conditionalFormatting sqref="E15">
    <cfRule type="cellIs" dxfId="428" priority="13" stopIfTrue="1" operator="greaterThan">
      <formula>0</formula>
    </cfRule>
  </conditionalFormatting>
  <conditionalFormatting sqref="E23">
    <cfRule type="cellIs" dxfId="427" priority="12" stopIfTrue="1" operator="greaterThan">
      <formula>0</formula>
    </cfRule>
  </conditionalFormatting>
  <conditionalFormatting sqref="E34">
    <cfRule type="cellIs" dxfId="426" priority="11" stopIfTrue="1" operator="greaterThan">
      <formula>0</formula>
    </cfRule>
  </conditionalFormatting>
  <conditionalFormatting sqref="E36">
    <cfRule type="cellIs" dxfId="425" priority="8" stopIfTrue="1" operator="greaterThan">
      <formula>0</formula>
    </cfRule>
  </conditionalFormatting>
  <conditionalFormatting sqref="E27">
    <cfRule type="cellIs" dxfId="424" priority="7" stopIfTrue="1" operator="greaterThan">
      <formula>0</formula>
    </cfRule>
  </conditionalFormatting>
  <conditionalFormatting sqref="E26">
    <cfRule type="cellIs" dxfId="423" priority="6" stopIfTrue="1" operator="greaterThan">
      <formula>0</formula>
    </cfRule>
  </conditionalFormatting>
  <conditionalFormatting sqref="E35">
    <cfRule type="cellIs" dxfId="422" priority="5" stopIfTrue="1" operator="greaterThan">
      <formula>0</formula>
    </cfRule>
  </conditionalFormatting>
  <conditionalFormatting sqref="E31">
    <cfRule type="cellIs" dxfId="421" priority="4" stopIfTrue="1" operator="greaterThan">
      <formula>0</formula>
    </cfRule>
  </conditionalFormatting>
  <conditionalFormatting sqref="E25">
    <cfRule type="cellIs" dxfId="420" priority="3" stopIfTrue="1" operator="greaterThan">
      <formula>0</formula>
    </cfRule>
  </conditionalFormatting>
  <conditionalFormatting sqref="E30">
    <cfRule type="cellIs" dxfId="419" priority="2" stopIfTrue="1" operator="greaterThan">
      <formula>0</formula>
    </cfRule>
  </conditionalFormatting>
  <conditionalFormatting sqref="E28">
    <cfRule type="cellIs" dxfId="418" priority="1" stopIfTrue="1" operator="greaterThan">
      <formula>0</formula>
    </cfRule>
  </conditionalFormatting>
  <pageMargins left="0.511811024" right="0.511811024" top="0.78740157499999996" bottom="0.78740157499999996" header="0.31496062000000002" footer="0.31496062000000002"/>
</worksheet>
</file>

<file path=xl/worksheets/sheet112.xml><?xml version="1.0" encoding="utf-8"?>
<worksheet xmlns="http://schemas.openxmlformats.org/spreadsheetml/2006/main" xmlns:r="http://schemas.openxmlformats.org/officeDocument/2006/relationships">
  <sheetPr>
    <pageSetUpPr autoPageBreaks="0"/>
  </sheetPr>
  <dimension ref="B1:M39"/>
  <sheetViews>
    <sheetView zoomScale="75" zoomScaleNormal="75" zoomScalePageLayoutView="75" workbookViewId="0">
      <selection activeCell="F1" sqref="F1"/>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4" bestFit="1" customWidth="1"/>
  </cols>
  <sheetData>
    <row r="1" spans="2:13">
      <c r="E1" s="106"/>
    </row>
    <row r="2" spans="2:13" ht="18">
      <c r="B2" s="220" t="s">
        <v>135</v>
      </c>
      <c r="C2" s="220" t="s">
        <v>136</v>
      </c>
      <c r="D2" s="90"/>
      <c r="E2" s="220" t="s">
        <v>0</v>
      </c>
      <c r="F2" s="82" t="s">
        <v>1</v>
      </c>
      <c r="G2" s="82" t="s">
        <v>57</v>
      </c>
      <c r="I2" s="221" t="s">
        <v>913</v>
      </c>
      <c r="J2" s="221" t="s">
        <v>408</v>
      </c>
      <c r="L2" s="587" t="s">
        <v>1213</v>
      </c>
      <c r="M2" s="587"/>
    </row>
    <row r="3" spans="2:13">
      <c r="B3" s="71" t="s">
        <v>56</v>
      </c>
      <c r="C3" s="191"/>
      <c r="D3" s="92"/>
      <c r="E3" s="95">
        <v>0</v>
      </c>
      <c r="F3" s="72"/>
      <c r="G3" s="72"/>
      <c r="I3" s="10">
        <v>-1710.38</v>
      </c>
      <c r="J3" s="10" t="s">
        <v>914</v>
      </c>
      <c r="L3" s="144">
        <v>0</v>
      </c>
      <c r="M3" s="144" t="s">
        <v>1215</v>
      </c>
    </row>
    <row r="4" spans="2:13" ht="12" customHeight="1">
      <c r="B4" s="71" t="s">
        <v>48</v>
      </c>
      <c r="C4" s="191"/>
      <c r="D4" s="92"/>
      <c r="E4" s="95">
        <v>-1891.41</v>
      </c>
      <c r="F4" s="72"/>
      <c r="G4" s="72"/>
      <c r="I4" s="10">
        <v>0</v>
      </c>
      <c r="J4" s="10" t="s">
        <v>915</v>
      </c>
      <c r="L4" s="144">
        <v>0</v>
      </c>
      <c r="M4" s="144"/>
    </row>
    <row r="5" spans="2:13" ht="12" customHeight="1">
      <c r="B5" s="71" t="s">
        <v>5</v>
      </c>
      <c r="C5" s="91">
        <v>13032.59</v>
      </c>
      <c r="D5" s="92"/>
      <c r="E5" s="95">
        <v>0</v>
      </c>
      <c r="F5" s="72"/>
      <c r="G5" s="72"/>
      <c r="I5" s="10">
        <v>0</v>
      </c>
      <c r="J5" s="10" t="s">
        <v>1234</v>
      </c>
      <c r="L5" s="144"/>
      <c r="M5" s="144"/>
    </row>
    <row r="6" spans="2:13">
      <c r="B6" s="71" t="s">
        <v>1259</v>
      </c>
      <c r="C6" s="91">
        <v>250</v>
      </c>
      <c r="D6" s="92"/>
      <c r="E6" s="95">
        <v>0</v>
      </c>
      <c r="F6" s="72"/>
      <c r="G6" s="72"/>
      <c r="L6" s="144"/>
      <c r="M6" s="144"/>
    </row>
    <row r="7" spans="2:13" ht="15.75">
      <c r="B7" s="71" t="s">
        <v>1270</v>
      </c>
      <c r="C7" s="91">
        <v>250</v>
      </c>
      <c r="D7" s="92"/>
      <c r="E7" s="95">
        <v>0</v>
      </c>
      <c r="F7" s="72"/>
      <c r="G7" s="72"/>
      <c r="I7" s="221" t="s">
        <v>1143</v>
      </c>
      <c r="J7" s="221" t="s">
        <v>408</v>
      </c>
      <c r="L7" s="203" t="s">
        <v>1169</v>
      </c>
      <c r="M7" s="204">
        <v>738.55</v>
      </c>
    </row>
    <row r="8" spans="2:13" ht="15.75">
      <c r="B8" s="71" t="s">
        <v>1271</v>
      </c>
      <c r="C8" s="91">
        <v>490</v>
      </c>
      <c r="D8" s="92"/>
      <c r="E8" s="95">
        <v>0</v>
      </c>
      <c r="F8" s="72"/>
      <c r="G8" s="72"/>
      <c r="I8" s="10"/>
      <c r="J8" s="10"/>
      <c r="L8" s="203" t="s">
        <v>1171</v>
      </c>
      <c r="M8" s="203">
        <v>17396</v>
      </c>
    </row>
    <row r="9" spans="2:13" ht="15.75">
      <c r="B9" s="71" t="s">
        <v>1272</v>
      </c>
      <c r="C9" s="91">
        <v>489</v>
      </c>
      <c r="D9" s="92"/>
      <c r="E9" s="95">
        <v>0</v>
      </c>
      <c r="F9" s="72"/>
      <c r="G9" s="72"/>
      <c r="I9" s="10"/>
      <c r="J9" s="10"/>
      <c r="L9" s="203" t="s">
        <v>1172</v>
      </c>
      <c r="M9" s="207">
        <v>9.9699999999999994E-6</v>
      </c>
    </row>
    <row r="10" spans="2:13" ht="14.25" customHeight="1">
      <c r="B10" s="71" t="s">
        <v>1273</v>
      </c>
      <c r="C10" s="91">
        <v>401</v>
      </c>
      <c r="D10" s="92"/>
      <c r="E10" s="95">
        <v>0</v>
      </c>
      <c r="F10" s="72"/>
      <c r="G10" s="72"/>
      <c r="I10" s="10"/>
      <c r="J10" s="10"/>
      <c r="L10" s="206" t="s">
        <v>1173</v>
      </c>
      <c r="M10" s="206">
        <f>M8*M9</f>
        <v>0.17343812</v>
      </c>
    </row>
    <row r="11" spans="2:13">
      <c r="B11" s="71" t="s">
        <v>999</v>
      </c>
      <c r="C11" s="91">
        <v>118.59</v>
      </c>
      <c r="D11" s="92"/>
      <c r="E11" s="95">
        <v>0</v>
      </c>
      <c r="F11" s="72"/>
      <c r="G11" s="72"/>
      <c r="I11" s="10">
        <f>M11</f>
        <v>128.09272352599999</v>
      </c>
      <c r="J11" s="10" t="s">
        <v>1162</v>
      </c>
      <c r="L11" s="206" t="s">
        <v>1174</v>
      </c>
      <c r="M11" s="205">
        <f>M7*M10</f>
        <v>128.09272352599999</v>
      </c>
    </row>
    <row r="12" spans="2:13">
      <c r="B12" s="71" t="s">
        <v>927</v>
      </c>
      <c r="C12" s="91">
        <v>81</v>
      </c>
      <c r="D12" s="92"/>
      <c r="E12" s="95">
        <v>0</v>
      </c>
      <c r="F12" s="72"/>
      <c r="G12" s="72"/>
      <c r="I12" s="10">
        <f>400*3.05</f>
        <v>1220</v>
      </c>
      <c r="J12" s="10" t="s">
        <v>1239</v>
      </c>
    </row>
    <row r="13" spans="2:13">
      <c r="B13" s="71" t="s">
        <v>1274</v>
      </c>
      <c r="C13" s="91">
        <v>60</v>
      </c>
      <c r="D13" s="92"/>
      <c r="E13" s="95">
        <v>0</v>
      </c>
      <c r="F13" s="72"/>
      <c r="G13" s="72"/>
      <c r="I13" s="10">
        <f>589.05*3.05</f>
        <v>1796.6024999999997</v>
      </c>
      <c r="J13" s="10" t="s">
        <v>1088</v>
      </c>
    </row>
    <row r="14" spans="2:13">
      <c r="B14" s="99" t="s">
        <v>1263</v>
      </c>
      <c r="C14" s="96">
        <v>-45.15</v>
      </c>
      <c r="D14" s="97"/>
      <c r="E14" s="63">
        <v>0</v>
      </c>
      <c r="F14" s="64"/>
      <c r="G14" s="64" t="s">
        <v>58</v>
      </c>
      <c r="I14" s="10">
        <v>11409.51</v>
      </c>
      <c r="J14" s="10" t="s">
        <v>1127</v>
      </c>
    </row>
    <row r="15" spans="2:13">
      <c r="B15" s="99" t="s">
        <v>1098</v>
      </c>
      <c r="C15" s="96">
        <v>-75.599999999999994</v>
      </c>
      <c r="D15" s="97"/>
      <c r="E15" s="63">
        <v>0</v>
      </c>
      <c r="F15" s="64"/>
      <c r="G15" s="64" t="s">
        <v>58</v>
      </c>
      <c r="I15" s="10">
        <f>1000*12.95</f>
        <v>12950</v>
      </c>
      <c r="J15" s="10" t="s">
        <v>1133</v>
      </c>
    </row>
    <row r="16" spans="2:13">
      <c r="B16" s="99" t="s">
        <v>65</v>
      </c>
      <c r="C16" s="96">
        <v>-600</v>
      </c>
      <c r="D16" s="97"/>
      <c r="E16" s="63">
        <v>0</v>
      </c>
      <c r="F16" s="64"/>
      <c r="G16" s="64" t="s">
        <v>58</v>
      </c>
      <c r="I16" s="10">
        <v>0</v>
      </c>
      <c r="J16" s="10" t="s">
        <v>1211</v>
      </c>
    </row>
    <row r="17" spans="2:10">
      <c r="B17" s="99" t="s">
        <v>1069</v>
      </c>
      <c r="C17" s="96">
        <v>-802.75</v>
      </c>
      <c r="D17" s="97"/>
      <c r="E17" s="63">
        <v>0</v>
      </c>
      <c r="F17" s="64"/>
      <c r="G17" s="64" t="s">
        <v>58</v>
      </c>
      <c r="I17" s="10">
        <v>10594.02</v>
      </c>
      <c r="J17" s="10" t="s">
        <v>1210</v>
      </c>
    </row>
    <row r="18" spans="2:10">
      <c r="B18" s="99" t="s">
        <v>1242</v>
      </c>
      <c r="C18" s="96">
        <v>-580</v>
      </c>
      <c r="D18" s="97"/>
      <c r="E18" s="63">
        <v>0</v>
      </c>
      <c r="F18" s="64"/>
      <c r="G18" s="64" t="s">
        <v>58</v>
      </c>
      <c r="H18" s="143"/>
      <c r="I18" s="10">
        <v>0</v>
      </c>
      <c r="J18" s="10" t="s">
        <v>752</v>
      </c>
    </row>
    <row r="19" spans="2:10">
      <c r="B19" s="99" t="s">
        <v>1266</v>
      </c>
      <c r="C19" s="96">
        <v>-1150</v>
      </c>
      <c r="D19" s="97"/>
      <c r="E19" s="63">
        <v>0</v>
      </c>
      <c r="F19" s="64"/>
      <c r="G19" s="64" t="s">
        <v>58</v>
      </c>
      <c r="I19" s="10">
        <v>0</v>
      </c>
      <c r="J19" s="10" t="s">
        <v>1265</v>
      </c>
    </row>
    <row r="20" spans="2:10">
      <c r="B20" s="99" t="s">
        <v>103</v>
      </c>
      <c r="C20" s="96">
        <v>-2918.17</v>
      </c>
      <c r="D20" s="97"/>
      <c r="E20" s="63">
        <v>0</v>
      </c>
      <c r="F20" s="64"/>
      <c r="G20" s="64" t="s">
        <v>58</v>
      </c>
      <c r="I20" s="10">
        <v>94.03</v>
      </c>
      <c r="J20" s="10" t="s">
        <v>1165</v>
      </c>
    </row>
    <row r="21" spans="2:10">
      <c r="B21" s="99" t="s">
        <v>1032</v>
      </c>
      <c r="C21" s="96">
        <v>0</v>
      </c>
      <c r="D21" s="97"/>
      <c r="E21" s="63">
        <v>0</v>
      </c>
      <c r="F21" s="64"/>
      <c r="G21" s="64" t="s">
        <v>58</v>
      </c>
      <c r="I21" s="144">
        <f>SUM(I8:I20)</f>
        <v>38192.255223525994</v>
      </c>
      <c r="J21" s="144" t="s">
        <v>1031</v>
      </c>
    </row>
    <row r="22" spans="2:10">
      <c r="B22" s="99" t="s">
        <v>1253</v>
      </c>
      <c r="C22" s="96">
        <v>-78.430000000000007</v>
      </c>
      <c r="D22" s="97"/>
      <c r="E22" s="63">
        <v>0</v>
      </c>
      <c r="F22" s="64"/>
      <c r="G22" s="64" t="s">
        <v>58</v>
      </c>
    </row>
    <row r="23" spans="2:10">
      <c r="B23" s="99" t="s">
        <v>1275</v>
      </c>
      <c r="C23" s="96">
        <v>-68</v>
      </c>
      <c r="D23" s="97"/>
      <c r="E23" s="63">
        <v>0</v>
      </c>
      <c r="F23" s="64"/>
      <c r="G23" s="64" t="s">
        <v>58</v>
      </c>
    </row>
    <row r="24" spans="2:10" ht="18">
      <c r="B24" s="99" t="s">
        <v>1245</v>
      </c>
      <c r="C24" s="96">
        <v>-80.8</v>
      </c>
      <c r="D24" s="92"/>
      <c r="E24" s="63">
        <v>0</v>
      </c>
      <c r="F24" s="64"/>
      <c r="G24" s="64" t="s">
        <v>58</v>
      </c>
      <c r="I24" s="211"/>
    </row>
    <row r="25" spans="2:10">
      <c r="B25" s="99" t="s">
        <v>125</v>
      </c>
      <c r="C25" s="96">
        <v>-3500</v>
      </c>
      <c r="D25" s="92"/>
      <c r="E25" s="63">
        <v>0</v>
      </c>
      <c r="F25" s="64"/>
      <c r="G25" s="64" t="s">
        <v>58</v>
      </c>
    </row>
    <row r="26" spans="2:10">
      <c r="B26" s="99" t="s">
        <v>73</v>
      </c>
      <c r="C26" s="96">
        <v>-380.91</v>
      </c>
      <c r="D26" s="97"/>
      <c r="E26" s="63">
        <v>0</v>
      </c>
      <c r="F26" s="64"/>
      <c r="G26" s="64" t="s">
        <v>58</v>
      </c>
    </row>
    <row r="27" spans="2:10">
      <c r="B27" s="99" t="s">
        <v>41</v>
      </c>
      <c r="C27" s="96">
        <v>-92.48</v>
      </c>
      <c r="D27" s="97"/>
      <c r="E27" s="190">
        <f>C27</f>
        <v>-92.48</v>
      </c>
      <c r="F27" s="191"/>
      <c r="G27" s="191"/>
    </row>
    <row r="28" spans="2:10">
      <c r="B28" s="99" t="s">
        <v>707</v>
      </c>
      <c r="C28" s="96">
        <v>0</v>
      </c>
      <c r="D28" s="97"/>
      <c r="E28" s="63">
        <v>0</v>
      </c>
      <c r="F28" s="64"/>
      <c r="G28" s="64" t="s">
        <v>58</v>
      </c>
    </row>
    <row r="29" spans="2:10">
      <c r="B29" s="99" t="s">
        <v>1268</v>
      </c>
      <c r="C29" s="96">
        <v>-50</v>
      </c>
      <c r="D29" s="97"/>
      <c r="E29" s="63">
        <v>0</v>
      </c>
      <c r="F29" s="64"/>
      <c r="G29" s="64" t="s">
        <v>58</v>
      </c>
    </row>
    <row r="30" spans="2:10">
      <c r="B30" s="99" t="s">
        <v>586</v>
      </c>
      <c r="C30" s="96">
        <v>-181.43</v>
      </c>
      <c r="D30" s="97"/>
      <c r="E30" s="63">
        <v>0</v>
      </c>
      <c r="F30" s="64"/>
      <c r="G30" s="64" t="s">
        <v>58</v>
      </c>
    </row>
    <row r="31" spans="2:10">
      <c r="B31" s="99" t="s">
        <v>1249</v>
      </c>
      <c r="C31" s="96">
        <v>-638.53</v>
      </c>
      <c r="D31" s="97"/>
      <c r="E31" s="63">
        <v>0</v>
      </c>
      <c r="F31" s="64"/>
      <c r="G31" s="64" t="s">
        <v>58</v>
      </c>
    </row>
    <row r="32" spans="2:10" ht="18">
      <c r="B32" s="99" t="s">
        <v>686</v>
      </c>
      <c r="C32" s="96">
        <v>-546.41999999999996</v>
      </c>
      <c r="D32" s="97"/>
      <c r="E32" s="63">
        <v>0</v>
      </c>
      <c r="F32" s="64"/>
      <c r="G32" s="64" t="s">
        <v>58</v>
      </c>
      <c r="H32" s="211"/>
    </row>
    <row r="33" spans="2:13">
      <c r="B33" s="99" t="s">
        <v>1269</v>
      </c>
      <c r="C33" s="96">
        <f>(4600/-4)</f>
        <v>-1150</v>
      </c>
      <c r="D33" s="97"/>
      <c r="E33" s="63">
        <v>0</v>
      </c>
      <c r="F33" s="64"/>
      <c r="G33" s="64" t="s">
        <v>58</v>
      </c>
    </row>
    <row r="34" spans="2:13">
      <c r="B34" s="99" t="s">
        <v>621</v>
      </c>
      <c r="C34" s="96">
        <f>-821.97</f>
        <v>-821.97</v>
      </c>
      <c r="D34" s="97"/>
      <c r="E34" s="63">
        <v>0</v>
      </c>
      <c r="F34" s="64"/>
      <c r="G34" s="64" t="s">
        <v>58</v>
      </c>
    </row>
    <row r="35" spans="2:13" ht="18">
      <c r="B35" s="74" t="s">
        <v>45</v>
      </c>
      <c r="C35" s="188"/>
      <c r="D35" s="98"/>
      <c r="E35" s="129">
        <f>SUM(E3:E34)</f>
        <v>-1983.89</v>
      </c>
      <c r="F35" s="75"/>
      <c r="G35" s="75"/>
    </row>
    <row r="38" spans="2:13" ht="18">
      <c r="G38" s="211"/>
      <c r="M38" t="s">
        <v>1022</v>
      </c>
    </row>
    <row r="39" spans="2:13">
      <c r="E39" s="199"/>
    </row>
  </sheetData>
  <mergeCells count="1">
    <mergeCell ref="L2:M2"/>
  </mergeCells>
  <conditionalFormatting sqref="E27">
    <cfRule type="cellIs" dxfId="417" priority="50" stopIfTrue="1" operator="greaterThan">
      <formula>0</formula>
    </cfRule>
  </conditionalFormatting>
  <conditionalFormatting sqref="E21">
    <cfRule type="cellIs" dxfId="416" priority="26" stopIfTrue="1" operator="greaterThan">
      <formula>0</formula>
    </cfRule>
  </conditionalFormatting>
  <conditionalFormatting sqref="E28">
    <cfRule type="cellIs" dxfId="415" priority="25" stopIfTrue="1" operator="greaterThan">
      <formula>0</formula>
    </cfRule>
  </conditionalFormatting>
  <conditionalFormatting sqref="E17">
    <cfRule type="cellIs" dxfId="414" priority="24" stopIfTrue="1" operator="greaterThan">
      <formula>0</formula>
    </cfRule>
  </conditionalFormatting>
  <conditionalFormatting sqref="E18">
    <cfRule type="cellIs" dxfId="413" priority="23" stopIfTrue="1" operator="greaterThan">
      <formula>0</formula>
    </cfRule>
  </conditionalFormatting>
  <conditionalFormatting sqref="E19">
    <cfRule type="cellIs" dxfId="412" priority="22" stopIfTrue="1" operator="greaterThan">
      <formula>0</formula>
    </cfRule>
  </conditionalFormatting>
  <conditionalFormatting sqref="E20">
    <cfRule type="cellIs" dxfId="411" priority="21" stopIfTrue="1" operator="greaterThan">
      <formula>0</formula>
    </cfRule>
  </conditionalFormatting>
  <conditionalFormatting sqref="E30">
    <cfRule type="cellIs" dxfId="410" priority="20" stopIfTrue="1" operator="greaterThan">
      <formula>0</formula>
    </cfRule>
  </conditionalFormatting>
  <conditionalFormatting sqref="E31">
    <cfRule type="cellIs" dxfId="409" priority="19" stopIfTrue="1" operator="greaterThan">
      <formula>0</formula>
    </cfRule>
  </conditionalFormatting>
  <conditionalFormatting sqref="E16">
    <cfRule type="cellIs" dxfId="408" priority="18" stopIfTrue="1" operator="greaterThan">
      <formula>0</formula>
    </cfRule>
  </conditionalFormatting>
  <conditionalFormatting sqref="E14">
    <cfRule type="cellIs" dxfId="407" priority="17" stopIfTrue="1" operator="greaterThan">
      <formula>0</formula>
    </cfRule>
  </conditionalFormatting>
  <conditionalFormatting sqref="E15">
    <cfRule type="cellIs" dxfId="406" priority="16" stopIfTrue="1" operator="greaterThan">
      <formula>0</formula>
    </cfRule>
  </conditionalFormatting>
  <conditionalFormatting sqref="E23">
    <cfRule type="cellIs" dxfId="405" priority="15" stopIfTrue="1" operator="greaterThan">
      <formula>0</formula>
    </cfRule>
  </conditionalFormatting>
  <conditionalFormatting sqref="E32">
    <cfRule type="cellIs" dxfId="404" priority="14" stopIfTrue="1" operator="greaterThan">
      <formula>0</formula>
    </cfRule>
  </conditionalFormatting>
  <conditionalFormatting sqref="E22">
    <cfRule type="cellIs" dxfId="403" priority="13" stopIfTrue="1" operator="greaterThan">
      <formula>0</formula>
    </cfRule>
  </conditionalFormatting>
  <conditionalFormatting sqref="E34">
    <cfRule type="cellIs" dxfId="402" priority="6" stopIfTrue="1" operator="greaterThan">
      <formula>0</formula>
    </cfRule>
  </conditionalFormatting>
  <conditionalFormatting sqref="E26">
    <cfRule type="cellIs" dxfId="401" priority="5" stopIfTrue="1" operator="greaterThan">
      <formula>0</formula>
    </cfRule>
  </conditionalFormatting>
  <conditionalFormatting sqref="E25">
    <cfRule type="cellIs" dxfId="400" priority="4" stopIfTrue="1" operator="greaterThan">
      <formula>0</formula>
    </cfRule>
  </conditionalFormatting>
  <conditionalFormatting sqref="E33">
    <cfRule type="cellIs" dxfId="399" priority="3" stopIfTrue="1" operator="greaterThan">
      <formula>0</formula>
    </cfRule>
  </conditionalFormatting>
  <conditionalFormatting sqref="E24">
    <cfRule type="cellIs" dxfId="398" priority="2" stopIfTrue="1" operator="greaterThan">
      <formula>0</formula>
    </cfRule>
  </conditionalFormatting>
  <conditionalFormatting sqref="E29">
    <cfRule type="cellIs" dxfId="397" priority="1" stopIfTrue="1" operator="greaterThan">
      <formula>0</formula>
    </cfRule>
  </conditionalFormatting>
  <pageMargins left="0.511811024" right="0.511811024" top="0.78740157499999996" bottom="0.78740157499999996" header="0.31496062000000002" footer="0.31496062000000002"/>
</worksheet>
</file>

<file path=xl/worksheets/sheet113.xml><?xml version="1.0" encoding="utf-8"?>
<worksheet xmlns="http://schemas.openxmlformats.org/spreadsheetml/2006/main" xmlns:r="http://schemas.openxmlformats.org/officeDocument/2006/relationships">
  <sheetPr>
    <pageSetUpPr autoPageBreaks="0"/>
  </sheetPr>
  <dimension ref="B1:M47"/>
  <sheetViews>
    <sheetView zoomScale="65" zoomScaleNormal="65" zoomScalePageLayoutView="65" workbookViewId="0">
      <selection activeCell="E31" sqref="E31:G31"/>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4" bestFit="1" customWidth="1"/>
  </cols>
  <sheetData>
    <row r="1" spans="2:13">
      <c r="E1" s="106"/>
    </row>
    <row r="2" spans="2:13" ht="18">
      <c r="B2" s="220" t="s">
        <v>135</v>
      </c>
      <c r="C2" s="220" t="s">
        <v>136</v>
      </c>
      <c r="D2" s="90"/>
      <c r="E2" s="220" t="s">
        <v>0</v>
      </c>
      <c r="F2" s="82" t="s">
        <v>1</v>
      </c>
      <c r="G2" s="82" t="s">
        <v>57</v>
      </c>
      <c r="I2" s="221" t="s">
        <v>913</v>
      </c>
      <c r="J2" s="221" t="s">
        <v>408</v>
      </c>
      <c r="L2" s="587" t="s">
        <v>1213</v>
      </c>
      <c r="M2" s="587"/>
    </row>
    <row r="3" spans="2:13">
      <c r="B3" s="71" t="s">
        <v>56</v>
      </c>
      <c r="C3" s="191"/>
      <c r="D3" s="92"/>
      <c r="E3" s="95">
        <v>0</v>
      </c>
      <c r="F3" s="72"/>
      <c r="G3" s="72"/>
      <c r="I3" s="10">
        <v>2850</v>
      </c>
      <c r="J3" s="10" t="s">
        <v>914</v>
      </c>
      <c r="L3" s="144">
        <v>0</v>
      </c>
      <c r="M3" s="144" t="s">
        <v>1215</v>
      </c>
    </row>
    <row r="4" spans="2:13" ht="12" customHeight="1">
      <c r="B4" s="71" t="s">
        <v>48</v>
      </c>
      <c r="C4" s="191"/>
      <c r="D4" s="92"/>
      <c r="E4" s="95">
        <v>-1383.51</v>
      </c>
      <c r="F4" s="72"/>
      <c r="G4" s="72"/>
      <c r="I4" s="10">
        <v>0</v>
      </c>
      <c r="J4" s="10" t="s">
        <v>915</v>
      </c>
      <c r="L4" s="144">
        <v>0</v>
      </c>
      <c r="M4" s="144"/>
    </row>
    <row r="5" spans="2:13" ht="12" customHeight="1">
      <c r="B5" s="71" t="s">
        <v>5</v>
      </c>
      <c r="C5" s="91">
        <v>13000.32</v>
      </c>
      <c r="D5" s="92"/>
      <c r="E5" s="95">
        <v>0</v>
      </c>
      <c r="F5" s="72"/>
      <c r="G5" s="72"/>
      <c r="I5" s="10">
        <v>0</v>
      </c>
      <c r="J5" s="10" t="s">
        <v>1234</v>
      </c>
      <c r="L5" s="144"/>
      <c r="M5" s="144"/>
    </row>
    <row r="6" spans="2:13">
      <c r="B6" s="71" t="s">
        <v>1259</v>
      </c>
      <c r="C6" s="91">
        <v>250</v>
      </c>
      <c r="D6" s="92"/>
      <c r="E6" s="95">
        <v>0</v>
      </c>
      <c r="F6" s="72"/>
      <c r="G6" s="72"/>
      <c r="L6" s="144"/>
      <c r="M6" s="144"/>
    </row>
    <row r="7" spans="2:13" ht="15.75">
      <c r="B7" s="71" t="s">
        <v>1270</v>
      </c>
      <c r="C7" s="91">
        <v>250</v>
      </c>
      <c r="D7" s="92"/>
      <c r="E7" s="95">
        <v>0</v>
      </c>
      <c r="F7" s="72"/>
      <c r="G7" s="72"/>
      <c r="I7" s="221" t="s">
        <v>1143</v>
      </c>
      <c r="J7" s="221" t="s">
        <v>408</v>
      </c>
      <c r="L7" s="203" t="s">
        <v>1169</v>
      </c>
      <c r="M7" s="204">
        <v>760</v>
      </c>
    </row>
    <row r="8" spans="2:13" ht="15.75">
      <c r="B8" s="71" t="s">
        <v>1272</v>
      </c>
      <c r="C8" s="91">
        <v>401</v>
      </c>
      <c r="D8" s="92"/>
      <c r="E8" s="95">
        <v>0</v>
      </c>
      <c r="F8" s="72"/>
      <c r="G8" s="72"/>
      <c r="I8" s="10"/>
      <c r="J8" s="10"/>
      <c r="L8" s="203" t="s">
        <v>1171</v>
      </c>
      <c r="M8" s="203">
        <f>25349+194</f>
        <v>25543</v>
      </c>
    </row>
    <row r="9" spans="2:13" ht="15.75">
      <c r="B9" s="71" t="s">
        <v>1271</v>
      </c>
      <c r="C9" s="91">
        <v>425</v>
      </c>
      <c r="D9" s="92"/>
      <c r="E9" s="95">
        <v>0</v>
      </c>
      <c r="F9" s="72"/>
      <c r="G9" s="72"/>
      <c r="I9" s="10">
        <v>165.25</v>
      </c>
      <c r="J9" s="10" t="s">
        <v>1276</v>
      </c>
      <c r="L9" s="203" t="s">
        <v>1172</v>
      </c>
      <c r="M9" s="207">
        <v>8.0900000000000005E-6</v>
      </c>
    </row>
    <row r="10" spans="2:13" ht="14.25" customHeight="1">
      <c r="B10" s="71" t="s">
        <v>1273</v>
      </c>
      <c r="C10" s="91">
        <v>232</v>
      </c>
      <c r="D10" s="92"/>
      <c r="E10" s="95">
        <v>0</v>
      </c>
      <c r="F10" s="72"/>
      <c r="G10" s="72"/>
      <c r="I10" s="10">
        <f>681.31*2</f>
        <v>1362.62</v>
      </c>
      <c r="J10" s="10" t="s">
        <v>1277</v>
      </c>
      <c r="L10" s="206" t="s">
        <v>1173</v>
      </c>
      <c r="M10" s="206">
        <f>M8*M9</f>
        <v>0.20664287000000001</v>
      </c>
    </row>
    <row r="11" spans="2:13">
      <c r="B11" s="71" t="s">
        <v>1264</v>
      </c>
      <c r="C11" s="91">
        <v>1806</v>
      </c>
      <c r="D11" s="92"/>
      <c r="E11" s="95">
        <v>0</v>
      </c>
      <c r="F11" s="72"/>
      <c r="G11" s="72"/>
      <c r="I11" s="10">
        <f>M11</f>
        <v>157.0485812</v>
      </c>
      <c r="J11" s="10" t="s">
        <v>1162</v>
      </c>
      <c r="L11" s="206" t="s">
        <v>1174</v>
      </c>
      <c r="M11" s="205">
        <f>M7*M10</f>
        <v>157.0485812</v>
      </c>
    </row>
    <row r="12" spans="2:13">
      <c r="B12" s="71" t="s">
        <v>1274</v>
      </c>
      <c r="C12" s="91">
        <v>75</v>
      </c>
      <c r="D12" s="92"/>
      <c r="E12" s="95">
        <v>55.02</v>
      </c>
      <c r="F12" s="72"/>
      <c r="G12" s="72"/>
      <c r="I12" s="10">
        <f>400*3.07</f>
        <v>1228</v>
      </c>
      <c r="J12" s="10" t="s">
        <v>1239</v>
      </c>
    </row>
    <row r="13" spans="2:13">
      <c r="B13" s="71" t="s">
        <v>1278</v>
      </c>
      <c r="C13" s="91">
        <v>44.3</v>
      </c>
      <c r="D13" s="92"/>
      <c r="E13" s="95">
        <v>0</v>
      </c>
      <c r="F13" s="72"/>
      <c r="G13" s="72"/>
      <c r="I13" s="10">
        <f>561.55*3.07</f>
        <v>1723.9584999999997</v>
      </c>
      <c r="J13" s="10" t="s">
        <v>1088</v>
      </c>
    </row>
    <row r="14" spans="2:13">
      <c r="B14" s="71" t="s">
        <v>1279</v>
      </c>
      <c r="C14" s="91">
        <v>800</v>
      </c>
      <c r="D14" s="92"/>
      <c r="E14" s="95">
        <v>0</v>
      </c>
      <c r="F14" s="72"/>
      <c r="G14" s="72"/>
      <c r="I14" s="10">
        <v>11335.05</v>
      </c>
      <c r="J14" s="10" t="s">
        <v>1127</v>
      </c>
    </row>
    <row r="15" spans="2:13">
      <c r="B15" s="99" t="s">
        <v>1263</v>
      </c>
      <c r="C15" s="96">
        <v>-55.12</v>
      </c>
      <c r="D15" s="97"/>
      <c r="E15" s="63">
        <v>0</v>
      </c>
      <c r="F15" s="64"/>
      <c r="G15" s="64" t="s">
        <v>58</v>
      </c>
      <c r="I15" s="10">
        <f>1000*13.15</f>
        <v>13150</v>
      </c>
      <c r="J15" s="10" t="s">
        <v>1133</v>
      </c>
    </row>
    <row r="16" spans="2:13">
      <c r="B16" s="99" t="s">
        <v>1098</v>
      </c>
      <c r="C16" s="96">
        <v>-47.7</v>
      </c>
      <c r="D16" s="97"/>
      <c r="E16" s="63">
        <v>0</v>
      </c>
      <c r="F16" s="64"/>
      <c r="G16" s="64" t="s">
        <v>58</v>
      </c>
      <c r="I16" s="10">
        <v>0</v>
      </c>
      <c r="J16" s="10" t="s">
        <v>1211</v>
      </c>
    </row>
    <row r="17" spans="2:10">
      <c r="B17" s="99" t="s">
        <v>1280</v>
      </c>
      <c r="C17" s="96">
        <v>-61.24</v>
      </c>
      <c r="D17" s="97"/>
      <c r="E17" s="63">
        <v>0</v>
      </c>
      <c r="F17" s="64"/>
      <c r="G17" s="64" t="s">
        <v>58</v>
      </c>
      <c r="I17" s="10">
        <v>10701.91</v>
      </c>
      <c r="J17" s="10" t="s">
        <v>1210</v>
      </c>
    </row>
    <row r="18" spans="2:10">
      <c r="B18" s="99" t="s">
        <v>65</v>
      </c>
      <c r="C18" s="96">
        <v>-600</v>
      </c>
      <c r="D18" s="97"/>
      <c r="E18" s="63">
        <v>0</v>
      </c>
      <c r="F18" s="64"/>
      <c r="G18" s="64" t="s">
        <v>58</v>
      </c>
      <c r="H18" s="143"/>
      <c r="I18" s="10">
        <v>0</v>
      </c>
      <c r="J18" s="10" t="s">
        <v>752</v>
      </c>
    </row>
    <row r="19" spans="2:10">
      <c r="B19" s="99" t="s">
        <v>1069</v>
      </c>
      <c r="C19" s="96">
        <v>-802.75</v>
      </c>
      <c r="D19" s="97"/>
      <c r="E19" s="63">
        <v>0</v>
      </c>
      <c r="F19" s="64"/>
      <c r="G19" s="64" t="s">
        <v>58</v>
      </c>
      <c r="I19" s="10">
        <v>0</v>
      </c>
      <c r="J19" s="10" t="s">
        <v>1265</v>
      </c>
    </row>
    <row r="20" spans="2:10">
      <c r="B20" s="99" t="s">
        <v>1242</v>
      </c>
      <c r="C20" s="96">
        <v>-580</v>
      </c>
      <c r="D20" s="97"/>
      <c r="E20" s="63">
        <v>0</v>
      </c>
      <c r="F20" s="64"/>
      <c r="G20" s="64" t="s">
        <v>58</v>
      </c>
      <c r="I20" s="10">
        <v>150.13</v>
      </c>
      <c r="J20" s="10" t="s">
        <v>1165</v>
      </c>
    </row>
    <row r="21" spans="2:10">
      <c r="B21" s="99" t="s">
        <v>1266</v>
      </c>
      <c r="C21" s="96">
        <v>-1150</v>
      </c>
      <c r="D21" s="97"/>
      <c r="E21" s="63">
        <v>0</v>
      </c>
      <c r="F21" s="64"/>
      <c r="G21" s="64" t="s">
        <v>58</v>
      </c>
      <c r="I21" s="144">
        <f>SUM(I8:I20)</f>
        <v>39973.967081199997</v>
      </c>
      <c r="J21" s="144" t="s">
        <v>1031</v>
      </c>
    </row>
    <row r="22" spans="2:10">
      <c r="B22" s="99" t="s">
        <v>103</v>
      </c>
      <c r="C22" s="96">
        <v>-1710.38</v>
      </c>
      <c r="D22" s="97"/>
      <c r="E22" s="63">
        <v>0</v>
      </c>
      <c r="F22" s="64"/>
      <c r="G22" s="64" t="s">
        <v>58</v>
      </c>
    </row>
    <row r="23" spans="2:10">
      <c r="B23" s="99" t="s">
        <v>1032</v>
      </c>
      <c r="C23" s="96">
        <v>0</v>
      </c>
      <c r="D23" s="97"/>
      <c r="E23" s="63">
        <v>0</v>
      </c>
      <c r="F23" s="64"/>
      <c r="G23" s="64" t="s">
        <v>58</v>
      </c>
    </row>
    <row r="24" spans="2:10" ht="18">
      <c r="B24" s="99" t="s">
        <v>1253</v>
      </c>
      <c r="C24" s="96">
        <v>0</v>
      </c>
      <c r="D24" s="97"/>
      <c r="E24" s="63">
        <v>0</v>
      </c>
      <c r="F24" s="64"/>
      <c r="G24" s="64" t="s">
        <v>58</v>
      </c>
      <c r="I24" s="211"/>
    </row>
    <row r="25" spans="2:10">
      <c r="B25" s="99" t="s">
        <v>1281</v>
      </c>
      <c r="C25" s="96">
        <v>-189</v>
      </c>
      <c r="D25" s="92"/>
      <c r="E25" s="63">
        <v>0</v>
      </c>
      <c r="F25" s="64"/>
      <c r="G25" s="64" t="s">
        <v>58</v>
      </c>
    </row>
    <row r="26" spans="2:10">
      <c r="B26" s="99" t="s">
        <v>1245</v>
      </c>
      <c r="C26" s="96">
        <v>-80.8</v>
      </c>
      <c r="D26" s="92"/>
      <c r="E26" s="63">
        <v>0</v>
      </c>
      <c r="F26" s="64"/>
      <c r="G26" s="64" t="s">
        <v>58</v>
      </c>
    </row>
    <row r="27" spans="2:10">
      <c r="B27" s="99" t="s">
        <v>1282</v>
      </c>
      <c r="C27" s="96">
        <v>-2056</v>
      </c>
      <c r="D27" s="92"/>
      <c r="E27" s="63">
        <v>0</v>
      </c>
      <c r="F27" s="64"/>
      <c r="G27" s="64" t="s">
        <v>58</v>
      </c>
    </row>
    <row r="28" spans="2:10">
      <c r="B28" s="99" t="s">
        <v>125</v>
      </c>
      <c r="C28" s="96">
        <f>-3600+1806</f>
        <v>-1794</v>
      </c>
      <c r="D28" s="92"/>
      <c r="E28" s="63">
        <v>0</v>
      </c>
      <c r="F28" s="64"/>
      <c r="G28" s="64" t="s">
        <v>58</v>
      </c>
    </row>
    <row r="29" spans="2:10">
      <c r="B29" s="99" t="s">
        <v>73</v>
      </c>
      <c r="C29" s="96">
        <v>-345.05</v>
      </c>
      <c r="D29" s="97"/>
      <c r="E29" s="63">
        <v>0</v>
      </c>
      <c r="F29" s="64"/>
      <c r="G29" s="64" t="s">
        <v>58</v>
      </c>
    </row>
    <row r="30" spans="2:10">
      <c r="B30" s="99" t="s">
        <v>1283</v>
      </c>
      <c r="C30" s="96">
        <v>-92.48</v>
      </c>
      <c r="D30" s="97"/>
      <c r="E30" s="63">
        <v>0</v>
      </c>
      <c r="F30" s="64"/>
      <c r="G30" s="64" t="s">
        <v>58</v>
      </c>
    </row>
    <row r="31" spans="2:10">
      <c r="B31" s="99" t="s">
        <v>1284</v>
      </c>
      <c r="C31" s="96">
        <v>-101.22</v>
      </c>
      <c r="D31" s="97"/>
      <c r="E31" s="190">
        <f>C31</f>
        <v>-101.22</v>
      </c>
      <c r="F31" s="191"/>
      <c r="G31" s="191"/>
    </row>
    <row r="32" spans="2:10" ht="18">
      <c r="B32" s="99" t="s">
        <v>748</v>
      </c>
      <c r="C32" s="96">
        <v>-50</v>
      </c>
      <c r="D32" s="97"/>
      <c r="E32" s="63">
        <v>0</v>
      </c>
      <c r="F32" s="64"/>
      <c r="G32" s="64" t="s">
        <v>58</v>
      </c>
      <c r="H32" s="211"/>
    </row>
    <row r="33" spans="2:13">
      <c r="B33" s="99" t="s">
        <v>1285</v>
      </c>
      <c r="C33" s="96">
        <v>-30</v>
      </c>
      <c r="D33" s="97"/>
      <c r="E33" s="63">
        <v>0</v>
      </c>
      <c r="F33" s="64"/>
      <c r="G33" s="64" t="s">
        <v>58</v>
      </c>
    </row>
    <row r="34" spans="2:13">
      <c r="B34" s="99" t="s">
        <v>707</v>
      </c>
      <c r="C34" s="96">
        <v>-800</v>
      </c>
      <c r="D34" s="97"/>
      <c r="E34" s="63">
        <v>0</v>
      </c>
      <c r="F34" s="64"/>
      <c r="G34" s="64" t="s">
        <v>58</v>
      </c>
    </row>
    <row r="35" spans="2:13">
      <c r="B35" s="99" t="s">
        <v>1268</v>
      </c>
      <c r="C35" s="96">
        <v>-55</v>
      </c>
      <c r="D35" s="97"/>
      <c r="E35" s="63">
        <v>0</v>
      </c>
      <c r="F35" s="64"/>
      <c r="G35" s="64" t="s">
        <v>58</v>
      </c>
    </row>
    <row r="36" spans="2:13">
      <c r="B36" s="99" t="s">
        <v>1286</v>
      </c>
      <c r="C36" s="96">
        <v>-109</v>
      </c>
      <c r="D36" s="97"/>
      <c r="E36" s="63">
        <v>0</v>
      </c>
      <c r="F36" s="64"/>
      <c r="G36" s="64" t="s">
        <v>58</v>
      </c>
    </row>
    <row r="37" spans="2:13">
      <c r="B37" s="99" t="s">
        <v>1249</v>
      </c>
      <c r="C37" s="96">
        <v>-698.88</v>
      </c>
      <c r="D37" s="97"/>
      <c r="E37" s="63">
        <v>0</v>
      </c>
      <c r="F37" s="64"/>
      <c r="G37" s="64" t="s">
        <v>58</v>
      </c>
    </row>
    <row r="38" spans="2:13">
      <c r="B38" s="99" t="s">
        <v>1255</v>
      </c>
      <c r="C38" s="96">
        <v>-120</v>
      </c>
      <c r="D38" s="97"/>
      <c r="E38" s="63">
        <v>0</v>
      </c>
      <c r="F38" s="64"/>
      <c r="G38" s="64" t="s">
        <v>58</v>
      </c>
      <c r="M38" t="s">
        <v>1022</v>
      </c>
    </row>
    <row r="39" spans="2:13">
      <c r="B39" s="99" t="s">
        <v>189</v>
      </c>
      <c r="C39" s="96">
        <v>-800</v>
      </c>
      <c r="D39" s="97"/>
      <c r="E39" s="63">
        <v>0</v>
      </c>
      <c r="F39" s="64"/>
      <c r="G39" s="64" t="s">
        <v>58</v>
      </c>
    </row>
    <row r="40" spans="2:13">
      <c r="B40" s="99" t="s">
        <v>1287</v>
      </c>
      <c r="C40" s="96">
        <v>-100</v>
      </c>
      <c r="D40" s="97"/>
      <c r="E40" s="63">
        <v>0</v>
      </c>
      <c r="F40" s="64"/>
      <c r="G40" s="64" t="s">
        <v>58</v>
      </c>
    </row>
    <row r="41" spans="2:13">
      <c r="B41" s="99" t="s">
        <v>686</v>
      </c>
      <c r="C41" s="96">
        <v>-613.84</v>
      </c>
      <c r="D41" s="97"/>
      <c r="E41" s="63">
        <v>0</v>
      </c>
      <c r="F41" s="64"/>
      <c r="G41" s="64" t="s">
        <v>58</v>
      </c>
    </row>
    <row r="42" spans="2:13">
      <c r="B42" s="99" t="s">
        <v>1269</v>
      </c>
      <c r="C42" s="96">
        <f>(4600/-4)</f>
        <v>-1150</v>
      </c>
      <c r="D42" s="97"/>
      <c r="E42" s="63">
        <v>0</v>
      </c>
      <c r="F42" s="64"/>
      <c r="G42" s="64" t="s">
        <v>58</v>
      </c>
    </row>
    <row r="43" spans="2:13" ht="18">
      <c r="B43" s="74" t="s">
        <v>45</v>
      </c>
      <c r="C43" s="188"/>
      <c r="D43" s="98"/>
      <c r="E43" s="129">
        <f>SUM(E3:E42)</f>
        <v>-1429.71</v>
      </c>
      <c r="F43" s="75"/>
      <c r="G43" s="75"/>
    </row>
    <row r="46" spans="2:13" ht="18">
      <c r="G46" s="211"/>
    </row>
    <row r="47" spans="2:13">
      <c r="E47" s="199"/>
    </row>
  </sheetData>
  <mergeCells count="1">
    <mergeCell ref="L2:M2"/>
  </mergeCells>
  <conditionalFormatting sqref="E31">
    <cfRule type="cellIs" dxfId="396" priority="68" stopIfTrue="1" operator="greaterThan">
      <formula>0</formula>
    </cfRule>
  </conditionalFormatting>
  <conditionalFormatting sqref="E23">
    <cfRule type="cellIs" dxfId="395" priority="43" stopIfTrue="1" operator="greaterThan">
      <formula>0</formula>
    </cfRule>
  </conditionalFormatting>
  <conditionalFormatting sqref="E17">
    <cfRule type="cellIs" dxfId="394" priority="32" stopIfTrue="1" operator="greaterThan">
      <formula>0</formula>
    </cfRule>
  </conditionalFormatting>
  <conditionalFormatting sqref="E38">
    <cfRule type="cellIs" dxfId="393" priority="31" stopIfTrue="1" operator="greaterThan">
      <formula>0</formula>
    </cfRule>
  </conditionalFormatting>
  <conditionalFormatting sqref="E40">
    <cfRule type="cellIs" dxfId="392" priority="30" stopIfTrue="1" operator="greaterThan">
      <formula>0</formula>
    </cfRule>
  </conditionalFormatting>
  <conditionalFormatting sqref="E21">
    <cfRule type="cellIs" dxfId="391" priority="29" stopIfTrue="1" operator="greaterThan">
      <formula>0</formula>
    </cfRule>
  </conditionalFormatting>
  <conditionalFormatting sqref="E22">
    <cfRule type="cellIs" dxfId="390" priority="28" stopIfTrue="1" operator="greaterThan">
      <formula>0</formula>
    </cfRule>
  </conditionalFormatting>
  <conditionalFormatting sqref="E30">
    <cfRule type="cellIs" dxfId="389" priority="27" stopIfTrue="1" operator="greaterThan">
      <formula>0</formula>
    </cfRule>
  </conditionalFormatting>
  <conditionalFormatting sqref="E24">
    <cfRule type="cellIs" dxfId="388" priority="26" stopIfTrue="1" operator="greaterThan">
      <formula>0</formula>
    </cfRule>
  </conditionalFormatting>
  <conditionalFormatting sqref="E19">
    <cfRule type="cellIs" dxfId="387" priority="22" stopIfTrue="1" operator="greaterThan">
      <formula>0</formula>
    </cfRule>
  </conditionalFormatting>
  <conditionalFormatting sqref="E18">
    <cfRule type="cellIs" dxfId="386" priority="21" stopIfTrue="1" operator="greaterThan">
      <formula>0</formula>
    </cfRule>
  </conditionalFormatting>
  <conditionalFormatting sqref="E20">
    <cfRule type="cellIs" dxfId="385" priority="20" stopIfTrue="1" operator="greaterThan">
      <formula>0</formula>
    </cfRule>
  </conditionalFormatting>
  <conditionalFormatting sqref="E34">
    <cfRule type="cellIs" dxfId="384" priority="19" stopIfTrue="1" operator="greaterThan">
      <formula>0</formula>
    </cfRule>
  </conditionalFormatting>
  <conditionalFormatting sqref="E25">
    <cfRule type="cellIs" dxfId="383" priority="18" stopIfTrue="1" operator="greaterThan">
      <formula>0</formula>
    </cfRule>
  </conditionalFormatting>
  <conditionalFormatting sqref="E27">
    <cfRule type="cellIs" dxfId="382" priority="17" stopIfTrue="1" operator="greaterThan">
      <formula>0</formula>
    </cfRule>
  </conditionalFormatting>
  <conditionalFormatting sqref="E16">
    <cfRule type="cellIs" dxfId="381" priority="16" stopIfTrue="1" operator="greaterThan">
      <formula>0</formula>
    </cfRule>
  </conditionalFormatting>
  <conditionalFormatting sqref="E15">
    <cfRule type="cellIs" dxfId="380" priority="15" stopIfTrue="1" operator="greaterThan">
      <formula>0</formula>
    </cfRule>
  </conditionalFormatting>
  <conditionalFormatting sqref="E41">
    <cfRule type="cellIs" dxfId="379" priority="14" stopIfTrue="1" operator="greaterThan">
      <formula>0</formula>
    </cfRule>
  </conditionalFormatting>
  <conditionalFormatting sqref="E32">
    <cfRule type="cellIs" dxfId="378" priority="13" stopIfTrue="1" operator="greaterThan">
      <formula>0</formula>
    </cfRule>
  </conditionalFormatting>
  <conditionalFormatting sqref="E36">
    <cfRule type="cellIs" dxfId="377" priority="12" stopIfTrue="1" operator="greaterThan">
      <formula>0</formula>
    </cfRule>
  </conditionalFormatting>
  <conditionalFormatting sqref="E37">
    <cfRule type="cellIs" dxfId="376" priority="11" stopIfTrue="1" operator="greaterThan">
      <formula>0</formula>
    </cfRule>
  </conditionalFormatting>
  <conditionalFormatting sqref="E29">
    <cfRule type="cellIs" dxfId="375" priority="10" stopIfTrue="1" operator="greaterThan">
      <formula>0</formula>
    </cfRule>
  </conditionalFormatting>
  <conditionalFormatting sqref="E39">
    <cfRule type="cellIs" dxfId="374" priority="6" stopIfTrue="1" operator="greaterThan">
      <formula>0</formula>
    </cfRule>
  </conditionalFormatting>
  <conditionalFormatting sqref="E35">
    <cfRule type="cellIs" dxfId="373" priority="5" stopIfTrue="1" operator="greaterThan">
      <formula>0</formula>
    </cfRule>
  </conditionalFormatting>
  <conditionalFormatting sqref="E28">
    <cfRule type="cellIs" dxfId="372" priority="4" stopIfTrue="1" operator="greaterThan">
      <formula>0</formula>
    </cfRule>
  </conditionalFormatting>
  <conditionalFormatting sqref="E42">
    <cfRule type="cellIs" dxfId="371" priority="3" stopIfTrue="1" operator="greaterThan">
      <formula>0</formula>
    </cfRule>
  </conditionalFormatting>
  <conditionalFormatting sqref="E26">
    <cfRule type="cellIs" dxfId="370" priority="2" stopIfTrue="1" operator="greaterThan">
      <formula>0</formula>
    </cfRule>
  </conditionalFormatting>
  <conditionalFormatting sqref="E33">
    <cfRule type="cellIs" dxfId="369" priority="1" stopIfTrue="1" operator="greaterThan">
      <formula>0</formula>
    </cfRule>
  </conditionalFormatting>
  <pageMargins left="0.511811024" right="0.511811024" top="0.78740157499999996" bottom="0.78740157499999996" header="0.31496062000000002" footer="0.31496062000000002"/>
</worksheet>
</file>

<file path=xl/worksheets/sheet114.xml><?xml version="1.0" encoding="utf-8"?>
<worksheet xmlns="http://schemas.openxmlformats.org/spreadsheetml/2006/main" xmlns:r="http://schemas.openxmlformats.org/officeDocument/2006/relationships">
  <sheetPr>
    <pageSetUpPr autoPageBreaks="0"/>
  </sheetPr>
  <dimension ref="B1:O37"/>
  <sheetViews>
    <sheetView zoomScale="75" zoomScaleNormal="75" zoomScalePageLayoutView="75" workbookViewId="0">
      <selection activeCell="I27" sqref="I27"/>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 min="14" max="14" width="17.28515625" bestFit="1" customWidth="1"/>
  </cols>
  <sheetData>
    <row r="1" spans="2:15">
      <c r="E1" s="106"/>
    </row>
    <row r="2" spans="2:15" ht="18">
      <c r="B2" s="220" t="s">
        <v>135</v>
      </c>
      <c r="C2" s="220" t="s">
        <v>136</v>
      </c>
      <c r="D2" s="90"/>
      <c r="E2" s="220" t="s">
        <v>0</v>
      </c>
      <c r="F2" s="82" t="s">
        <v>1</v>
      </c>
      <c r="G2" s="82" t="s">
        <v>57</v>
      </c>
      <c r="I2" s="221" t="s">
        <v>913</v>
      </c>
      <c r="J2" s="221" t="s">
        <v>408</v>
      </c>
      <c r="L2" s="203" t="s">
        <v>1169</v>
      </c>
      <c r="M2" s="204">
        <v>783.86</v>
      </c>
      <c r="N2" s="587" t="s">
        <v>1213</v>
      </c>
      <c r="O2" s="587"/>
    </row>
    <row r="3" spans="2:15" ht="15.75">
      <c r="B3" s="71" t="s">
        <v>56</v>
      </c>
      <c r="C3" s="191"/>
      <c r="D3" s="92"/>
      <c r="E3" s="95">
        <v>0</v>
      </c>
      <c r="F3" s="72"/>
      <c r="G3" s="72"/>
      <c r="I3" s="10">
        <v>3544.19</v>
      </c>
      <c r="J3" s="10" t="s">
        <v>914</v>
      </c>
      <c r="L3" s="203" t="s">
        <v>1171</v>
      </c>
      <c r="M3" s="203">
        <f>35143+699</f>
        <v>35842</v>
      </c>
      <c r="N3" s="144">
        <v>16399</v>
      </c>
      <c r="O3" s="144" t="s">
        <v>1215</v>
      </c>
    </row>
    <row r="4" spans="2:15" ht="18" customHeight="1">
      <c r="B4" s="71" t="s">
        <v>48</v>
      </c>
      <c r="C4" s="191"/>
      <c r="D4" s="92"/>
      <c r="E4" s="95">
        <v>-1237.52</v>
      </c>
      <c r="F4" s="72"/>
      <c r="G4" s="72"/>
      <c r="I4" s="10">
        <v>0</v>
      </c>
      <c r="J4" s="10" t="s">
        <v>915</v>
      </c>
      <c r="L4" s="203" t="s">
        <v>1172</v>
      </c>
      <c r="M4" s="207">
        <v>9.2E-6</v>
      </c>
      <c r="N4" s="144">
        <v>1092.5</v>
      </c>
      <c r="O4" s="144" t="s">
        <v>1288</v>
      </c>
    </row>
    <row r="5" spans="2:15" ht="17.25" customHeight="1">
      <c r="B5" s="71" t="s">
        <v>5</v>
      </c>
      <c r="C5" s="91">
        <v>13490.32</v>
      </c>
      <c r="D5" s="92"/>
      <c r="E5" s="95">
        <v>0</v>
      </c>
      <c r="F5" s="72"/>
      <c r="G5" s="72"/>
      <c r="I5" s="10">
        <v>0</v>
      </c>
      <c r="J5" s="10" t="s">
        <v>1234</v>
      </c>
      <c r="L5" s="206" t="s">
        <v>1173</v>
      </c>
      <c r="M5" s="206">
        <f>M3*M4</f>
        <v>0.3297464</v>
      </c>
      <c r="N5" s="144">
        <v>712.5</v>
      </c>
      <c r="O5" s="144" t="s">
        <v>1289</v>
      </c>
    </row>
    <row r="6" spans="2:15">
      <c r="B6" s="71" t="s">
        <v>1273</v>
      </c>
      <c r="C6" s="91">
        <v>215</v>
      </c>
      <c r="D6" s="92"/>
      <c r="E6" s="95">
        <v>0</v>
      </c>
      <c r="F6" s="72"/>
      <c r="G6" s="72"/>
      <c r="L6" s="206" t="s">
        <v>1174</v>
      </c>
      <c r="M6" s="205">
        <f>M2*M5</f>
        <v>258.47501310400003</v>
      </c>
      <c r="N6" s="144">
        <v>600</v>
      </c>
      <c r="O6" s="144" t="s">
        <v>1290</v>
      </c>
    </row>
    <row r="7" spans="2:15" ht="15.75">
      <c r="B7" s="71" t="s">
        <v>1274</v>
      </c>
      <c r="C7" s="91">
        <v>55.02</v>
      </c>
      <c r="D7" s="92"/>
      <c r="E7" s="95">
        <v>0</v>
      </c>
      <c r="F7" s="72"/>
      <c r="G7" s="72"/>
      <c r="I7" s="221" t="s">
        <v>1143</v>
      </c>
      <c r="J7" s="221" t="s">
        <v>408</v>
      </c>
      <c r="N7" s="213">
        <v>-60</v>
      </c>
    </row>
    <row r="8" spans="2:15">
      <c r="B8" s="71" t="s">
        <v>1278</v>
      </c>
      <c r="C8" s="91">
        <v>43.37</v>
      </c>
      <c r="D8" s="92"/>
      <c r="E8" s="95">
        <v>0</v>
      </c>
      <c r="F8" s="72"/>
      <c r="G8" s="72"/>
      <c r="I8" s="10"/>
      <c r="J8" s="10"/>
      <c r="N8" s="214">
        <v>-285</v>
      </c>
    </row>
    <row r="9" spans="2:15">
      <c r="B9" s="71" t="s">
        <v>1291</v>
      </c>
      <c r="C9" s="91">
        <v>118</v>
      </c>
      <c r="D9" s="92"/>
      <c r="E9" s="95">
        <v>0</v>
      </c>
      <c r="F9" s="72"/>
      <c r="G9" s="72"/>
      <c r="I9" s="10">
        <v>165.71</v>
      </c>
      <c r="J9" s="10" t="s">
        <v>1276</v>
      </c>
      <c r="N9" s="214">
        <v>0</v>
      </c>
    </row>
    <row r="10" spans="2:15" ht="14.25" customHeight="1">
      <c r="B10" s="71" t="s">
        <v>1292</v>
      </c>
      <c r="C10" s="91">
        <v>29</v>
      </c>
      <c r="D10" s="92"/>
      <c r="E10" s="95">
        <v>0</v>
      </c>
      <c r="F10" s="72"/>
      <c r="G10" s="72"/>
      <c r="I10" s="10">
        <f>688.51*2</f>
        <v>1377.02</v>
      </c>
      <c r="J10" s="10" t="s">
        <v>1277</v>
      </c>
      <c r="N10" s="214">
        <v>-45</v>
      </c>
    </row>
    <row r="11" spans="2:15">
      <c r="B11" s="99" t="s">
        <v>1263</v>
      </c>
      <c r="C11" s="96">
        <v>-16</v>
      </c>
      <c r="D11" s="97"/>
      <c r="E11" s="63">
        <v>0</v>
      </c>
      <c r="F11" s="64"/>
      <c r="G11" s="64" t="s">
        <v>58</v>
      </c>
      <c r="I11" s="10">
        <f>M6</f>
        <v>258.47501310400003</v>
      </c>
      <c r="J11" s="10" t="s">
        <v>1162</v>
      </c>
      <c r="N11" s="214">
        <v>-75</v>
      </c>
    </row>
    <row r="12" spans="2:15">
      <c r="B12" s="99" t="s">
        <v>1098</v>
      </c>
      <c r="C12" s="96">
        <v>-80</v>
      </c>
      <c r="D12" s="97"/>
      <c r="E12" s="63">
        <v>0</v>
      </c>
      <c r="F12" s="64"/>
      <c r="G12" s="64" t="s">
        <v>58</v>
      </c>
      <c r="I12" s="10">
        <f>400*3.12</f>
        <v>1248</v>
      </c>
      <c r="J12" s="10" t="s">
        <v>1239</v>
      </c>
      <c r="N12" s="214">
        <v>-500</v>
      </c>
    </row>
    <row r="13" spans="2:15">
      <c r="B13" s="99" t="s">
        <v>65</v>
      </c>
      <c r="C13" s="96">
        <v>-600</v>
      </c>
      <c r="D13" s="97"/>
      <c r="E13" s="63">
        <v>0</v>
      </c>
      <c r="F13" s="64"/>
      <c r="G13" s="64" t="s">
        <v>58</v>
      </c>
      <c r="I13" s="10">
        <f>559.05*3.12</f>
        <v>1744.2359999999999</v>
      </c>
      <c r="J13" s="10" t="s">
        <v>1088</v>
      </c>
      <c r="N13" s="214">
        <v>-150</v>
      </c>
    </row>
    <row r="14" spans="2:15">
      <c r="B14" s="99" t="s">
        <v>1069</v>
      </c>
      <c r="C14" s="96">
        <v>-802.75</v>
      </c>
      <c r="D14" s="97"/>
      <c r="E14" s="63">
        <v>0</v>
      </c>
      <c r="F14" s="64"/>
      <c r="G14" s="64" t="s">
        <v>58</v>
      </c>
      <c r="I14" s="10">
        <v>11096.56</v>
      </c>
      <c r="J14" s="10" t="s">
        <v>1127</v>
      </c>
      <c r="N14" s="214">
        <v>-210</v>
      </c>
    </row>
    <row r="15" spans="2:15">
      <c r="B15" s="99" t="s">
        <v>1242</v>
      </c>
      <c r="C15" s="96">
        <v>-580</v>
      </c>
      <c r="D15" s="97"/>
      <c r="E15" s="63">
        <v>0</v>
      </c>
      <c r="F15" s="64"/>
      <c r="G15" s="64" t="s">
        <v>58</v>
      </c>
      <c r="I15" s="10">
        <f>1000*13.15</f>
        <v>13150</v>
      </c>
      <c r="J15" s="10" t="s">
        <v>1133</v>
      </c>
      <c r="N15" s="214">
        <v>-210</v>
      </c>
    </row>
    <row r="16" spans="2:15">
      <c r="B16" s="99" t="s">
        <v>1266</v>
      </c>
      <c r="C16" s="96">
        <v>-1150</v>
      </c>
      <c r="D16" s="97"/>
      <c r="E16" s="63">
        <v>0</v>
      </c>
      <c r="F16" s="64"/>
      <c r="G16" s="64" t="s">
        <v>58</v>
      </c>
      <c r="I16" s="10">
        <v>0</v>
      </c>
      <c r="J16" s="10" t="s">
        <v>1211</v>
      </c>
      <c r="N16" s="214">
        <v>-1576</v>
      </c>
    </row>
    <row r="17" spans="2:15">
      <c r="B17" s="99" t="s">
        <v>103</v>
      </c>
      <c r="C17" s="96">
        <v>-3200.65</v>
      </c>
      <c r="D17" s="97"/>
      <c r="E17" s="63">
        <v>0</v>
      </c>
      <c r="F17" s="64"/>
      <c r="G17" s="64" t="s">
        <v>58</v>
      </c>
      <c r="I17" s="10">
        <v>10814.42</v>
      </c>
      <c r="J17" s="10" t="s">
        <v>1210</v>
      </c>
      <c r="N17" s="214">
        <v>-340</v>
      </c>
    </row>
    <row r="18" spans="2:15" ht="15.75" thickBot="1">
      <c r="B18" s="99" t="s">
        <v>1293</v>
      </c>
      <c r="C18" s="96">
        <v>-242.25</v>
      </c>
      <c r="D18" s="97"/>
      <c r="E18" s="63">
        <v>0</v>
      </c>
      <c r="F18" s="64"/>
      <c r="G18" s="64" t="s">
        <v>58</v>
      </c>
      <c r="H18" s="143"/>
      <c r="I18" s="10">
        <v>0</v>
      </c>
      <c r="J18" s="10" t="s">
        <v>752</v>
      </c>
      <c r="N18" s="215">
        <f>SUM(N3:N17)</f>
        <v>15353</v>
      </c>
      <c r="O18" s="216" t="s">
        <v>45</v>
      </c>
    </row>
    <row r="19" spans="2:15" ht="13.5" thickTop="1">
      <c r="B19" s="99" t="s">
        <v>1032</v>
      </c>
      <c r="C19" s="96">
        <v>0</v>
      </c>
      <c r="D19" s="97"/>
      <c r="E19" s="63">
        <v>0</v>
      </c>
      <c r="F19" s="64"/>
      <c r="G19" s="64" t="s">
        <v>58</v>
      </c>
      <c r="I19" s="10">
        <v>0</v>
      </c>
      <c r="J19" s="10" t="s">
        <v>1265</v>
      </c>
    </row>
    <row r="20" spans="2:15">
      <c r="B20" s="99" t="s">
        <v>1294</v>
      </c>
      <c r="C20" s="96">
        <v>-52.82</v>
      </c>
      <c r="D20" s="92"/>
      <c r="E20" s="63">
        <v>0</v>
      </c>
      <c r="F20" s="64"/>
      <c r="G20" s="64" t="s">
        <v>58</v>
      </c>
      <c r="I20" s="10">
        <v>75.58</v>
      </c>
      <c r="J20" s="10" t="s">
        <v>1165</v>
      </c>
    </row>
    <row r="21" spans="2:15">
      <c r="B21" s="99" t="s">
        <v>125</v>
      </c>
      <c r="C21" s="96">
        <v>-3400</v>
      </c>
      <c r="D21" s="92"/>
      <c r="E21" s="63">
        <v>0</v>
      </c>
      <c r="F21" s="64"/>
      <c r="G21" s="64" t="s">
        <v>58</v>
      </c>
      <c r="I21" s="144">
        <f>SUM(I8:I20)</f>
        <v>39930.001013104004</v>
      </c>
      <c r="J21" s="144" t="s">
        <v>1031</v>
      </c>
    </row>
    <row r="22" spans="2:15">
      <c r="B22" s="99" t="s">
        <v>73</v>
      </c>
      <c r="C22" s="96">
        <v>-338.91</v>
      </c>
      <c r="D22" s="97"/>
      <c r="E22" s="63">
        <v>0</v>
      </c>
      <c r="F22" s="64"/>
      <c r="G22" s="64" t="s">
        <v>58</v>
      </c>
    </row>
    <row r="23" spans="2:15">
      <c r="B23" s="99" t="s">
        <v>41</v>
      </c>
      <c r="C23" s="96">
        <v>-101.22</v>
      </c>
      <c r="D23" s="97"/>
      <c r="E23" s="63">
        <v>0</v>
      </c>
      <c r="F23" s="64"/>
      <c r="G23" s="64" t="s">
        <v>58</v>
      </c>
    </row>
    <row r="24" spans="2:15" ht="18">
      <c r="B24" s="99" t="s">
        <v>1295</v>
      </c>
      <c r="C24" s="96">
        <v>-271</v>
      </c>
      <c r="D24" s="97"/>
      <c r="E24" s="63">
        <v>0</v>
      </c>
      <c r="F24" s="64"/>
      <c r="G24" s="64" t="s">
        <v>58</v>
      </c>
      <c r="I24" s="211"/>
    </row>
    <row r="25" spans="2:15">
      <c r="B25" s="99" t="s">
        <v>1296</v>
      </c>
      <c r="C25" s="96">
        <v>-22.71</v>
      </c>
      <c r="D25" s="97"/>
      <c r="E25" s="63">
        <v>0</v>
      </c>
      <c r="F25" s="64"/>
      <c r="G25" s="64" t="s">
        <v>58</v>
      </c>
    </row>
    <row r="26" spans="2:15">
      <c r="B26" s="99" t="s">
        <v>748</v>
      </c>
      <c r="C26" s="96">
        <v>-100</v>
      </c>
      <c r="D26" s="97"/>
      <c r="E26" s="63">
        <v>0</v>
      </c>
      <c r="F26" s="64"/>
      <c r="G26" s="64" t="s">
        <v>58</v>
      </c>
    </row>
    <row r="27" spans="2:15">
      <c r="B27" s="99" t="s">
        <v>1297</v>
      </c>
      <c r="C27" s="96">
        <v>-90</v>
      </c>
      <c r="D27" s="97"/>
      <c r="E27" s="63">
        <v>0</v>
      </c>
      <c r="F27" s="64"/>
      <c r="G27" s="64" t="s">
        <v>58</v>
      </c>
    </row>
    <row r="28" spans="2:15">
      <c r="B28" s="99" t="s">
        <v>707</v>
      </c>
      <c r="C28" s="96">
        <v>0</v>
      </c>
      <c r="D28" s="97"/>
      <c r="E28" s="63">
        <v>0</v>
      </c>
      <c r="F28" s="64"/>
      <c r="G28" s="64" t="s">
        <v>58</v>
      </c>
    </row>
    <row r="29" spans="2:15">
      <c r="B29" s="99" t="s">
        <v>1268</v>
      </c>
      <c r="C29" s="96">
        <v>-55</v>
      </c>
      <c r="D29" s="97"/>
      <c r="E29" s="63">
        <v>0</v>
      </c>
      <c r="F29" s="64"/>
      <c r="G29" s="64" t="s">
        <v>58</v>
      </c>
    </row>
    <row r="30" spans="2:15">
      <c r="B30" s="99" t="s">
        <v>1286</v>
      </c>
      <c r="C30" s="96">
        <f>-109-52.82</f>
        <v>-161.82</v>
      </c>
      <c r="D30" s="97"/>
      <c r="E30" s="63">
        <v>0</v>
      </c>
      <c r="F30" s="64"/>
      <c r="G30" s="64" t="s">
        <v>58</v>
      </c>
    </row>
    <row r="31" spans="2:15">
      <c r="B31" s="99" t="s">
        <v>1249</v>
      </c>
      <c r="C31" s="96">
        <v>-698.88</v>
      </c>
      <c r="D31" s="97"/>
      <c r="E31" s="63">
        <v>0</v>
      </c>
      <c r="F31" s="64"/>
      <c r="G31" s="64" t="s">
        <v>58</v>
      </c>
    </row>
    <row r="32" spans="2:15" ht="18">
      <c r="B32" s="99" t="s">
        <v>686</v>
      </c>
      <c r="C32" s="96">
        <v>-656.92</v>
      </c>
      <c r="D32" s="97"/>
      <c r="E32" s="63">
        <v>0</v>
      </c>
      <c r="F32" s="64"/>
      <c r="G32" s="64" t="s">
        <v>58</v>
      </c>
      <c r="H32" s="211"/>
    </row>
    <row r="33" spans="2:13" ht="18">
      <c r="B33" s="74" t="s">
        <v>45</v>
      </c>
      <c r="C33" s="188"/>
      <c r="D33" s="98"/>
      <c r="E33" s="129">
        <f>SUM(E3:E32)</f>
        <v>-1237.52</v>
      </c>
      <c r="F33" s="75"/>
      <c r="G33" s="75"/>
      <c r="M33" t="s">
        <v>1022</v>
      </c>
    </row>
    <row r="36" spans="2:13" ht="18">
      <c r="G36" s="211"/>
    </row>
    <row r="37" spans="2:13">
      <c r="E37" s="199"/>
    </row>
  </sheetData>
  <mergeCells count="1">
    <mergeCell ref="N2:O2"/>
  </mergeCells>
  <conditionalFormatting sqref="E19">
    <cfRule type="cellIs" dxfId="368" priority="38" stopIfTrue="1" operator="greaterThan">
      <formula>0</formula>
    </cfRule>
  </conditionalFormatting>
  <conditionalFormatting sqref="E20">
    <cfRule type="cellIs" dxfId="367" priority="35" stopIfTrue="1" operator="greaterThan">
      <formula>0</formula>
    </cfRule>
  </conditionalFormatting>
  <conditionalFormatting sqref="E15">
    <cfRule type="cellIs" dxfId="366" priority="34" stopIfTrue="1" operator="greaterThan">
      <formula>0</formula>
    </cfRule>
  </conditionalFormatting>
  <conditionalFormatting sqref="E16">
    <cfRule type="cellIs" dxfId="365" priority="33" stopIfTrue="1" operator="greaterThan">
      <formula>0</formula>
    </cfRule>
  </conditionalFormatting>
  <conditionalFormatting sqref="E14">
    <cfRule type="cellIs" dxfId="364" priority="32" stopIfTrue="1" operator="greaterThan">
      <formula>0</formula>
    </cfRule>
  </conditionalFormatting>
  <conditionalFormatting sqref="E32">
    <cfRule type="cellIs" dxfId="363" priority="31" stopIfTrue="1" operator="greaterThan">
      <formula>0</formula>
    </cfRule>
  </conditionalFormatting>
  <conditionalFormatting sqref="E26">
    <cfRule type="cellIs" dxfId="362" priority="30" stopIfTrue="1" operator="greaterThan">
      <formula>0</formula>
    </cfRule>
  </conditionalFormatting>
  <conditionalFormatting sqref="E28">
    <cfRule type="cellIs" dxfId="361" priority="28" stopIfTrue="1" operator="greaterThan">
      <formula>0</formula>
    </cfRule>
  </conditionalFormatting>
  <conditionalFormatting sqref="E17">
    <cfRule type="cellIs" dxfId="360" priority="27" stopIfTrue="1" operator="greaterThan">
      <formula>0</formula>
    </cfRule>
  </conditionalFormatting>
  <conditionalFormatting sqref="E23">
    <cfRule type="cellIs" dxfId="359" priority="26" stopIfTrue="1" operator="greaterThan">
      <formula>0</formula>
    </cfRule>
  </conditionalFormatting>
  <conditionalFormatting sqref="E31">
    <cfRule type="cellIs" dxfId="358" priority="25" stopIfTrue="1" operator="greaterThan">
      <formula>0</formula>
    </cfRule>
  </conditionalFormatting>
  <conditionalFormatting sqref="E13">
    <cfRule type="cellIs" dxfId="357" priority="24" stopIfTrue="1" operator="greaterThan">
      <formula>0</formula>
    </cfRule>
  </conditionalFormatting>
  <conditionalFormatting sqref="E11">
    <cfRule type="cellIs" dxfId="356" priority="23" stopIfTrue="1" operator="greaterThan">
      <formula>0</formula>
    </cfRule>
  </conditionalFormatting>
  <conditionalFormatting sqref="E12">
    <cfRule type="cellIs" dxfId="355" priority="22" stopIfTrue="1" operator="greaterThan">
      <formula>0</formula>
    </cfRule>
  </conditionalFormatting>
  <conditionalFormatting sqref="E30">
    <cfRule type="cellIs" dxfId="354" priority="21" stopIfTrue="1" operator="greaterThan">
      <formula>0</formula>
    </cfRule>
  </conditionalFormatting>
  <conditionalFormatting sqref="E18">
    <cfRule type="cellIs" dxfId="353" priority="17" stopIfTrue="1" operator="greaterThan">
      <formula>0</formula>
    </cfRule>
  </conditionalFormatting>
  <conditionalFormatting sqref="E22">
    <cfRule type="cellIs" dxfId="352" priority="16" stopIfTrue="1" operator="greaterThan">
      <formula>0</formula>
    </cfRule>
  </conditionalFormatting>
  <conditionalFormatting sqref="E21">
    <cfRule type="cellIs" dxfId="351" priority="12" stopIfTrue="1" operator="greaterThan">
      <formula>0</formula>
    </cfRule>
  </conditionalFormatting>
  <conditionalFormatting sqref="E3:E7">
    <cfRule type="cellIs" dxfId="350" priority="11" stopIfTrue="1" operator="lessThan">
      <formula>0</formula>
    </cfRule>
  </conditionalFormatting>
  <conditionalFormatting sqref="E24">
    <cfRule type="cellIs" dxfId="349" priority="9" stopIfTrue="1" operator="greaterThan">
      <formula>0</formula>
    </cfRule>
  </conditionalFormatting>
  <conditionalFormatting sqref="E29">
    <cfRule type="cellIs" dxfId="348" priority="8" stopIfTrue="1" operator="greaterThan">
      <formula>0</formula>
    </cfRule>
  </conditionalFormatting>
  <conditionalFormatting sqref="E8:E10">
    <cfRule type="cellIs" dxfId="347" priority="5" stopIfTrue="1" operator="lessThan">
      <formula>0</formula>
    </cfRule>
  </conditionalFormatting>
  <conditionalFormatting sqref="E25">
    <cfRule type="cellIs" dxfId="346" priority="2" stopIfTrue="1" operator="greaterThan">
      <formula>0</formula>
    </cfRule>
  </conditionalFormatting>
  <conditionalFormatting sqref="E27">
    <cfRule type="cellIs" dxfId="345" priority="1" stopIfTrue="1" operator="greaterThan">
      <formula>0</formula>
    </cfRule>
  </conditionalFormatting>
  <pageMargins left="0.511811024" right="0.511811024" top="0.78740157499999996" bottom="0.78740157499999996" header="0.31496062000000002" footer="0.31496062000000002"/>
</worksheet>
</file>

<file path=xl/worksheets/sheet115.xml><?xml version="1.0" encoding="utf-8"?>
<worksheet xmlns="http://schemas.openxmlformats.org/spreadsheetml/2006/main" xmlns:r="http://schemas.openxmlformats.org/officeDocument/2006/relationships">
  <sheetPr>
    <pageSetUpPr autoPageBreaks="0"/>
  </sheetPr>
  <dimension ref="B1:M42"/>
  <sheetViews>
    <sheetView zoomScale="75" zoomScaleNormal="75" zoomScalePageLayoutView="75" workbookViewId="0">
      <selection activeCell="C6" sqref="C6"/>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s>
  <sheetData>
    <row r="1" spans="2:13">
      <c r="E1" s="106"/>
    </row>
    <row r="2" spans="2:13" ht="18">
      <c r="B2" s="220" t="s">
        <v>135</v>
      </c>
      <c r="C2" s="220" t="s">
        <v>136</v>
      </c>
      <c r="D2" s="90"/>
      <c r="E2" s="220" t="s">
        <v>0</v>
      </c>
      <c r="F2" s="82" t="s">
        <v>1</v>
      </c>
      <c r="G2" s="82" t="s">
        <v>57</v>
      </c>
      <c r="I2" s="221" t="s">
        <v>913</v>
      </c>
      <c r="J2" s="221" t="s">
        <v>408</v>
      </c>
      <c r="L2" s="203" t="s">
        <v>1169</v>
      </c>
      <c r="M2" s="204">
        <v>940.68</v>
      </c>
    </row>
    <row r="3" spans="2:13" ht="15.75">
      <c r="B3" s="71" t="s">
        <v>56</v>
      </c>
      <c r="C3" s="191"/>
      <c r="D3" s="92"/>
      <c r="E3" s="95">
        <v>0</v>
      </c>
      <c r="F3" s="72"/>
      <c r="G3" s="72"/>
      <c r="I3" s="10">
        <v>3569.94</v>
      </c>
      <c r="J3" s="10" t="s">
        <v>914</v>
      </c>
      <c r="L3" s="203" t="s">
        <v>1171</v>
      </c>
      <c r="M3" s="203">
        <v>44128</v>
      </c>
    </row>
    <row r="4" spans="2:13" ht="18" customHeight="1">
      <c r="B4" s="71" t="s">
        <v>48</v>
      </c>
      <c r="C4" s="191"/>
      <c r="D4" s="92"/>
      <c r="E4" s="95">
        <v>8814.98</v>
      </c>
      <c r="F4" s="72"/>
      <c r="G4" s="72"/>
      <c r="I4" s="10">
        <v>0</v>
      </c>
      <c r="J4" s="10" t="s">
        <v>915</v>
      </c>
      <c r="L4" s="203" t="s">
        <v>1172</v>
      </c>
      <c r="M4" s="207">
        <v>3.32E-6</v>
      </c>
    </row>
    <row r="5" spans="2:13" ht="17.25" customHeight="1">
      <c r="B5" s="71" t="s">
        <v>5</v>
      </c>
      <c r="C5" s="91">
        <v>13430.32</v>
      </c>
      <c r="D5" s="92"/>
      <c r="E5" s="95">
        <v>0</v>
      </c>
      <c r="F5" s="72"/>
      <c r="G5" s="72"/>
      <c r="I5" s="10">
        <v>0</v>
      </c>
      <c r="J5" s="10" t="s">
        <v>1234</v>
      </c>
      <c r="L5" s="206" t="s">
        <v>1173</v>
      </c>
      <c r="M5" s="206">
        <f>M3*M4</f>
        <v>0.14650495999999999</v>
      </c>
    </row>
    <row r="6" spans="2:13">
      <c r="B6" s="71" t="s">
        <v>609</v>
      </c>
      <c r="C6" s="91">
        <v>8648.75</v>
      </c>
      <c r="D6" s="92"/>
      <c r="E6" s="95">
        <v>0</v>
      </c>
      <c r="F6" s="72"/>
      <c r="G6" s="72"/>
      <c r="L6" s="206" t="s">
        <v>1174</v>
      </c>
      <c r="M6" s="205">
        <f>M2*M5</f>
        <v>137.81428577279999</v>
      </c>
    </row>
    <row r="7" spans="2:13" ht="15.75">
      <c r="B7" s="71" t="s">
        <v>1271</v>
      </c>
      <c r="C7" s="91">
        <v>425.9</v>
      </c>
      <c r="D7" s="92"/>
      <c r="E7" s="95">
        <v>0</v>
      </c>
      <c r="F7" s="72"/>
      <c r="G7" s="72"/>
      <c r="I7" s="221" t="s">
        <v>1143</v>
      </c>
      <c r="J7" s="221" t="s">
        <v>408</v>
      </c>
    </row>
    <row r="8" spans="2:13">
      <c r="B8" s="71" t="s">
        <v>1298</v>
      </c>
      <c r="C8" s="91">
        <v>465.5</v>
      </c>
      <c r="D8" s="92"/>
      <c r="E8" s="95">
        <v>0</v>
      </c>
      <c r="F8" s="72"/>
      <c r="G8" s="72"/>
      <c r="I8" s="10"/>
      <c r="J8" s="10"/>
    </row>
    <row r="9" spans="2:13">
      <c r="B9" s="71" t="s">
        <v>1299</v>
      </c>
      <c r="C9" s="91">
        <v>485</v>
      </c>
      <c r="D9" s="92"/>
      <c r="E9" s="95">
        <v>0</v>
      </c>
      <c r="F9" s="72"/>
      <c r="G9" s="72"/>
      <c r="I9" s="10">
        <v>157.04</v>
      </c>
      <c r="J9" s="10" t="s">
        <v>1276</v>
      </c>
    </row>
    <row r="10" spans="2:13" ht="14.25" customHeight="1">
      <c r="B10" s="71" t="s">
        <v>1274</v>
      </c>
      <c r="C10" s="91">
        <v>250</v>
      </c>
      <c r="D10" s="92"/>
      <c r="E10" s="95">
        <v>0</v>
      </c>
      <c r="F10" s="72"/>
      <c r="G10" s="72"/>
      <c r="I10" s="10">
        <v>1392.54</v>
      </c>
      <c r="J10" s="10" t="s">
        <v>1277</v>
      </c>
    </row>
    <row r="11" spans="2:13">
      <c r="B11" s="71" t="s">
        <v>1300</v>
      </c>
      <c r="C11" s="91">
        <v>129.6</v>
      </c>
      <c r="D11" s="92"/>
      <c r="E11" s="95">
        <f>C11</f>
        <v>129.6</v>
      </c>
      <c r="F11" s="72"/>
      <c r="G11" s="72"/>
      <c r="I11" s="10">
        <f>M6</f>
        <v>137.81428577279999</v>
      </c>
      <c r="J11" s="10" t="s">
        <v>1162</v>
      </c>
    </row>
    <row r="12" spans="2:13">
      <c r="B12" s="71" t="s">
        <v>1301</v>
      </c>
      <c r="C12" s="91">
        <v>1206.4000000000001</v>
      </c>
      <c r="D12" s="92"/>
      <c r="E12" s="95">
        <f>C12</f>
        <v>1206.4000000000001</v>
      </c>
      <c r="F12" s="72"/>
      <c r="G12" s="72"/>
      <c r="I12" s="10">
        <f>400*3.12</f>
        <v>1248</v>
      </c>
      <c r="J12" s="10" t="s">
        <v>1239</v>
      </c>
    </row>
    <row r="13" spans="2:13">
      <c r="B13" s="71" t="s">
        <v>39</v>
      </c>
      <c r="C13" s="91">
        <v>900</v>
      </c>
      <c r="D13" s="92"/>
      <c r="E13" s="95">
        <v>0</v>
      </c>
      <c r="F13" s="72"/>
      <c r="G13" s="72"/>
      <c r="I13" s="10">
        <v>0</v>
      </c>
      <c r="J13" s="10" t="s">
        <v>1088</v>
      </c>
    </row>
    <row r="14" spans="2:13">
      <c r="B14" s="71" t="s">
        <v>1213</v>
      </c>
      <c r="C14" s="91">
        <v>12500</v>
      </c>
      <c r="D14" s="92"/>
      <c r="E14" s="95">
        <f>C14</f>
        <v>12500</v>
      </c>
      <c r="F14" s="72"/>
      <c r="G14" s="72"/>
      <c r="I14" s="10">
        <v>10991.91</v>
      </c>
      <c r="J14" s="10" t="s">
        <v>1127</v>
      </c>
    </row>
    <row r="15" spans="2:13">
      <c r="B15" s="99" t="s">
        <v>1263</v>
      </c>
      <c r="C15" s="96">
        <v>-31.66</v>
      </c>
      <c r="D15" s="97"/>
      <c r="E15" s="63">
        <v>0</v>
      </c>
      <c r="F15" s="64"/>
      <c r="G15" s="64" t="s">
        <v>58</v>
      </c>
      <c r="I15" s="10">
        <f>1000*10.36</f>
        <v>10360</v>
      </c>
      <c r="J15" s="10" t="s">
        <v>1133</v>
      </c>
    </row>
    <row r="16" spans="2:13">
      <c r="B16" s="99" t="s">
        <v>1098</v>
      </c>
      <c r="C16" s="96">
        <v>-49.8</v>
      </c>
      <c r="D16" s="97"/>
      <c r="E16" s="63">
        <v>0</v>
      </c>
      <c r="F16" s="64"/>
      <c r="G16" s="64" t="s">
        <v>58</v>
      </c>
      <c r="I16" s="10">
        <v>0</v>
      </c>
      <c r="J16" s="10" t="s">
        <v>1211</v>
      </c>
    </row>
    <row r="17" spans="2:10">
      <c r="B17" s="99" t="s">
        <v>65</v>
      </c>
      <c r="C17" s="96">
        <v>-600</v>
      </c>
      <c r="D17" s="97"/>
      <c r="E17" s="63">
        <v>0</v>
      </c>
      <c r="F17" s="64"/>
      <c r="G17" s="64" t="s">
        <v>58</v>
      </c>
      <c r="I17" s="10">
        <v>10935.82</v>
      </c>
      <c r="J17" s="10" t="s">
        <v>1210</v>
      </c>
    </row>
    <row r="18" spans="2:10">
      <c r="B18" s="99" t="s">
        <v>1069</v>
      </c>
      <c r="C18" s="96">
        <v>-802.75</v>
      </c>
      <c r="D18" s="97"/>
      <c r="E18" s="63">
        <v>0</v>
      </c>
      <c r="F18" s="64"/>
      <c r="G18" s="64" t="s">
        <v>58</v>
      </c>
      <c r="H18" s="143"/>
      <c r="I18" s="10">
        <v>22500</v>
      </c>
      <c r="J18" s="10" t="s">
        <v>752</v>
      </c>
    </row>
    <row r="19" spans="2:10">
      <c r="B19" s="99" t="s">
        <v>1242</v>
      </c>
      <c r="C19" s="96">
        <v>-580</v>
      </c>
      <c r="D19" s="97"/>
      <c r="E19" s="63">
        <v>0</v>
      </c>
      <c r="F19" s="64"/>
      <c r="G19" s="64" t="s">
        <v>58</v>
      </c>
      <c r="I19" s="10">
        <v>0</v>
      </c>
      <c r="J19" s="10" t="s">
        <v>1265</v>
      </c>
    </row>
    <row r="20" spans="2:10">
      <c r="B20" s="99" t="s">
        <v>1266</v>
      </c>
      <c r="C20" s="96">
        <v>-1150</v>
      </c>
      <c r="D20" s="97"/>
      <c r="E20" s="63">
        <v>0</v>
      </c>
      <c r="F20" s="64"/>
      <c r="G20" s="64" t="s">
        <v>58</v>
      </c>
      <c r="I20" s="10">
        <v>111.78</v>
      </c>
      <c r="J20" s="10" t="s">
        <v>1165</v>
      </c>
    </row>
    <row r="21" spans="2:10">
      <c r="B21" s="99" t="s">
        <v>103</v>
      </c>
      <c r="C21" s="96">
        <v>-3544.19</v>
      </c>
      <c r="D21" s="97"/>
      <c r="E21" s="63">
        <v>0</v>
      </c>
      <c r="F21" s="64"/>
      <c r="G21" s="64" t="s">
        <v>58</v>
      </c>
      <c r="I21" s="144">
        <f>SUM(I8:I20)</f>
        <v>57834.904285772798</v>
      </c>
      <c r="J21" s="144" t="s">
        <v>1031</v>
      </c>
    </row>
    <row r="22" spans="2:10">
      <c r="B22" s="99" t="s">
        <v>1032</v>
      </c>
      <c r="C22" s="96">
        <v>0</v>
      </c>
      <c r="D22" s="97"/>
      <c r="E22" s="63">
        <v>0</v>
      </c>
      <c r="F22" s="64"/>
      <c r="G22" s="64" t="s">
        <v>58</v>
      </c>
    </row>
    <row r="23" spans="2:10">
      <c r="B23" s="99" t="s">
        <v>125</v>
      </c>
      <c r="C23" s="96">
        <v>0</v>
      </c>
      <c r="D23" s="92"/>
      <c r="E23" s="63">
        <v>0</v>
      </c>
      <c r="F23" s="64"/>
      <c r="G23" s="64" t="s">
        <v>58</v>
      </c>
    </row>
    <row r="24" spans="2:10" ht="18">
      <c r="B24" s="99" t="s">
        <v>73</v>
      </c>
      <c r="C24" s="96">
        <v>-350.09</v>
      </c>
      <c r="D24" s="97"/>
      <c r="E24" s="63">
        <v>0</v>
      </c>
      <c r="F24" s="64"/>
      <c r="G24" s="64" t="s">
        <v>58</v>
      </c>
      <c r="I24" s="211"/>
    </row>
    <row r="25" spans="2:10">
      <c r="B25" s="99" t="s">
        <v>1302</v>
      </c>
      <c r="C25" s="96">
        <v>-87.59</v>
      </c>
      <c r="D25" s="97"/>
      <c r="E25" s="63">
        <v>0</v>
      </c>
      <c r="F25" s="64"/>
      <c r="G25" s="64" t="s">
        <v>58</v>
      </c>
    </row>
    <row r="26" spans="2:10">
      <c r="B26" s="99" t="s">
        <v>1300</v>
      </c>
      <c r="C26" s="96">
        <v>-129.6</v>
      </c>
      <c r="D26" s="97"/>
      <c r="E26" s="63">
        <v>0</v>
      </c>
      <c r="F26" s="64"/>
      <c r="G26" s="64" t="s">
        <v>58</v>
      </c>
    </row>
    <row r="27" spans="2:10">
      <c r="B27" s="99" t="s">
        <v>1303</v>
      </c>
      <c r="C27" s="96">
        <v>-104.1</v>
      </c>
      <c r="D27" s="97"/>
      <c r="E27" s="190">
        <f>C27</f>
        <v>-104.1</v>
      </c>
      <c r="F27" s="191"/>
      <c r="G27" s="191"/>
    </row>
    <row r="28" spans="2:10">
      <c r="B28" s="99" t="s">
        <v>748</v>
      </c>
      <c r="C28" s="96">
        <v>-100</v>
      </c>
      <c r="D28" s="97"/>
      <c r="E28" s="63">
        <v>0</v>
      </c>
      <c r="F28" s="64"/>
      <c r="G28" s="64" t="s">
        <v>58</v>
      </c>
    </row>
    <row r="29" spans="2:10">
      <c r="B29" s="99" t="s">
        <v>707</v>
      </c>
      <c r="C29" s="96">
        <v>-22500</v>
      </c>
      <c r="D29" s="97"/>
      <c r="E29" s="190">
        <f>C29</f>
        <v>-22500</v>
      </c>
      <c r="F29" s="191"/>
      <c r="G29" s="191"/>
    </row>
    <row r="30" spans="2:10">
      <c r="B30" s="99" t="s">
        <v>1304</v>
      </c>
      <c r="C30" s="96">
        <v>-2000</v>
      </c>
      <c r="D30" s="97"/>
      <c r="E30" s="63">
        <v>0</v>
      </c>
      <c r="F30" s="64"/>
      <c r="G30" s="64" t="s">
        <v>58</v>
      </c>
    </row>
    <row r="31" spans="2:10">
      <c r="B31" s="99" t="s">
        <v>1305</v>
      </c>
      <c r="C31" s="96">
        <v>-133</v>
      </c>
      <c r="D31" s="97"/>
      <c r="E31" s="190">
        <f>C31</f>
        <v>-133</v>
      </c>
      <c r="F31" s="191"/>
      <c r="G31" s="191"/>
    </row>
    <row r="32" spans="2:10" ht="18">
      <c r="B32" s="99" t="s">
        <v>83</v>
      </c>
      <c r="C32" s="96">
        <v>-42.56</v>
      </c>
      <c r="D32" s="97"/>
      <c r="E32" s="63">
        <v>0</v>
      </c>
      <c r="F32" s="64"/>
      <c r="G32" s="64" t="s">
        <v>58</v>
      </c>
      <c r="H32" s="211"/>
    </row>
    <row r="33" spans="2:13">
      <c r="B33" s="99" t="s">
        <v>1255</v>
      </c>
      <c r="C33" s="96">
        <v>-135</v>
      </c>
      <c r="D33" s="97"/>
      <c r="E33" s="63">
        <v>0</v>
      </c>
      <c r="F33" s="64"/>
      <c r="G33" s="64" t="s">
        <v>58</v>
      </c>
      <c r="M33" t="s">
        <v>1022</v>
      </c>
    </row>
    <row r="34" spans="2:13">
      <c r="B34" s="99" t="s">
        <v>1268</v>
      </c>
      <c r="C34" s="96">
        <v>-55</v>
      </c>
      <c r="D34" s="97"/>
      <c r="E34" s="63">
        <v>0</v>
      </c>
      <c r="F34" s="64"/>
      <c r="G34" s="64" t="s">
        <v>58</v>
      </c>
    </row>
    <row r="35" spans="2:13">
      <c r="B35" s="99" t="s">
        <v>1286</v>
      </c>
      <c r="C35" s="96">
        <f>-109-52.82</f>
        <v>-161.82</v>
      </c>
      <c r="D35" s="97"/>
      <c r="E35" s="63">
        <v>0</v>
      </c>
      <c r="F35" s="64"/>
      <c r="G35" s="64" t="s">
        <v>58</v>
      </c>
    </row>
    <row r="36" spans="2:13">
      <c r="B36" s="99" t="s">
        <v>1249</v>
      </c>
      <c r="C36" s="96">
        <v>-698.88</v>
      </c>
      <c r="D36" s="97"/>
      <c r="E36" s="63">
        <v>0</v>
      </c>
      <c r="F36" s="64"/>
      <c r="G36" s="64" t="s">
        <v>58</v>
      </c>
    </row>
    <row r="37" spans="2:13">
      <c r="B37" s="99" t="s">
        <v>686</v>
      </c>
      <c r="C37" s="96">
        <v>-737.38</v>
      </c>
      <c r="D37" s="97"/>
      <c r="E37" s="63">
        <v>0</v>
      </c>
      <c r="F37" s="64"/>
      <c r="G37" s="64" t="s">
        <v>58</v>
      </c>
    </row>
    <row r="38" spans="2:13" ht="18">
      <c r="B38" s="74" t="s">
        <v>45</v>
      </c>
      <c r="C38" s="188"/>
      <c r="D38" s="98"/>
      <c r="E38" s="129">
        <f>SUM(E3:E37)</f>
        <v>-86.119999999998981</v>
      </c>
      <c r="F38" s="75"/>
      <c r="G38" s="75"/>
    </row>
    <row r="41" spans="2:13" ht="18">
      <c r="G41" s="211"/>
    </row>
    <row r="42" spans="2:13">
      <c r="E42" s="199"/>
    </row>
  </sheetData>
  <conditionalFormatting sqref="E3:E5 E7 E13">
    <cfRule type="cellIs" dxfId="344" priority="42" stopIfTrue="1" operator="lessThan">
      <formula>0</formula>
    </cfRule>
  </conditionalFormatting>
  <conditionalFormatting sqref="E9">
    <cfRule type="cellIs" dxfId="343" priority="38" stopIfTrue="1" operator="lessThan">
      <formula>0</formula>
    </cfRule>
  </conditionalFormatting>
  <conditionalFormatting sqref="E6">
    <cfRule type="cellIs" dxfId="342" priority="36" stopIfTrue="1" operator="lessThan">
      <formula>0</formula>
    </cfRule>
  </conditionalFormatting>
  <conditionalFormatting sqref="E27 E29">
    <cfRule type="cellIs" dxfId="341" priority="34" stopIfTrue="1" operator="greaterThan">
      <formula>0</formula>
    </cfRule>
  </conditionalFormatting>
  <conditionalFormatting sqref="E22">
    <cfRule type="cellIs" dxfId="340" priority="30" stopIfTrue="1" operator="greaterThan">
      <formula>0</formula>
    </cfRule>
  </conditionalFormatting>
  <conditionalFormatting sqref="E14">
    <cfRule type="cellIs" dxfId="339" priority="31" stopIfTrue="1" operator="lessThan">
      <formula>0</formula>
    </cfRule>
  </conditionalFormatting>
  <conditionalFormatting sqref="E26">
    <cfRule type="cellIs" dxfId="338" priority="28" stopIfTrue="1" operator="greaterThan">
      <formula>0</formula>
    </cfRule>
  </conditionalFormatting>
  <conditionalFormatting sqref="E28">
    <cfRule type="cellIs" dxfId="337" priority="27" stopIfTrue="1" operator="greaterThan">
      <formula>0</formula>
    </cfRule>
  </conditionalFormatting>
  <conditionalFormatting sqref="E17">
    <cfRule type="cellIs" dxfId="336" priority="26" stopIfTrue="1" operator="greaterThan">
      <formula>0</formula>
    </cfRule>
  </conditionalFormatting>
  <conditionalFormatting sqref="E18">
    <cfRule type="cellIs" dxfId="335" priority="25" stopIfTrue="1" operator="greaterThan">
      <formula>0</formula>
    </cfRule>
  </conditionalFormatting>
  <conditionalFormatting sqref="E19">
    <cfRule type="cellIs" dxfId="334" priority="24" stopIfTrue="1" operator="greaterThan">
      <formula>0</formula>
    </cfRule>
  </conditionalFormatting>
  <conditionalFormatting sqref="E20">
    <cfRule type="cellIs" dxfId="333" priority="23" stopIfTrue="1" operator="greaterThan">
      <formula>0</formula>
    </cfRule>
  </conditionalFormatting>
  <conditionalFormatting sqref="E21">
    <cfRule type="cellIs" dxfId="332" priority="22" stopIfTrue="1" operator="greaterThan">
      <formula>0</formula>
    </cfRule>
  </conditionalFormatting>
  <conditionalFormatting sqref="E37">
    <cfRule type="cellIs" dxfId="331" priority="21" stopIfTrue="1" operator="greaterThan">
      <formula>0</formula>
    </cfRule>
  </conditionalFormatting>
  <conditionalFormatting sqref="E32">
    <cfRule type="cellIs" dxfId="330" priority="19" stopIfTrue="1" operator="greaterThan">
      <formula>0</formula>
    </cfRule>
  </conditionalFormatting>
  <conditionalFormatting sqref="E36">
    <cfRule type="cellIs" dxfId="329" priority="18" stopIfTrue="1" operator="greaterThan">
      <formula>0</formula>
    </cfRule>
  </conditionalFormatting>
  <conditionalFormatting sqref="E8">
    <cfRule type="cellIs" dxfId="328" priority="17" stopIfTrue="1" operator="lessThan">
      <formula>0</formula>
    </cfRule>
  </conditionalFormatting>
  <conditionalFormatting sqref="E16">
    <cfRule type="cellIs" dxfId="327" priority="14" stopIfTrue="1" operator="greaterThan">
      <formula>0</formula>
    </cfRule>
  </conditionalFormatting>
  <conditionalFormatting sqref="E30">
    <cfRule type="cellIs" dxfId="326" priority="15" stopIfTrue="1" operator="greaterThan">
      <formula>0</formula>
    </cfRule>
  </conditionalFormatting>
  <conditionalFormatting sqref="E15">
    <cfRule type="cellIs" dxfId="325" priority="13" stopIfTrue="1" operator="greaterThan">
      <formula>0</formula>
    </cfRule>
  </conditionalFormatting>
  <conditionalFormatting sqref="E10">
    <cfRule type="cellIs" dxfId="324" priority="12" stopIfTrue="1" operator="lessThan">
      <formula>0</formula>
    </cfRule>
  </conditionalFormatting>
  <conditionalFormatting sqref="E23">
    <cfRule type="cellIs" dxfId="323" priority="11" stopIfTrue="1" operator="greaterThan">
      <formula>0</formula>
    </cfRule>
  </conditionalFormatting>
  <conditionalFormatting sqref="E24">
    <cfRule type="cellIs" dxfId="322" priority="10" stopIfTrue="1" operator="greaterThan">
      <formula>0</formula>
    </cfRule>
  </conditionalFormatting>
  <conditionalFormatting sqref="E25">
    <cfRule type="cellIs" dxfId="321" priority="9" stopIfTrue="1" operator="greaterThan">
      <formula>0</formula>
    </cfRule>
  </conditionalFormatting>
  <conditionalFormatting sqref="E11">
    <cfRule type="cellIs" dxfId="320" priority="8" stopIfTrue="1" operator="lessThan">
      <formula>0</formula>
    </cfRule>
  </conditionalFormatting>
  <conditionalFormatting sqref="E35">
    <cfRule type="cellIs" dxfId="319" priority="7" stopIfTrue="1" operator="greaterThan">
      <formula>0</formula>
    </cfRule>
  </conditionalFormatting>
  <conditionalFormatting sqref="E33">
    <cfRule type="cellIs" dxfId="318" priority="6" stopIfTrue="1" operator="greaterThan">
      <formula>0</formula>
    </cfRule>
  </conditionalFormatting>
  <conditionalFormatting sqref="E34">
    <cfRule type="cellIs" dxfId="317" priority="5" stopIfTrue="1" operator="greaterThan">
      <formula>0</formula>
    </cfRule>
  </conditionalFormatting>
  <conditionalFormatting sqref="E12">
    <cfRule type="cellIs" dxfId="316" priority="3" stopIfTrue="1" operator="lessThan">
      <formula>0</formula>
    </cfRule>
  </conditionalFormatting>
  <conditionalFormatting sqref="E31">
    <cfRule type="cellIs" dxfId="315" priority="1" stopIfTrue="1" operator="greaterThan">
      <formula>0</formula>
    </cfRule>
  </conditionalFormatting>
  <pageMargins left="0.511811024" right="0.511811024" top="0.78740157499999996" bottom="0.78740157499999996" header="0.31496062000000002" footer="0.31496062000000002"/>
</worksheet>
</file>

<file path=xl/worksheets/sheet116.xml><?xml version="1.0" encoding="utf-8"?>
<worksheet xmlns="http://schemas.openxmlformats.org/spreadsheetml/2006/main" xmlns:r="http://schemas.openxmlformats.org/officeDocument/2006/relationships">
  <sheetPr>
    <pageSetUpPr autoPageBreaks="0"/>
  </sheetPr>
  <dimension ref="B1:M41"/>
  <sheetViews>
    <sheetView zoomScale="75" zoomScaleNormal="75" zoomScalePageLayoutView="75" workbookViewId="0">
      <selection activeCell="E21" sqref="E21:G21"/>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s>
  <sheetData>
    <row r="1" spans="2:13">
      <c r="E1" s="106"/>
    </row>
    <row r="2" spans="2:13" ht="18">
      <c r="B2" s="220" t="s">
        <v>135</v>
      </c>
      <c r="C2" s="220" t="s">
        <v>136</v>
      </c>
      <c r="D2" s="90"/>
      <c r="E2" s="220" t="s">
        <v>0</v>
      </c>
      <c r="F2" s="82" t="s">
        <v>1</v>
      </c>
      <c r="G2" s="82" t="s">
        <v>57</v>
      </c>
      <c r="I2" s="221" t="s">
        <v>913</v>
      </c>
      <c r="J2" s="221" t="s">
        <v>408</v>
      </c>
      <c r="L2" s="203" t="s">
        <v>1169</v>
      </c>
      <c r="M2" s="204">
        <v>977.95</v>
      </c>
    </row>
    <row r="3" spans="2:13" ht="15.75">
      <c r="B3" s="71" t="s">
        <v>56</v>
      </c>
      <c r="C3" s="191"/>
      <c r="D3" s="92"/>
      <c r="E3" s="95">
        <v>0</v>
      </c>
      <c r="F3" s="72"/>
      <c r="G3" s="72"/>
      <c r="I3" s="10">
        <v>1836.61</v>
      </c>
      <c r="J3" s="10" t="s">
        <v>914</v>
      </c>
      <c r="L3" s="203" t="s">
        <v>1171</v>
      </c>
      <c r="M3" s="203">
        <v>58605</v>
      </c>
    </row>
    <row r="4" spans="2:13" ht="18" customHeight="1">
      <c r="B4" s="71" t="s">
        <v>48</v>
      </c>
      <c r="C4" s="191"/>
      <c r="D4" s="92"/>
      <c r="E4" s="95">
        <v>-633.86</v>
      </c>
      <c r="F4" s="72"/>
      <c r="G4" s="72"/>
      <c r="I4" s="10">
        <v>0</v>
      </c>
      <c r="J4" s="10" t="s">
        <v>915</v>
      </c>
      <c r="L4" s="203" t="s">
        <v>1172</v>
      </c>
      <c r="M4" s="207">
        <v>1.44E-6</v>
      </c>
    </row>
    <row r="5" spans="2:13" ht="17.25" customHeight="1">
      <c r="B5" s="71" t="s">
        <v>5</v>
      </c>
      <c r="C5" s="91">
        <v>13430.32</v>
      </c>
      <c r="D5" s="92"/>
      <c r="E5" s="95">
        <v>0</v>
      </c>
      <c r="F5" s="72"/>
      <c r="G5" s="72"/>
      <c r="I5" s="10">
        <v>0</v>
      </c>
      <c r="J5" s="10" t="s">
        <v>1234</v>
      </c>
      <c r="L5" s="206" t="s">
        <v>1173</v>
      </c>
      <c r="M5" s="206">
        <f>M3*M4</f>
        <v>8.43912E-2</v>
      </c>
    </row>
    <row r="6" spans="2:13">
      <c r="B6" s="71" t="s">
        <v>1300</v>
      </c>
      <c r="C6" s="91">
        <v>129.6</v>
      </c>
      <c r="D6" s="92"/>
      <c r="E6" s="95">
        <v>0</v>
      </c>
      <c r="F6" s="72"/>
      <c r="G6" s="72"/>
      <c r="L6" s="206" t="s">
        <v>1174</v>
      </c>
      <c r="M6" s="205">
        <f>M2*M5</f>
        <v>82.530374039999998</v>
      </c>
    </row>
    <row r="7" spans="2:13" ht="15.75">
      <c r="B7" s="71" t="s">
        <v>1301</v>
      </c>
      <c r="C7" s="91">
        <v>1206.4000000000001</v>
      </c>
      <c r="D7" s="92"/>
      <c r="E7" s="95">
        <v>0</v>
      </c>
      <c r="F7" s="72"/>
      <c r="G7" s="72"/>
      <c r="I7" s="221" t="s">
        <v>1143</v>
      </c>
      <c r="J7" s="221" t="s">
        <v>408</v>
      </c>
      <c r="L7" s="217" t="s">
        <v>1306</v>
      </c>
      <c r="M7" s="217" t="s">
        <v>646</v>
      </c>
    </row>
    <row r="8" spans="2:13">
      <c r="B8" s="71" t="s">
        <v>1213</v>
      </c>
      <c r="C8" s="91">
        <v>12500</v>
      </c>
      <c r="D8" s="92"/>
      <c r="E8" s="95">
        <v>0</v>
      </c>
      <c r="F8" s="72"/>
      <c r="G8" s="72"/>
      <c r="I8" s="10"/>
      <c r="J8" s="10"/>
      <c r="L8">
        <v>935007</v>
      </c>
      <c r="M8" s="193">
        <v>69441.56</v>
      </c>
    </row>
    <row r="9" spans="2:13">
      <c r="B9" s="71" t="s">
        <v>927</v>
      </c>
      <c r="C9" s="91">
        <v>100</v>
      </c>
      <c r="D9" s="92"/>
      <c r="E9" s="95">
        <f>C9</f>
        <v>100</v>
      </c>
      <c r="F9" s="72"/>
      <c r="G9" s="72"/>
      <c r="I9" s="10">
        <v>145.88</v>
      </c>
      <c r="J9" s="10" t="s">
        <v>1276</v>
      </c>
      <c r="L9">
        <v>85029</v>
      </c>
      <c r="M9" s="193">
        <v>7208.56</v>
      </c>
    </row>
    <row r="10" spans="2:13" ht="14.25" customHeight="1">
      <c r="B10" s="71" t="s">
        <v>1307</v>
      </c>
      <c r="C10" s="91">
        <v>692</v>
      </c>
      <c r="D10" s="92"/>
      <c r="E10" s="95">
        <v>0</v>
      </c>
      <c r="F10" s="72"/>
      <c r="G10" s="72"/>
      <c r="I10" s="10">
        <v>1408.6</v>
      </c>
      <c r="J10" s="10" t="s">
        <v>1277</v>
      </c>
      <c r="L10">
        <v>53714</v>
      </c>
      <c r="M10" s="193">
        <f>13604.98+1383.8</f>
        <v>14988.779999999999</v>
      </c>
    </row>
    <row r="11" spans="2:13">
      <c r="B11" s="71" t="s">
        <v>1307</v>
      </c>
      <c r="C11" s="91">
        <v>342.06</v>
      </c>
      <c r="D11" s="92"/>
      <c r="E11" s="95">
        <f>C11</f>
        <v>342.06</v>
      </c>
      <c r="F11" s="72"/>
      <c r="G11" s="72"/>
      <c r="I11" s="10">
        <f>M6</f>
        <v>82.530374039999998</v>
      </c>
      <c r="J11" s="10" t="s">
        <v>1162</v>
      </c>
      <c r="L11">
        <v>75004</v>
      </c>
      <c r="M11" s="193">
        <v>0.04</v>
      </c>
    </row>
    <row r="12" spans="2:13" ht="15.75">
      <c r="B12" s="99" t="s">
        <v>1098</v>
      </c>
      <c r="C12" s="96">
        <v>-167.1</v>
      </c>
      <c r="D12" s="97"/>
      <c r="E12" s="63">
        <v>0</v>
      </c>
      <c r="F12" s="64"/>
      <c r="G12" s="64" t="s">
        <v>58</v>
      </c>
      <c r="I12" s="10">
        <f>400*3.8</f>
        <v>1520</v>
      </c>
      <c r="J12" s="10" t="s">
        <v>1239</v>
      </c>
      <c r="L12" s="217" t="s">
        <v>45</v>
      </c>
      <c r="M12" s="218">
        <f>SUM(M8:M11)</f>
        <v>91638.939999999988</v>
      </c>
    </row>
    <row r="13" spans="2:13" ht="15.75">
      <c r="B13" s="99" t="s">
        <v>65</v>
      </c>
      <c r="C13" s="96">
        <v>-600</v>
      </c>
      <c r="D13" s="97"/>
      <c r="E13" s="63">
        <v>0</v>
      </c>
      <c r="F13" s="64"/>
      <c r="G13" s="64" t="s">
        <v>58</v>
      </c>
      <c r="I13" s="10">
        <v>0</v>
      </c>
      <c r="J13" s="10" t="s">
        <v>1088</v>
      </c>
      <c r="L13" s="217" t="s">
        <v>1249</v>
      </c>
      <c r="M13" s="217" t="s">
        <v>646</v>
      </c>
    </row>
    <row r="14" spans="2:13">
      <c r="B14" s="99" t="s">
        <v>1069</v>
      </c>
      <c r="C14" s="96">
        <v>-802.75</v>
      </c>
      <c r="D14" s="97"/>
      <c r="E14" s="63">
        <v>0</v>
      </c>
      <c r="F14" s="64"/>
      <c r="G14" s="64" t="s">
        <v>58</v>
      </c>
      <c r="I14" s="10">
        <v>10629.89</v>
      </c>
      <c r="J14" s="10" t="s">
        <v>1127</v>
      </c>
      <c r="L14" t="s">
        <v>1308</v>
      </c>
      <c r="M14" s="193">
        <v>6791.03</v>
      </c>
    </row>
    <row r="15" spans="2:13">
      <c r="B15" s="99" t="s">
        <v>1242</v>
      </c>
      <c r="C15" s="96">
        <v>-580</v>
      </c>
      <c r="D15" s="97"/>
      <c r="E15" s="63">
        <v>0</v>
      </c>
      <c r="F15" s="64"/>
      <c r="G15" s="64" t="s">
        <v>58</v>
      </c>
      <c r="I15" s="10">
        <f>1000*7.6</f>
        <v>7600</v>
      </c>
      <c r="J15" s="10" t="s">
        <v>1133</v>
      </c>
      <c r="L15" t="s">
        <v>1309</v>
      </c>
      <c r="M15" s="193">
        <v>38973.730000000003</v>
      </c>
    </row>
    <row r="16" spans="2:13" ht="15.75">
      <c r="B16" s="99" t="s">
        <v>1310</v>
      </c>
      <c r="C16" s="96">
        <v>-575</v>
      </c>
      <c r="D16" s="97"/>
      <c r="E16" s="63">
        <v>0</v>
      </c>
      <c r="F16" s="64"/>
      <c r="G16" s="64" t="s">
        <v>58</v>
      </c>
      <c r="I16" s="10">
        <v>3028.92</v>
      </c>
      <c r="J16" s="10" t="s">
        <v>1211</v>
      </c>
      <c r="L16" s="217" t="s">
        <v>45</v>
      </c>
      <c r="M16" s="218">
        <f>SUM(M14:M15)</f>
        <v>45764.76</v>
      </c>
    </row>
    <row r="17" spans="2:13">
      <c r="B17" s="99" t="s">
        <v>1311</v>
      </c>
      <c r="C17" s="96">
        <v>-240</v>
      </c>
      <c r="D17" s="97"/>
      <c r="E17" s="63">
        <v>0</v>
      </c>
      <c r="F17" s="64"/>
      <c r="G17" s="64" t="s">
        <v>58</v>
      </c>
      <c r="I17" s="10">
        <v>11067.21</v>
      </c>
      <c r="J17" s="10" t="s">
        <v>1210</v>
      </c>
    </row>
    <row r="18" spans="2:13">
      <c r="B18" s="99" t="s">
        <v>1266</v>
      </c>
      <c r="C18" s="96">
        <v>-349.84</v>
      </c>
      <c r="D18" s="97"/>
      <c r="E18" s="63">
        <v>0</v>
      </c>
      <c r="F18" s="64"/>
      <c r="G18" s="64" t="s">
        <v>58</v>
      </c>
      <c r="H18" s="143"/>
      <c r="I18" s="10">
        <v>19195.32</v>
      </c>
      <c r="J18" s="10" t="s">
        <v>1312</v>
      </c>
    </row>
    <row r="19" spans="2:13">
      <c r="B19" s="99" t="s">
        <v>1313</v>
      </c>
      <c r="C19" s="96">
        <v>-300</v>
      </c>
      <c r="D19" s="97"/>
      <c r="E19" s="63">
        <v>0</v>
      </c>
      <c r="F19" s="64"/>
      <c r="G19" s="64" t="s">
        <v>58</v>
      </c>
      <c r="I19" s="10"/>
      <c r="J19" s="10"/>
    </row>
    <row r="20" spans="2:13">
      <c r="B20" s="99" t="s">
        <v>103</v>
      </c>
      <c r="C20" s="96">
        <v>-3544.19</v>
      </c>
      <c r="D20" s="97"/>
      <c r="E20" s="63">
        <v>0</v>
      </c>
      <c r="F20" s="64"/>
      <c r="G20" s="64" t="s">
        <v>58</v>
      </c>
      <c r="I20" s="10">
        <v>227.74</v>
      </c>
      <c r="J20" s="10" t="s">
        <v>1165</v>
      </c>
    </row>
    <row r="21" spans="2:13">
      <c r="B21" s="99" t="s">
        <v>1032</v>
      </c>
      <c r="C21" s="96">
        <v>0</v>
      </c>
      <c r="D21" s="97"/>
      <c r="E21" s="63">
        <v>0</v>
      </c>
      <c r="F21" s="64"/>
      <c r="G21" s="64" t="s">
        <v>58</v>
      </c>
      <c r="I21" s="144">
        <f>SUM(I8:I20)</f>
        <v>54906.090374039995</v>
      </c>
      <c r="J21" s="144" t="s">
        <v>1031</v>
      </c>
    </row>
    <row r="22" spans="2:13">
      <c r="B22" s="99" t="s">
        <v>1314</v>
      </c>
      <c r="C22" s="96">
        <v>-77.209999999999994</v>
      </c>
      <c r="D22" s="92"/>
      <c r="E22" s="63">
        <v>0</v>
      </c>
      <c r="F22" s="64"/>
      <c r="G22" s="64" t="s">
        <v>58</v>
      </c>
    </row>
    <row r="23" spans="2:13">
      <c r="B23" s="99" t="s">
        <v>125</v>
      </c>
      <c r="C23" s="96">
        <v>-3500</v>
      </c>
      <c r="D23" s="92"/>
      <c r="E23" s="63">
        <v>0</v>
      </c>
      <c r="F23" s="64"/>
      <c r="G23" s="64" t="s">
        <v>58</v>
      </c>
    </row>
    <row r="24" spans="2:13" ht="18">
      <c r="B24" s="99" t="s">
        <v>73</v>
      </c>
      <c r="C24" s="96">
        <v>-323.5</v>
      </c>
      <c r="D24" s="97"/>
      <c r="E24" s="63">
        <v>0</v>
      </c>
      <c r="F24" s="64"/>
      <c r="G24" s="64" t="s">
        <v>58</v>
      </c>
      <c r="I24" s="211"/>
    </row>
    <row r="25" spans="2:13">
      <c r="B25" s="99" t="s">
        <v>1315</v>
      </c>
      <c r="C25" s="96">
        <v>-98.76</v>
      </c>
      <c r="D25" s="97" t="s">
        <v>1022</v>
      </c>
      <c r="E25" s="190">
        <f>C25</f>
        <v>-98.76</v>
      </c>
      <c r="F25" s="191"/>
      <c r="G25" s="191"/>
    </row>
    <row r="26" spans="2:13">
      <c r="B26" s="99" t="s">
        <v>1303</v>
      </c>
      <c r="C26" s="96">
        <v>-104.1</v>
      </c>
      <c r="D26" s="97"/>
      <c r="E26" s="63">
        <v>0</v>
      </c>
      <c r="F26" s="64"/>
      <c r="G26" s="64" t="s">
        <v>58</v>
      </c>
    </row>
    <row r="27" spans="2:13">
      <c r="B27" s="99" t="s">
        <v>748</v>
      </c>
      <c r="C27" s="96">
        <v>-50</v>
      </c>
      <c r="D27" s="97"/>
      <c r="E27" s="63">
        <v>0</v>
      </c>
      <c r="F27" s="64"/>
      <c r="G27" s="64" t="s">
        <v>58</v>
      </c>
    </row>
    <row r="28" spans="2:13">
      <c r="B28" s="99" t="s">
        <v>707</v>
      </c>
      <c r="C28" s="96">
        <v>-22000</v>
      </c>
      <c r="D28" s="97"/>
      <c r="E28" s="63">
        <v>0</v>
      </c>
      <c r="F28" s="64"/>
      <c r="G28" s="64" t="s">
        <v>58</v>
      </c>
    </row>
    <row r="29" spans="2:13">
      <c r="B29" s="99" t="s">
        <v>1305</v>
      </c>
      <c r="C29" s="96">
        <v>-133</v>
      </c>
      <c r="D29" s="97"/>
      <c r="E29" s="63">
        <v>0</v>
      </c>
      <c r="F29" s="64"/>
      <c r="G29" s="64" t="s">
        <v>58</v>
      </c>
    </row>
    <row r="30" spans="2:13">
      <c r="B30" s="99" t="s">
        <v>1316</v>
      </c>
      <c r="C30" s="96">
        <v>-71.3</v>
      </c>
      <c r="D30" s="97"/>
      <c r="E30" s="63">
        <v>0</v>
      </c>
      <c r="F30" s="64"/>
      <c r="G30" s="64" t="s">
        <v>58</v>
      </c>
    </row>
    <row r="31" spans="2:13">
      <c r="B31" s="99" t="s">
        <v>83</v>
      </c>
      <c r="C31" s="96">
        <v>-68.099999999999994</v>
      </c>
      <c r="D31" s="97"/>
      <c r="E31" s="63">
        <v>0</v>
      </c>
      <c r="F31" s="64"/>
      <c r="G31" s="64" t="s">
        <v>58</v>
      </c>
      <c r="M31" t="s">
        <v>1022</v>
      </c>
    </row>
    <row r="32" spans="2:13" ht="18">
      <c r="B32" s="99" t="s">
        <v>1268</v>
      </c>
      <c r="C32" s="96">
        <v>-55</v>
      </c>
      <c r="D32" s="97"/>
      <c r="E32" s="63">
        <v>0</v>
      </c>
      <c r="F32" s="64"/>
      <c r="G32" s="64" t="s">
        <v>58</v>
      </c>
      <c r="H32" s="211"/>
    </row>
    <row r="33" spans="2:7">
      <c r="B33" s="99" t="s">
        <v>1317</v>
      </c>
      <c r="C33" s="96">
        <v>-99.87</v>
      </c>
      <c r="D33" s="97"/>
      <c r="E33" s="63">
        <v>0</v>
      </c>
      <c r="F33" s="64"/>
      <c r="G33" s="64" t="s">
        <v>58</v>
      </c>
    </row>
    <row r="34" spans="2:7">
      <c r="B34" s="99" t="s">
        <v>1318</v>
      </c>
      <c r="C34" s="96">
        <v>-78.430000000000007</v>
      </c>
      <c r="D34" s="97"/>
      <c r="E34" s="63">
        <v>0</v>
      </c>
      <c r="F34" s="64"/>
      <c r="G34" s="64" t="s">
        <v>58</v>
      </c>
    </row>
    <row r="35" spans="2:7">
      <c r="B35" s="99" t="s">
        <v>1249</v>
      </c>
      <c r="C35" s="96">
        <v>-698.88</v>
      </c>
      <c r="D35" s="97"/>
      <c r="E35" s="63">
        <v>0</v>
      </c>
      <c r="F35" s="64"/>
      <c r="G35" s="64" t="s">
        <v>58</v>
      </c>
    </row>
    <row r="36" spans="2:7">
      <c r="B36" s="99" t="s">
        <v>686</v>
      </c>
      <c r="C36" s="96">
        <v>-672.29</v>
      </c>
      <c r="D36" s="97"/>
      <c r="E36" s="63">
        <v>0</v>
      </c>
      <c r="F36" s="64"/>
      <c r="G36" s="64" t="s">
        <v>58</v>
      </c>
    </row>
    <row r="37" spans="2:7" ht="18">
      <c r="B37" s="74" t="s">
        <v>45</v>
      </c>
      <c r="C37" s="188"/>
      <c r="D37" s="98"/>
      <c r="E37" s="129">
        <f>SUM(E3:E36)</f>
        <v>-290.56</v>
      </c>
      <c r="F37" s="75"/>
      <c r="G37" s="75"/>
    </row>
    <row r="40" spans="2:7" ht="18">
      <c r="G40" s="211"/>
    </row>
    <row r="41" spans="2:7">
      <c r="E41" s="199"/>
    </row>
  </sheetData>
  <conditionalFormatting sqref="E3:E5">
    <cfRule type="cellIs" dxfId="314" priority="87" stopIfTrue="1" operator="lessThan">
      <formula>0</formula>
    </cfRule>
  </conditionalFormatting>
  <conditionalFormatting sqref="E6">
    <cfRule type="cellIs" dxfId="313" priority="63" stopIfTrue="1" operator="lessThan">
      <formula>0</formula>
    </cfRule>
  </conditionalFormatting>
  <conditionalFormatting sqref="E21">
    <cfRule type="cellIs" dxfId="312" priority="57" stopIfTrue="1" operator="greaterThan">
      <formula>0</formula>
    </cfRule>
  </conditionalFormatting>
  <conditionalFormatting sqref="E28">
    <cfRule type="cellIs" dxfId="311" priority="54" stopIfTrue="1" operator="greaterThan">
      <formula>0</formula>
    </cfRule>
  </conditionalFormatting>
  <conditionalFormatting sqref="E25">
    <cfRule type="cellIs" dxfId="310" priority="50" stopIfTrue="1" operator="greaterThan">
      <formula>0</formula>
    </cfRule>
  </conditionalFormatting>
  <conditionalFormatting sqref="E26">
    <cfRule type="cellIs" dxfId="309" priority="52" stopIfTrue="1" operator="greaterThan">
      <formula>0</formula>
    </cfRule>
  </conditionalFormatting>
  <conditionalFormatting sqref="E25">
    <cfRule type="cellIs" dxfId="308" priority="51" stopIfTrue="1" operator="greaterThan">
      <formula>0</formula>
    </cfRule>
  </conditionalFormatting>
  <conditionalFormatting sqref="E31">
    <cfRule type="cellIs" dxfId="307" priority="49" stopIfTrue="1" operator="greaterThan">
      <formula>0</formula>
    </cfRule>
  </conditionalFormatting>
  <conditionalFormatting sqref="E27">
    <cfRule type="cellIs" dxfId="306" priority="48" stopIfTrue="1" operator="greaterThan">
      <formula>0</formula>
    </cfRule>
  </conditionalFormatting>
  <conditionalFormatting sqref="E20">
    <cfRule type="cellIs" dxfId="305" priority="47" stopIfTrue="1" operator="greaterThan">
      <formula>0</formula>
    </cfRule>
  </conditionalFormatting>
  <conditionalFormatting sqref="E15">
    <cfRule type="cellIs" dxfId="304" priority="46" stopIfTrue="1" operator="greaterThan">
      <formula>0</formula>
    </cfRule>
  </conditionalFormatting>
  <conditionalFormatting sqref="E14">
    <cfRule type="cellIs" dxfId="303" priority="45" stopIfTrue="1" operator="greaterThan">
      <formula>0</formula>
    </cfRule>
  </conditionalFormatting>
  <conditionalFormatting sqref="E12">
    <cfRule type="cellIs" dxfId="302" priority="40" stopIfTrue="1" operator="greaterThan">
      <formula>0</formula>
    </cfRule>
  </conditionalFormatting>
  <conditionalFormatting sqref="E35">
    <cfRule type="cellIs" dxfId="301" priority="39" stopIfTrue="1" operator="greaterThan">
      <formula>0</formula>
    </cfRule>
  </conditionalFormatting>
  <conditionalFormatting sqref="E13">
    <cfRule type="cellIs" dxfId="300" priority="41" stopIfTrue="1" operator="greaterThan">
      <formula>0</formula>
    </cfRule>
  </conditionalFormatting>
  <conditionalFormatting sqref="E7">
    <cfRule type="cellIs" dxfId="299" priority="38" stopIfTrue="1" operator="lessThan">
      <formula>0</formula>
    </cfRule>
  </conditionalFormatting>
  <conditionalFormatting sqref="E16">
    <cfRule type="cellIs" dxfId="298" priority="35" stopIfTrue="1" operator="greaterThan">
      <formula>0</formula>
    </cfRule>
  </conditionalFormatting>
  <conditionalFormatting sqref="E36">
    <cfRule type="cellIs" dxfId="297" priority="34" stopIfTrue="1" operator="greaterThan">
      <formula>0</formula>
    </cfRule>
  </conditionalFormatting>
  <conditionalFormatting sqref="E33">
    <cfRule type="cellIs" dxfId="296" priority="31" stopIfTrue="1" operator="greaterThan">
      <formula>0</formula>
    </cfRule>
  </conditionalFormatting>
  <conditionalFormatting sqref="E8">
    <cfRule type="cellIs" dxfId="295" priority="28" stopIfTrue="1" operator="lessThan">
      <formula>0</formula>
    </cfRule>
  </conditionalFormatting>
  <conditionalFormatting sqref="E9">
    <cfRule type="cellIs" dxfId="294" priority="27" stopIfTrue="1" operator="lessThan">
      <formula>0</formula>
    </cfRule>
  </conditionalFormatting>
  <conditionalFormatting sqref="E34">
    <cfRule type="cellIs" dxfId="293" priority="23" stopIfTrue="1" operator="greaterThan">
      <formula>0</formula>
    </cfRule>
  </conditionalFormatting>
  <conditionalFormatting sqref="E29">
    <cfRule type="cellIs" dxfId="292" priority="24" stopIfTrue="1" operator="greaterThan">
      <formula>0</formula>
    </cfRule>
  </conditionalFormatting>
  <conditionalFormatting sqref="E17">
    <cfRule type="cellIs" dxfId="291" priority="22" stopIfTrue="1" operator="greaterThan">
      <formula>0</formula>
    </cfRule>
  </conditionalFormatting>
  <conditionalFormatting sqref="E24">
    <cfRule type="cellIs" dxfId="290" priority="12" stopIfTrue="1" operator="greaterThan">
      <formula>0</formula>
    </cfRule>
  </conditionalFormatting>
  <conditionalFormatting sqref="E11">
    <cfRule type="cellIs" dxfId="289" priority="11" stopIfTrue="1" operator="lessThan">
      <formula>0</formula>
    </cfRule>
  </conditionalFormatting>
  <conditionalFormatting sqref="E32">
    <cfRule type="cellIs" dxfId="288" priority="10" stopIfTrue="1" operator="greaterThan">
      <formula>0</formula>
    </cfRule>
  </conditionalFormatting>
  <conditionalFormatting sqref="E23">
    <cfRule type="cellIs" dxfId="287" priority="4" stopIfTrue="1" operator="greaterThan">
      <formula>0</formula>
    </cfRule>
  </conditionalFormatting>
  <conditionalFormatting sqref="E19">
    <cfRule type="cellIs" dxfId="286" priority="6" stopIfTrue="1" operator="greaterThan">
      <formula>0</formula>
    </cfRule>
  </conditionalFormatting>
  <conditionalFormatting sqref="E18">
    <cfRule type="cellIs" dxfId="285" priority="5" stopIfTrue="1" operator="greaterThan">
      <formula>0</formula>
    </cfRule>
  </conditionalFormatting>
  <conditionalFormatting sqref="E30">
    <cfRule type="cellIs" dxfId="284" priority="3" stopIfTrue="1" operator="greaterThan">
      <formula>0</formula>
    </cfRule>
  </conditionalFormatting>
  <conditionalFormatting sqref="E22">
    <cfRule type="cellIs" dxfId="283" priority="2" stopIfTrue="1" operator="greaterThan">
      <formula>0</formula>
    </cfRule>
  </conditionalFormatting>
  <conditionalFormatting sqref="E10">
    <cfRule type="cellIs" dxfId="282" priority="1" stopIfTrue="1" operator="less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17.xml><?xml version="1.0" encoding="utf-8"?>
<worksheet xmlns="http://schemas.openxmlformats.org/spreadsheetml/2006/main" xmlns:r="http://schemas.openxmlformats.org/officeDocument/2006/relationships">
  <sheetPr>
    <pageSetUpPr autoPageBreaks="0"/>
  </sheetPr>
  <dimension ref="B1:N43"/>
  <sheetViews>
    <sheetView zoomScale="75" zoomScaleNormal="75" zoomScalePageLayoutView="75" workbookViewId="0">
      <selection activeCell="E24" sqref="E24:G24"/>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 min="14" max="14" width="10.42578125" bestFit="1" customWidth="1"/>
  </cols>
  <sheetData>
    <row r="1" spans="2:14">
      <c r="E1" s="106"/>
    </row>
    <row r="2" spans="2:14" ht="18">
      <c r="B2" s="220" t="s">
        <v>135</v>
      </c>
      <c r="C2" s="220" t="s">
        <v>136</v>
      </c>
      <c r="D2" s="90"/>
      <c r="E2" s="220" t="s">
        <v>0</v>
      </c>
      <c r="F2" s="82" t="s">
        <v>1</v>
      </c>
      <c r="G2" s="82" t="s">
        <v>57</v>
      </c>
      <c r="I2" s="221" t="s">
        <v>913</v>
      </c>
      <c r="J2" s="221" t="s">
        <v>408</v>
      </c>
      <c r="L2" s="203" t="s">
        <v>1169</v>
      </c>
      <c r="M2" s="204">
        <v>955.5</v>
      </c>
    </row>
    <row r="3" spans="2:14" ht="15.75">
      <c r="B3" s="71" t="s">
        <v>48</v>
      </c>
      <c r="C3" s="191"/>
      <c r="D3" s="92"/>
      <c r="E3" s="95">
        <v>-2821.04</v>
      </c>
      <c r="F3" s="72"/>
      <c r="G3" s="72"/>
      <c r="I3" s="10">
        <v>1941</v>
      </c>
      <c r="J3" s="10" t="s">
        <v>914</v>
      </c>
      <c r="L3" s="203" t="s">
        <v>1319</v>
      </c>
      <c r="M3" s="203">
        <v>44</v>
      </c>
    </row>
    <row r="4" spans="2:14" ht="18" customHeight="1">
      <c r="B4" s="71" t="s">
        <v>5</v>
      </c>
      <c r="C4" s="91">
        <v>13430.32</v>
      </c>
      <c r="D4" s="92"/>
      <c r="E4" s="95">
        <v>0</v>
      </c>
      <c r="F4" s="72"/>
      <c r="G4" s="72"/>
      <c r="I4" s="10">
        <v>0</v>
      </c>
      <c r="J4" s="10" t="s">
        <v>915</v>
      </c>
      <c r="L4" s="203" t="s">
        <v>1172</v>
      </c>
      <c r="M4" s="207">
        <v>3.5299000000000002E-4</v>
      </c>
    </row>
    <row r="5" spans="2:14" ht="17.25" customHeight="1">
      <c r="B5" s="71" t="s">
        <v>927</v>
      </c>
      <c r="C5" s="91">
        <v>104.05</v>
      </c>
      <c r="D5" s="92"/>
      <c r="E5" s="95">
        <v>0</v>
      </c>
      <c r="F5" s="72"/>
      <c r="G5" s="72"/>
      <c r="I5" s="10">
        <v>0</v>
      </c>
      <c r="J5" s="10" t="s">
        <v>1234</v>
      </c>
      <c r="L5" s="206" t="s">
        <v>1173</v>
      </c>
      <c r="M5" s="206">
        <f>M3*M4</f>
        <v>1.5531560000000002E-2</v>
      </c>
    </row>
    <row r="6" spans="2:14">
      <c r="B6" s="71" t="s">
        <v>1320</v>
      </c>
      <c r="C6" s="91">
        <f>5000/3</f>
        <v>1666.6666666666667</v>
      </c>
      <c r="D6" s="92"/>
      <c r="E6" s="95">
        <v>0</v>
      </c>
      <c r="F6" s="72"/>
      <c r="G6" s="72"/>
      <c r="L6" s="206" t="s">
        <v>1174</v>
      </c>
      <c r="M6" s="205">
        <f>M2*M5</f>
        <v>14.840405580000002</v>
      </c>
    </row>
    <row r="7" spans="2:14" ht="15.75">
      <c r="B7" s="71" t="s">
        <v>1321</v>
      </c>
      <c r="C7" s="91">
        <v>970</v>
      </c>
      <c r="D7" s="92"/>
      <c r="E7" s="95">
        <v>0</v>
      </c>
      <c r="F7" s="72"/>
      <c r="G7" s="72"/>
      <c r="I7" s="221" t="s">
        <v>1143</v>
      </c>
      <c r="J7" s="221" t="s">
        <v>408</v>
      </c>
      <c r="L7" s="217" t="s">
        <v>1306</v>
      </c>
      <c r="M7" s="217" t="s">
        <v>646</v>
      </c>
    </row>
    <row r="8" spans="2:14">
      <c r="B8" s="71" t="s">
        <v>1301</v>
      </c>
      <c r="C8" s="91">
        <v>286</v>
      </c>
      <c r="D8" s="92"/>
      <c r="E8" s="95">
        <f>C8</f>
        <v>286</v>
      </c>
      <c r="F8" s="72"/>
      <c r="G8" s="72"/>
      <c r="I8" s="10"/>
      <c r="J8" s="10"/>
      <c r="L8">
        <v>935007</v>
      </c>
      <c r="M8" s="193">
        <v>69773.210000000006</v>
      </c>
    </row>
    <row r="9" spans="2:14">
      <c r="B9" s="71" t="s">
        <v>1307</v>
      </c>
      <c r="C9" s="91">
        <v>342.06</v>
      </c>
      <c r="D9" s="92"/>
      <c r="E9" s="95">
        <v>0</v>
      </c>
      <c r="F9" s="72"/>
      <c r="G9" s="72"/>
      <c r="I9" s="10"/>
      <c r="J9" s="10"/>
      <c r="L9">
        <v>85029</v>
      </c>
      <c r="M9" s="193">
        <v>7242.98</v>
      </c>
      <c r="N9" s="219"/>
    </row>
    <row r="10" spans="2:14" ht="14.25" customHeight="1">
      <c r="B10" s="71" t="s">
        <v>1322</v>
      </c>
      <c r="C10" s="91">
        <v>14753.91</v>
      </c>
      <c r="D10" s="92"/>
      <c r="E10" s="95">
        <v>0</v>
      </c>
      <c r="F10" s="72"/>
      <c r="G10" s="72"/>
      <c r="I10" s="10"/>
      <c r="J10" s="10"/>
      <c r="L10">
        <v>53714</v>
      </c>
      <c r="M10" s="193">
        <v>15053.75</v>
      </c>
    </row>
    <row r="11" spans="2:14">
      <c r="B11" s="71" t="s">
        <v>1239</v>
      </c>
      <c r="C11" s="91">
        <f>I12</f>
        <v>0</v>
      </c>
      <c r="D11" s="92"/>
      <c r="E11" s="95">
        <v>0</v>
      </c>
      <c r="F11" s="72"/>
      <c r="G11" s="72"/>
      <c r="I11" s="10">
        <f>M6</f>
        <v>14.840405580000002</v>
      </c>
      <c r="J11" s="10" t="s">
        <v>1162</v>
      </c>
      <c r="L11">
        <v>75004</v>
      </c>
      <c r="M11" s="193">
        <v>0.04</v>
      </c>
    </row>
    <row r="12" spans="2:14" ht="15.75">
      <c r="B12" s="99" t="s">
        <v>714</v>
      </c>
      <c r="C12" s="96">
        <v>-21.71</v>
      </c>
      <c r="D12" s="97"/>
      <c r="E12" s="63">
        <v>0</v>
      </c>
      <c r="F12" s="64"/>
      <c r="G12" s="64" t="s">
        <v>58</v>
      </c>
      <c r="I12" s="10"/>
      <c r="J12" s="10"/>
      <c r="L12" s="217" t="s">
        <v>45</v>
      </c>
      <c r="M12" s="218">
        <f>SUM(M8:M11)</f>
        <v>92069.98</v>
      </c>
    </row>
    <row r="13" spans="2:14" ht="15.75">
      <c r="B13" s="99" t="s">
        <v>529</v>
      </c>
      <c r="C13" s="96">
        <v>-15000</v>
      </c>
      <c r="D13" s="97"/>
      <c r="E13" s="63">
        <v>0</v>
      </c>
      <c r="F13" s="64"/>
      <c r="G13" s="64" t="s">
        <v>58</v>
      </c>
      <c r="I13" s="10"/>
      <c r="J13" s="10"/>
      <c r="L13" s="217" t="s">
        <v>1249</v>
      </c>
      <c r="M13" s="217" t="s">
        <v>646</v>
      </c>
    </row>
    <row r="14" spans="2:14">
      <c r="B14" s="99" t="s">
        <v>1323</v>
      </c>
      <c r="C14" s="96">
        <v>-320</v>
      </c>
      <c r="D14" s="97"/>
      <c r="E14" s="63">
        <v>0</v>
      </c>
      <c r="F14" s="64"/>
      <c r="G14" s="64" t="s">
        <v>58</v>
      </c>
      <c r="I14" s="10">
        <v>10556.28</v>
      </c>
      <c r="J14" s="10" t="s">
        <v>1127</v>
      </c>
      <c r="L14" t="s">
        <v>1308</v>
      </c>
      <c r="M14" s="193">
        <v>7479.39</v>
      </c>
    </row>
    <row r="15" spans="2:14">
      <c r="B15" s="99" t="s">
        <v>1098</v>
      </c>
      <c r="C15" s="96">
        <v>-187.3</v>
      </c>
      <c r="D15" s="97"/>
      <c r="E15" s="63">
        <v>0</v>
      </c>
      <c r="F15" s="64"/>
      <c r="G15" s="64" t="s">
        <v>58</v>
      </c>
      <c r="I15" s="10"/>
      <c r="J15" s="10"/>
      <c r="L15" t="s">
        <v>1309</v>
      </c>
      <c r="M15" s="193">
        <v>40237.03</v>
      </c>
    </row>
    <row r="16" spans="2:14" ht="15.75">
      <c r="B16" s="99" t="s">
        <v>65</v>
      </c>
      <c r="C16" s="96">
        <v>-600</v>
      </c>
      <c r="D16" s="97"/>
      <c r="E16" s="63">
        <v>0</v>
      </c>
      <c r="F16" s="64"/>
      <c r="G16" s="64" t="s">
        <v>58</v>
      </c>
      <c r="I16" s="10"/>
      <c r="J16" s="10"/>
      <c r="L16" s="217" t="s">
        <v>45</v>
      </c>
      <c r="M16" s="218">
        <f>SUM(M14:M15)</f>
        <v>47716.42</v>
      </c>
    </row>
    <row r="17" spans="2:13">
      <c r="B17" s="99" t="s">
        <v>1069</v>
      </c>
      <c r="C17" s="96">
        <v>-754.98</v>
      </c>
      <c r="D17" s="97"/>
      <c r="E17" s="63">
        <v>0</v>
      </c>
      <c r="F17" s="64"/>
      <c r="G17" s="64" t="s">
        <v>58</v>
      </c>
      <c r="I17" s="10">
        <v>11195.65</v>
      </c>
      <c r="J17" s="10" t="s">
        <v>1210</v>
      </c>
    </row>
    <row r="18" spans="2:13">
      <c r="B18" s="99" t="s">
        <v>1230</v>
      </c>
      <c r="C18" s="96">
        <v>-100</v>
      </c>
      <c r="D18" s="97"/>
      <c r="E18" s="63">
        <v>0</v>
      </c>
      <c r="F18" s="64"/>
      <c r="G18" s="64" t="s">
        <v>58</v>
      </c>
      <c r="H18" s="143"/>
      <c r="I18" s="10">
        <v>19438.54</v>
      </c>
      <c r="J18" s="10" t="s">
        <v>1312</v>
      </c>
    </row>
    <row r="19" spans="2:13">
      <c r="B19" s="99" t="s">
        <v>1324</v>
      </c>
      <c r="C19" s="96">
        <v>-100</v>
      </c>
      <c r="D19" s="97"/>
      <c r="E19" s="63">
        <v>0</v>
      </c>
      <c r="F19" s="64"/>
      <c r="G19" s="64" t="s">
        <v>58</v>
      </c>
      <c r="I19" s="10"/>
      <c r="J19" s="10"/>
    </row>
    <row r="20" spans="2:13">
      <c r="B20" s="99" t="s">
        <v>1242</v>
      </c>
      <c r="C20" s="96">
        <v>-580</v>
      </c>
      <c r="D20" s="97"/>
      <c r="E20" s="63">
        <v>0</v>
      </c>
      <c r="F20" s="64"/>
      <c r="G20" s="64" t="s">
        <v>58</v>
      </c>
      <c r="I20" s="10"/>
      <c r="J20" s="10"/>
    </row>
    <row r="21" spans="2:13">
      <c r="B21" s="99" t="s">
        <v>1266</v>
      </c>
      <c r="C21" s="96">
        <v>-1370.76</v>
      </c>
      <c r="D21" s="97"/>
      <c r="E21" s="63">
        <v>0</v>
      </c>
      <c r="F21" s="64"/>
      <c r="G21" s="64" t="s">
        <v>58</v>
      </c>
      <c r="I21" s="10">
        <v>0</v>
      </c>
      <c r="J21" s="10" t="s">
        <v>1165</v>
      </c>
    </row>
    <row r="22" spans="2:13">
      <c r="B22" s="99" t="s">
        <v>103</v>
      </c>
      <c r="C22" s="96">
        <v>-2046.06</v>
      </c>
      <c r="D22" s="97"/>
      <c r="E22" s="63">
        <v>0</v>
      </c>
      <c r="F22" s="64"/>
      <c r="G22" s="64" t="s">
        <v>58</v>
      </c>
      <c r="I22" s="144">
        <f>SUM(I8:I21)</f>
        <v>41205.310405579999</v>
      </c>
      <c r="J22" s="144" t="s">
        <v>1031</v>
      </c>
    </row>
    <row r="23" spans="2:13">
      <c r="B23" s="99" t="s">
        <v>1032</v>
      </c>
      <c r="C23" s="96">
        <v>0</v>
      </c>
      <c r="D23" s="97"/>
      <c r="E23" s="63">
        <v>0</v>
      </c>
      <c r="F23" s="64"/>
      <c r="G23" s="64" t="s">
        <v>58</v>
      </c>
    </row>
    <row r="24" spans="2:13">
      <c r="B24" s="99" t="s">
        <v>1314</v>
      </c>
      <c r="C24" s="96">
        <v>-322.31</v>
      </c>
      <c r="D24" s="92"/>
      <c r="E24" s="63">
        <v>0</v>
      </c>
      <c r="F24" s="64"/>
      <c r="G24" s="64" t="s">
        <v>58</v>
      </c>
      <c r="I24" s="199"/>
    </row>
    <row r="25" spans="2:13" ht="18">
      <c r="B25" s="99" t="s">
        <v>125</v>
      </c>
      <c r="C25" s="96">
        <v>-2034</v>
      </c>
      <c r="D25" s="92"/>
      <c r="E25" s="63">
        <v>0</v>
      </c>
      <c r="F25" s="64"/>
      <c r="G25" s="64" t="s">
        <v>58</v>
      </c>
      <c r="I25" s="211"/>
    </row>
    <row r="26" spans="2:13">
      <c r="B26" s="99" t="s">
        <v>73</v>
      </c>
      <c r="C26" s="96">
        <v>-323.33</v>
      </c>
      <c r="D26" s="97"/>
      <c r="E26" s="63">
        <v>0</v>
      </c>
      <c r="F26" s="64"/>
      <c r="G26" s="64" t="s">
        <v>58</v>
      </c>
    </row>
    <row r="27" spans="2:13">
      <c r="B27" s="99" t="s">
        <v>707</v>
      </c>
      <c r="C27" s="96">
        <v>-4000</v>
      </c>
      <c r="D27" s="97" t="s">
        <v>1022</v>
      </c>
      <c r="E27" s="63">
        <v>0</v>
      </c>
      <c r="F27" s="64"/>
      <c r="G27" s="64" t="s">
        <v>58</v>
      </c>
    </row>
    <row r="28" spans="2:13">
      <c r="B28" s="99" t="s">
        <v>1325</v>
      </c>
      <c r="C28" s="96">
        <f>-2250-120</f>
        <v>-2370</v>
      </c>
      <c r="D28" s="97" t="s">
        <v>1022</v>
      </c>
      <c r="E28" s="63">
        <v>0</v>
      </c>
      <c r="F28" s="64"/>
      <c r="G28" s="64" t="s">
        <v>58</v>
      </c>
    </row>
    <row r="29" spans="2:13">
      <c r="B29" s="99" t="s">
        <v>83</v>
      </c>
      <c r="C29" s="96">
        <v>-85</v>
      </c>
      <c r="D29" s="97" t="s">
        <v>1022</v>
      </c>
      <c r="E29" s="63">
        <v>0</v>
      </c>
      <c r="F29" s="64"/>
      <c r="G29" s="64" t="s">
        <v>58</v>
      </c>
    </row>
    <row r="30" spans="2:13">
      <c r="B30" s="99" t="s">
        <v>1315</v>
      </c>
      <c r="C30" s="96">
        <v>-98.76</v>
      </c>
      <c r="D30" s="97" t="s">
        <v>1022</v>
      </c>
      <c r="E30" s="63">
        <v>0</v>
      </c>
      <c r="F30" s="64"/>
      <c r="G30" s="64" t="s">
        <v>58</v>
      </c>
    </row>
    <row r="31" spans="2:13">
      <c r="B31" s="99" t="s">
        <v>1326</v>
      </c>
      <c r="C31" s="96">
        <v>-100.73</v>
      </c>
      <c r="D31" s="97" t="s">
        <v>1022</v>
      </c>
      <c r="E31" s="63">
        <v>0</v>
      </c>
      <c r="F31" s="64"/>
      <c r="G31" s="64" t="s">
        <v>58</v>
      </c>
      <c r="M31" t="s">
        <v>1022</v>
      </c>
    </row>
    <row r="32" spans="2:13" ht="18">
      <c r="B32" s="99" t="s">
        <v>748</v>
      </c>
      <c r="C32" s="96">
        <v>-100</v>
      </c>
      <c r="D32" s="97"/>
      <c r="E32" s="63">
        <v>0</v>
      </c>
      <c r="F32" s="64"/>
      <c r="G32" s="64" t="s">
        <v>58</v>
      </c>
      <c r="H32" s="211"/>
    </row>
    <row r="33" spans="2:7">
      <c r="B33" s="99" t="s">
        <v>1268</v>
      </c>
      <c r="C33" s="96">
        <v>-55</v>
      </c>
      <c r="D33" s="97"/>
      <c r="E33" s="63">
        <v>0</v>
      </c>
      <c r="F33" s="64"/>
      <c r="G33" s="64" t="s">
        <v>58</v>
      </c>
    </row>
    <row r="34" spans="2:7">
      <c r="B34" s="99" t="s">
        <v>1327</v>
      </c>
      <c r="C34" s="96">
        <v>-2000</v>
      </c>
      <c r="D34" s="97"/>
      <c r="E34" s="63">
        <v>0</v>
      </c>
      <c r="F34" s="64"/>
      <c r="G34" s="64" t="s">
        <v>58</v>
      </c>
    </row>
    <row r="35" spans="2:7">
      <c r="B35" s="99" t="s">
        <v>1317</v>
      </c>
      <c r="C35" s="96">
        <v>-99.76</v>
      </c>
      <c r="D35" s="97"/>
      <c r="E35" s="63">
        <v>0</v>
      </c>
      <c r="F35" s="64"/>
      <c r="G35" s="64" t="s">
        <v>58</v>
      </c>
    </row>
    <row r="36" spans="2:7">
      <c r="B36" s="99" t="s">
        <v>1318</v>
      </c>
      <c r="C36" s="96">
        <v>-79.900000000000006</v>
      </c>
      <c r="D36" s="97"/>
      <c r="E36" s="63">
        <v>0</v>
      </c>
      <c r="F36" s="64"/>
      <c r="G36" s="64" t="s">
        <v>58</v>
      </c>
    </row>
    <row r="37" spans="2:7">
      <c r="B37" s="99" t="s">
        <v>1249</v>
      </c>
      <c r="C37" s="96">
        <v>-698.88</v>
      </c>
      <c r="D37" s="97"/>
      <c r="E37" s="63">
        <v>0</v>
      </c>
      <c r="F37" s="64"/>
      <c r="G37" s="64" t="s">
        <v>58</v>
      </c>
    </row>
    <row r="38" spans="2:7">
      <c r="B38" s="99" t="s">
        <v>686</v>
      </c>
      <c r="C38" s="96">
        <v>-812.07</v>
      </c>
      <c r="D38" s="97"/>
      <c r="E38" s="63">
        <v>0</v>
      </c>
      <c r="F38" s="64"/>
      <c r="G38" s="64" t="s">
        <v>58</v>
      </c>
    </row>
    <row r="39" spans="2:7" ht="18">
      <c r="B39" s="74" t="s">
        <v>45</v>
      </c>
      <c r="C39" s="188"/>
      <c r="D39" s="98"/>
      <c r="E39" s="129">
        <f>SUM(E3:E38)</f>
        <v>-2535.04</v>
      </c>
      <c r="F39" s="75"/>
      <c r="G39" s="75"/>
    </row>
    <row r="42" spans="2:7" ht="18">
      <c r="G42" s="211"/>
    </row>
    <row r="43" spans="2:7">
      <c r="E43" s="199"/>
    </row>
  </sheetData>
  <conditionalFormatting sqref="E3:E4">
    <cfRule type="cellIs" dxfId="281" priority="89" stopIfTrue="1" operator="lessThan">
      <formula>0</formula>
    </cfRule>
  </conditionalFormatting>
  <conditionalFormatting sqref="E5">
    <cfRule type="cellIs" dxfId="280" priority="69" stopIfTrue="1" operator="lessThan">
      <formula>0</formula>
    </cfRule>
  </conditionalFormatting>
  <conditionalFormatting sqref="E23">
    <cfRule type="cellIs" dxfId="279" priority="56" stopIfTrue="1" operator="greaterThan">
      <formula>0</formula>
    </cfRule>
  </conditionalFormatting>
  <conditionalFormatting sqref="E6">
    <cfRule type="cellIs" dxfId="278" priority="55" stopIfTrue="1" operator="lessThan">
      <formula>0</formula>
    </cfRule>
  </conditionalFormatting>
  <conditionalFormatting sqref="E7">
    <cfRule type="cellIs" dxfId="277" priority="54" stopIfTrue="1" operator="lessThan">
      <formula>0</formula>
    </cfRule>
  </conditionalFormatting>
  <conditionalFormatting sqref="E27">
    <cfRule type="cellIs" dxfId="276" priority="51" stopIfTrue="1" operator="greaterThan">
      <formula>0</formula>
    </cfRule>
  </conditionalFormatting>
  <conditionalFormatting sqref="E32">
    <cfRule type="cellIs" dxfId="275" priority="50" stopIfTrue="1" operator="greaterThan">
      <formula>0</formula>
    </cfRule>
  </conditionalFormatting>
  <conditionalFormatting sqref="E22">
    <cfRule type="cellIs" dxfId="274" priority="49" stopIfTrue="1" operator="greaterThan">
      <formula>0</formula>
    </cfRule>
  </conditionalFormatting>
  <conditionalFormatting sqref="E21">
    <cfRule type="cellIs" dxfId="273" priority="46" stopIfTrue="1" operator="greaterThan">
      <formula>0</formula>
    </cfRule>
  </conditionalFormatting>
  <conditionalFormatting sqref="E20">
    <cfRule type="cellIs" dxfId="272" priority="45" stopIfTrue="1" operator="greaterThan">
      <formula>0</formula>
    </cfRule>
  </conditionalFormatting>
  <conditionalFormatting sqref="E17">
    <cfRule type="cellIs" dxfId="271" priority="44" stopIfTrue="1" operator="greaterThan">
      <formula>0</formula>
    </cfRule>
  </conditionalFormatting>
  <conditionalFormatting sqref="E15">
    <cfRule type="cellIs" dxfId="270" priority="40" stopIfTrue="1" operator="greaterThan">
      <formula>0</formula>
    </cfRule>
  </conditionalFormatting>
  <conditionalFormatting sqref="E37">
    <cfRule type="cellIs" dxfId="269" priority="42" stopIfTrue="1" operator="greaterThan">
      <formula>0</formula>
    </cfRule>
  </conditionalFormatting>
  <conditionalFormatting sqref="E12">
    <cfRule type="cellIs" dxfId="268" priority="41" stopIfTrue="1" operator="greaterThan">
      <formula>0</formula>
    </cfRule>
  </conditionalFormatting>
  <conditionalFormatting sqref="E9">
    <cfRule type="cellIs" dxfId="267" priority="36" stopIfTrue="1" operator="lessThan">
      <formula>0</formula>
    </cfRule>
  </conditionalFormatting>
  <conditionalFormatting sqref="E35">
    <cfRule type="cellIs" dxfId="266" priority="35" stopIfTrue="1" operator="greaterThan">
      <formula>0</formula>
    </cfRule>
  </conditionalFormatting>
  <conditionalFormatting sqref="E8">
    <cfRule type="cellIs" dxfId="265" priority="34" stopIfTrue="1" operator="lessThan">
      <formula>0</formula>
    </cfRule>
  </conditionalFormatting>
  <conditionalFormatting sqref="E16">
    <cfRule type="cellIs" dxfId="264" priority="33" stopIfTrue="1" operator="greaterThan">
      <formula>0</formula>
    </cfRule>
  </conditionalFormatting>
  <conditionalFormatting sqref="E38">
    <cfRule type="cellIs" dxfId="263" priority="32" stopIfTrue="1" operator="greaterThan">
      <formula>0</formula>
    </cfRule>
  </conditionalFormatting>
  <conditionalFormatting sqref="E28">
    <cfRule type="cellIs" dxfId="262" priority="31" stopIfTrue="1" operator="greaterThan">
      <formula>0</formula>
    </cfRule>
  </conditionalFormatting>
  <conditionalFormatting sqref="E36">
    <cfRule type="cellIs" dxfId="261" priority="30" stopIfTrue="1" operator="greaterThan">
      <formula>0</formula>
    </cfRule>
  </conditionalFormatting>
  <conditionalFormatting sqref="E26">
    <cfRule type="cellIs" dxfId="260" priority="29" stopIfTrue="1" operator="greaterThan">
      <formula>0</formula>
    </cfRule>
  </conditionalFormatting>
  <conditionalFormatting sqref="E10">
    <cfRule type="cellIs" dxfId="259" priority="28" stopIfTrue="1" operator="lessThan">
      <formula>0</formula>
    </cfRule>
  </conditionalFormatting>
  <conditionalFormatting sqref="E25">
    <cfRule type="cellIs" dxfId="258" priority="22" stopIfTrue="1" operator="greaterThan">
      <formula>0</formula>
    </cfRule>
  </conditionalFormatting>
  <conditionalFormatting sqref="E11">
    <cfRule type="cellIs" dxfId="257" priority="23" stopIfTrue="1" operator="lessThan">
      <formula>0</formula>
    </cfRule>
  </conditionalFormatting>
  <conditionalFormatting sqref="E13">
    <cfRule type="cellIs" dxfId="256" priority="15" stopIfTrue="1" operator="greaterThan">
      <formula>0</formula>
    </cfRule>
  </conditionalFormatting>
  <conditionalFormatting sqref="E18">
    <cfRule type="cellIs" dxfId="255" priority="14" stopIfTrue="1" operator="greaterThan">
      <formula>0</formula>
    </cfRule>
  </conditionalFormatting>
  <conditionalFormatting sqref="E19">
    <cfRule type="cellIs" dxfId="254" priority="13" stopIfTrue="1" operator="greaterThan">
      <formula>0</formula>
    </cfRule>
  </conditionalFormatting>
  <conditionalFormatting sqref="E33">
    <cfRule type="cellIs" dxfId="253" priority="12" stopIfTrue="1" operator="greaterThan">
      <formula>0</formula>
    </cfRule>
  </conditionalFormatting>
  <conditionalFormatting sqref="E14">
    <cfRule type="cellIs" dxfId="252" priority="11" stopIfTrue="1" operator="greaterThan">
      <formula>0</formula>
    </cfRule>
  </conditionalFormatting>
  <conditionalFormatting sqref="E24">
    <cfRule type="cellIs" dxfId="251" priority="10" stopIfTrue="1" operator="greaterThan">
      <formula>0</formula>
    </cfRule>
  </conditionalFormatting>
  <conditionalFormatting sqref="E29">
    <cfRule type="cellIs" dxfId="250" priority="9" stopIfTrue="1" operator="greaterThan">
      <formula>0</formula>
    </cfRule>
  </conditionalFormatting>
  <conditionalFormatting sqref="E30">
    <cfRule type="cellIs" dxfId="249" priority="8" stopIfTrue="1" operator="greaterThan">
      <formula>0</formula>
    </cfRule>
  </conditionalFormatting>
  <conditionalFormatting sqref="E34">
    <cfRule type="cellIs" dxfId="248" priority="2" stopIfTrue="1" operator="greaterThan">
      <formula>0</formula>
    </cfRule>
  </conditionalFormatting>
  <conditionalFormatting sqref="E31">
    <cfRule type="cellIs" dxfId="247"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18.xml><?xml version="1.0" encoding="utf-8"?>
<worksheet xmlns="http://schemas.openxmlformats.org/spreadsheetml/2006/main" xmlns:r="http://schemas.openxmlformats.org/officeDocument/2006/relationships">
  <sheetPr>
    <pageSetUpPr autoPageBreaks="0"/>
  </sheetPr>
  <dimension ref="B1:N55"/>
  <sheetViews>
    <sheetView zoomScale="75" zoomScaleNormal="75" zoomScalePageLayoutView="75" workbookViewId="0">
      <selection activeCell="J30" sqref="J30"/>
    </sheetView>
  </sheetViews>
  <sheetFormatPr defaultColWidth="8.85546875" defaultRowHeight="12.75"/>
  <cols>
    <col min="1" max="1" width="2" customWidth="1"/>
    <col min="2" max="2" width="40" bestFit="1" customWidth="1"/>
    <col min="3" max="3" width="22.42578125" customWidth="1"/>
    <col min="4" max="4" width="1.7109375" customWidth="1"/>
    <col min="5" max="5" width="21.140625"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 min="14" max="14" width="10.42578125" bestFit="1" customWidth="1"/>
  </cols>
  <sheetData>
    <row r="1" spans="2:14">
      <c r="E1" s="106"/>
    </row>
    <row r="2" spans="2:14" ht="18">
      <c r="B2" s="220" t="s">
        <v>135</v>
      </c>
      <c r="C2" s="220" t="s">
        <v>1328</v>
      </c>
      <c r="D2" s="90"/>
      <c r="E2" s="220" t="s">
        <v>0</v>
      </c>
      <c r="F2" s="82" t="s">
        <v>1</v>
      </c>
      <c r="G2" s="82" t="s">
        <v>57</v>
      </c>
      <c r="I2" s="221" t="s">
        <v>913</v>
      </c>
      <c r="J2" s="221" t="s">
        <v>408</v>
      </c>
      <c r="L2" s="203" t="s">
        <v>1169</v>
      </c>
      <c r="M2" s="204">
        <v>977.95</v>
      </c>
    </row>
    <row r="3" spans="2:14" ht="15.75">
      <c r="B3" s="71" t="s">
        <v>48</v>
      </c>
      <c r="C3" s="191"/>
      <c r="D3" s="92"/>
      <c r="E3" s="95">
        <v>-340.19</v>
      </c>
      <c r="F3" s="72"/>
      <c r="G3" s="72"/>
      <c r="I3" s="10">
        <v>3777.19</v>
      </c>
      <c r="J3" s="10" t="s">
        <v>914</v>
      </c>
      <c r="L3" s="203" t="s">
        <v>1171</v>
      </c>
      <c r="M3" s="203">
        <v>58605</v>
      </c>
    </row>
    <row r="4" spans="2:14" ht="18" customHeight="1">
      <c r="B4" s="71" t="s">
        <v>7</v>
      </c>
      <c r="C4" s="191"/>
      <c r="D4" s="92"/>
      <c r="E4" s="95">
        <v>1663.5</v>
      </c>
      <c r="F4" s="72"/>
      <c r="G4" s="72"/>
      <c r="I4" s="10">
        <v>0</v>
      </c>
      <c r="J4" s="10" t="s">
        <v>915</v>
      </c>
      <c r="L4" s="203" t="s">
        <v>1172</v>
      </c>
      <c r="M4" s="207">
        <v>1.44E-6</v>
      </c>
    </row>
    <row r="5" spans="2:14" ht="17.25" customHeight="1">
      <c r="B5" s="71" t="s">
        <v>5</v>
      </c>
      <c r="C5" s="91">
        <v>13430.32</v>
      </c>
      <c r="D5" s="92"/>
      <c r="E5" s="95">
        <v>0</v>
      </c>
      <c r="F5" s="72"/>
      <c r="G5" s="72"/>
      <c r="I5" s="10">
        <v>0</v>
      </c>
      <c r="J5" s="10" t="s">
        <v>1329</v>
      </c>
      <c r="L5" s="206" t="s">
        <v>1173</v>
      </c>
      <c r="M5" s="206">
        <f>M3*M4</f>
        <v>8.43912E-2</v>
      </c>
    </row>
    <row r="6" spans="2:14">
      <c r="B6" s="71" t="s">
        <v>1330</v>
      </c>
      <c r="C6" s="91">
        <f>5000/3</f>
        <v>1666.6666666666667</v>
      </c>
      <c r="D6" s="92"/>
      <c r="E6" s="95">
        <v>0</v>
      </c>
      <c r="F6" s="72"/>
      <c r="G6" s="72"/>
      <c r="L6" s="206" t="s">
        <v>1174</v>
      </c>
      <c r="M6" s="205">
        <f>M2*M5</f>
        <v>82.530374039999998</v>
      </c>
    </row>
    <row r="7" spans="2:14" ht="15.75">
      <c r="B7" s="71" t="s">
        <v>1307</v>
      </c>
      <c r="C7" s="91">
        <v>313.12</v>
      </c>
      <c r="D7" s="92"/>
      <c r="E7" s="95">
        <v>0</v>
      </c>
      <c r="F7" s="72"/>
      <c r="G7" s="72"/>
      <c r="I7" s="221" t="s">
        <v>1143</v>
      </c>
      <c r="J7" s="221" t="s">
        <v>408</v>
      </c>
      <c r="L7" s="217" t="s">
        <v>1249</v>
      </c>
      <c r="M7" s="217" t="s">
        <v>646</v>
      </c>
    </row>
    <row r="8" spans="2:14">
      <c r="B8" s="71" t="s">
        <v>1331</v>
      </c>
      <c r="C8" s="91">
        <v>1350</v>
      </c>
      <c r="D8" s="92"/>
      <c r="E8" s="95">
        <v>0</v>
      </c>
      <c r="F8" s="72"/>
      <c r="G8" s="72"/>
      <c r="I8" s="10"/>
      <c r="J8" s="10"/>
      <c r="L8" t="s">
        <v>1308</v>
      </c>
      <c r="M8" s="193">
        <v>7479.39</v>
      </c>
    </row>
    <row r="9" spans="2:14">
      <c r="B9" s="71" t="s">
        <v>1332</v>
      </c>
      <c r="C9" s="91">
        <v>770</v>
      </c>
      <c r="D9" s="92"/>
      <c r="E9" s="95">
        <v>0</v>
      </c>
      <c r="F9" s="72"/>
      <c r="G9" s="72"/>
      <c r="I9" s="10"/>
      <c r="J9" s="10"/>
      <c r="L9" t="s">
        <v>1309</v>
      </c>
      <c r="M9" s="193">
        <v>40237.03</v>
      </c>
      <c r="N9" s="219"/>
    </row>
    <row r="10" spans="2:14" ht="14.25" customHeight="1">
      <c r="B10" s="71" t="s">
        <v>1301</v>
      </c>
      <c r="C10" s="91">
        <v>286</v>
      </c>
      <c r="D10" s="92"/>
      <c r="E10" s="95">
        <v>0</v>
      </c>
      <c r="F10" s="72"/>
      <c r="G10" s="72"/>
      <c r="I10" s="10"/>
      <c r="J10" s="10"/>
      <c r="L10" s="217" t="s">
        <v>45</v>
      </c>
      <c r="M10" s="218">
        <f>SUM(M8:M9)</f>
        <v>47716.42</v>
      </c>
    </row>
    <row r="11" spans="2:14">
      <c r="B11" s="71" t="s">
        <v>529</v>
      </c>
      <c r="C11" s="91">
        <v>390000</v>
      </c>
      <c r="D11" s="92"/>
      <c r="E11" s="95">
        <v>0</v>
      </c>
      <c r="F11" s="72"/>
      <c r="G11" s="72"/>
      <c r="I11" s="10">
        <f>M6</f>
        <v>82.530374039999998</v>
      </c>
      <c r="J11" s="10" t="s">
        <v>1162</v>
      </c>
    </row>
    <row r="12" spans="2:14">
      <c r="B12" s="71" t="s">
        <v>1333</v>
      </c>
      <c r="C12" s="91">
        <f>I14</f>
        <v>0</v>
      </c>
      <c r="D12" s="92"/>
      <c r="E12" s="95">
        <v>0</v>
      </c>
      <c r="F12" s="72"/>
      <c r="G12" s="72"/>
      <c r="I12" s="10">
        <v>158400.94</v>
      </c>
      <c r="J12" s="10" t="s">
        <v>1334</v>
      </c>
    </row>
    <row r="13" spans="2:14">
      <c r="B13" s="71" t="s">
        <v>1335</v>
      </c>
      <c r="C13" s="91">
        <v>1400</v>
      </c>
      <c r="D13" s="92"/>
      <c r="E13" s="95">
        <v>0</v>
      </c>
      <c r="F13" s="72"/>
      <c r="G13" s="72"/>
      <c r="I13" s="10"/>
      <c r="J13" s="10"/>
    </row>
    <row r="14" spans="2:14">
      <c r="B14" s="71" t="s">
        <v>1307</v>
      </c>
      <c r="C14" s="91">
        <v>69.099999999999994</v>
      </c>
      <c r="D14" s="92"/>
      <c r="E14" s="95">
        <f>C14</f>
        <v>69.099999999999994</v>
      </c>
      <c r="F14" s="72"/>
      <c r="G14" s="72"/>
      <c r="I14" s="10"/>
      <c r="J14" s="10"/>
    </row>
    <row r="15" spans="2:14">
      <c r="B15" s="71" t="s">
        <v>927</v>
      </c>
      <c r="C15" s="91">
        <v>32</v>
      </c>
      <c r="D15" s="92"/>
      <c r="E15" s="95">
        <f>C15</f>
        <v>32</v>
      </c>
      <c r="F15" s="72"/>
      <c r="G15" s="72"/>
      <c r="I15" s="10">
        <v>19498.37</v>
      </c>
      <c r="J15" s="10" t="s">
        <v>1336</v>
      </c>
    </row>
    <row r="16" spans="2:14">
      <c r="B16" s="71" t="s">
        <v>1337</v>
      </c>
      <c r="C16" s="91">
        <v>0</v>
      </c>
      <c r="D16" s="92"/>
      <c r="E16" s="95">
        <f>C16</f>
        <v>0</v>
      </c>
      <c r="F16" s="72"/>
      <c r="G16" s="72"/>
      <c r="I16" s="10">
        <v>140582.76</v>
      </c>
      <c r="J16" s="10" t="s">
        <v>1338</v>
      </c>
    </row>
    <row r="17" spans="2:13">
      <c r="B17" s="99" t="s">
        <v>1339</v>
      </c>
      <c r="C17" s="96">
        <v>-710</v>
      </c>
      <c r="D17" s="97"/>
      <c r="E17" s="63">
        <v>0</v>
      </c>
      <c r="F17" s="64"/>
      <c r="G17" s="64" t="s">
        <v>58</v>
      </c>
      <c r="I17" s="10">
        <v>0</v>
      </c>
      <c r="J17" s="10"/>
    </row>
    <row r="18" spans="2:13">
      <c r="B18" s="99" t="s">
        <v>1340</v>
      </c>
      <c r="C18" s="96">
        <v>-1900</v>
      </c>
      <c r="D18" s="97"/>
      <c r="E18" s="63">
        <v>0</v>
      </c>
      <c r="F18" s="64"/>
      <c r="G18" s="64" t="s">
        <v>58</v>
      </c>
      <c r="H18" s="143"/>
      <c r="I18" s="10"/>
      <c r="J18" s="10"/>
    </row>
    <row r="19" spans="2:13">
      <c r="B19" s="99" t="s">
        <v>1341</v>
      </c>
      <c r="C19" s="96">
        <v>-300</v>
      </c>
      <c r="D19" s="97"/>
      <c r="E19" s="63">
        <v>0</v>
      </c>
      <c r="F19" s="64"/>
      <c r="G19" s="64" t="s">
        <v>58</v>
      </c>
      <c r="I19" s="10">
        <v>0</v>
      </c>
      <c r="J19" s="10" t="s">
        <v>1342</v>
      </c>
    </row>
    <row r="20" spans="2:13">
      <c r="B20" s="99" t="s">
        <v>1343</v>
      </c>
      <c r="C20" s="96">
        <v>-300</v>
      </c>
      <c r="D20" s="97"/>
      <c r="E20" s="63">
        <v>0</v>
      </c>
      <c r="F20" s="64"/>
      <c r="G20" s="64" t="s">
        <v>58</v>
      </c>
      <c r="I20" s="10"/>
      <c r="J20" s="10"/>
    </row>
    <row r="21" spans="2:13">
      <c r="B21" s="99" t="s">
        <v>1344</v>
      </c>
      <c r="C21" s="96">
        <v>-560</v>
      </c>
      <c r="D21" s="97"/>
      <c r="E21" s="63">
        <v>0</v>
      </c>
      <c r="F21" s="64"/>
      <c r="G21" s="64" t="s">
        <v>58</v>
      </c>
      <c r="I21" s="10">
        <v>1.66</v>
      </c>
      <c r="J21" s="10" t="s">
        <v>1165</v>
      </c>
    </row>
    <row r="22" spans="2:13">
      <c r="B22" s="99" t="s">
        <v>1345</v>
      </c>
      <c r="C22" s="96">
        <v>-300</v>
      </c>
      <c r="D22" s="97"/>
      <c r="E22" s="63">
        <v>0</v>
      </c>
      <c r="F22" s="64"/>
      <c r="G22" s="64" t="s">
        <v>58</v>
      </c>
      <c r="I22" s="144">
        <f>SUM(I8:I21)</f>
        <v>318566.26037403999</v>
      </c>
      <c r="J22" s="144" t="s">
        <v>1031</v>
      </c>
    </row>
    <row r="23" spans="2:13">
      <c r="B23" s="99" t="s">
        <v>1346</v>
      </c>
      <c r="C23" s="96">
        <v>-500</v>
      </c>
      <c r="D23" s="97"/>
      <c r="E23" s="63">
        <v>0</v>
      </c>
      <c r="F23" s="64"/>
      <c r="G23" s="64" t="s">
        <v>58</v>
      </c>
    </row>
    <row r="24" spans="2:13">
      <c r="B24" s="99" t="s">
        <v>1347</v>
      </c>
      <c r="C24" s="96">
        <v>-750</v>
      </c>
      <c r="D24" s="97"/>
      <c r="E24" s="63">
        <v>0</v>
      </c>
      <c r="F24" s="64"/>
      <c r="G24" s="64" t="s">
        <v>58</v>
      </c>
      <c r="I24" s="199"/>
    </row>
    <row r="25" spans="2:13" ht="18">
      <c r="B25" s="99" t="s">
        <v>1348</v>
      </c>
      <c r="C25" s="96">
        <v>-1117.5</v>
      </c>
      <c r="D25" s="97"/>
      <c r="E25" s="63">
        <v>0</v>
      </c>
      <c r="F25" s="64"/>
      <c r="G25" s="64" t="s">
        <v>58</v>
      </c>
      <c r="I25" s="211"/>
      <c r="M25" t="s">
        <v>1022</v>
      </c>
    </row>
    <row r="26" spans="2:13">
      <c r="B26" s="99" t="s">
        <v>1349</v>
      </c>
      <c r="C26" s="96">
        <v>-1297</v>
      </c>
      <c r="D26" s="97"/>
      <c r="E26" s="63">
        <v>0</v>
      </c>
      <c r="F26" s="64"/>
      <c r="G26" s="64" t="s">
        <v>58</v>
      </c>
    </row>
    <row r="27" spans="2:13">
      <c r="B27" s="99" t="s">
        <v>102</v>
      </c>
      <c r="C27" s="96">
        <v>-288769.06</v>
      </c>
      <c r="D27" s="97"/>
      <c r="E27" s="63">
        <v>0</v>
      </c>
      <c r="F27" s="64"/>
      <c r="G27" s="64" t="s">
        <v>58</v>
      </c>
      <c r="I27" s="199">
        <f>I12+I16+I19</f>
        <v>298983.7</v>
      </c>
    </row>
    <row r="28" spans="2:13">
      <c r="B28" s="99" t="s">
        <v>1350</v>
      </c>
      <c r="C28" s="96">
        <v>-6000</v>
      </c>
      <c r="D28" s="97"/>
      <c r="E28" s="63">
        <v>0</v>
      </c>
      <c r="F28" s="64"/>
      <c r="G28" s="64" t="s">
        <v>58</v>
      </c>
    </row>
    <row r="29" spans="2:13">
      <c r="B29" s="99" t="s">
        <v>1351</v>
      </c>
      <c r="C29" s="96">
        <v>-100000</v>
      </c>
      <c r="D29" s="97"/>
      <c r="E29" s="63">
        <v>0</v>
      </c>
      <c r="F29" s="64"/>
      <c r="G29" s="64" t="s">
        <v>58</v>
      </c>
    </row>
    <row r="30" spans="2:13">
      <c r="B30" s="99" t="s">
        <v>714</v>
      </c>
      <c r="C30" s="96">
        <v>-38.92</v>
      </c>
      <c r="D30" s="97"/>
      <c r="E30" s="63">
        <v>0</v>
      </c>
      <c r="F30" s="64"/>
      <c r="G30" s="64" t="s">
        <v>58</v>
      </c>
    </row>
    <row r="31" spans="2:13">
      <c r="B31" s="99" t="s">
        <v>1098</v>
      </c>
      <c r="C31" s="96">
        <v>-132.87</v>
      </c>
      <c r="D31" s="97"/>
      <c r="E31" s="63">
        <v>0</v>
      </c>
      <c r="F31" s="64"/>
      <c r="G31" s="64" t="s">
        <v>58</v>
      </c>
    </row>
    <row r="32" spans="2:13" ht="18">
      <c r="B32" s="99" t="s">
        <v>65</v>
      </c>
      <c r="C32" s="96">
        <v>-600</v>
      </c>
      <c r="D32" s="97"/>
      <c r="E32" s="63">
        <v>0</v>
      </c>
      <c r="F32" s="64"/>
      <c r="G32" s="64" t="s">
        <v>58</v>
      </c>
      <c r="H32" s="211"/>
    </row>
    <row r="33" spans="2:7">
      <c r="B33" s="99" t="s">
        <v>1352</v>
      </c>
      <c r="C33" s="96">
        <v>-100</v>
      </c>
      <c r="D33" s="97"/>
      <c r="E33" s="63">
        <v>0</v>
      </c>
      <c r="F33" s="64"/>
      <c r="G33" s="64" t="s">
        <v>58</v>
      </c>
    </row>
    <row r="34" spans="2:7">
      <c r="B34" s="99" t="s">
        <v>1069</v>
      </c>
      <c r="C34" s="96">
        <v>-1025.04</v>
      </c>
      <c r="D34" s="97"/>
      <c r="E34" s="63">
        <v>0</v>
      </c>
      <c r="F34" s="64"/>
      <c r="G34" s="64" t="s">
        <v>58</v>
      </c>
    </row>
    <row r="35" spans="2:7">
      <c r="B35" s="99" t="s">
        <v>1242</v>
      </c>
      <c r="C35" s="96">
        <v>-580</v>
      </c>
      <c r="D35" s="97"/>
      <c r="E35" s="63">
        <v>0</v>
      </c>
      <c r="F35" s="64"/>
      <c r="G35" s="64" t="s">
        <v>58</v>
      </c>
    </row>
    <row r="36" spans="2:7">
      <c r="B36" s="99" t="s">
        <v>1266</v>
      </c>
      <c r="C36" s="96">
        <v>-1626.43</v>
      </c>
      <c r="D36" s="97"/>
      <c r="E36" s="63">
        <v>0</v>
      </c>
      <c r="F36" s="64"/>
      <c r="G36" s="64" t="s">
        <v>58</v>
      </c>
    </row>
    <row r="37" spans="2:7">
      <c r="B37" s="99" t="s">
        <v>103</v>
      </c>
      <c r="C37" s="96">
        <v>-2154.44</v>
      </c>
      <c r="D37" s="97"/>
      <c r="E37" s="63">
        <v>0</v>
      </c>
      <c r="F37" s="64"/>
      <c r="G37" s="64" t="s">
        <v>58</v>
      </c>
    </row>
    <row r="38" spans="2:7">
      <c r="B38" s="99" t="s">
        <v>1032</v>
      </c>
      <c r="C38" s="96">
        <v>0</v>
      </c>
      <c r="D38" s="97"/>
      <c r="E38" s="63">
        <v>0</v>
      </c>
      <c r="F38" s="64"/>
      <c r="G38" s="64" t="s">
        <v>58</v>
      </c>
    </row>
    <row r="39" spans="2:7">
      <c r="B39" s="99" t="s">
        <v>1314</v>
      </c>
      <c r="C39" s="96">
        <v>-177.86</v>
      </c>
      <c r="D39" s="92"/>
      <c r="E39" s="63">
        <v>0</v>
      </c>
      <c r="F39" s="64"/>
      <c r="G39" s="64" t="s">
        <v>58</v>
      </c>
    </row>
    <row r="40" spans="2:7">
      <c r="B40" s="99" t="s">
        <v>125</v>
      </c>
      <c r="C40" s="96">
        <v>-2300</v>
      </c>
      <c r="D40" s="92"/>
      <c r="E40" s="63">
        <v>0</v>
      </c>
      <c r="F40" s="64"/>
      <c r="G40" s="64" t="s">
        <v>58</v>
      </c>
    </row>
    <row r="41" spans="2:7">
      <c r="B41" s="99" t="s">
        <v>73</v>
      </c>
      <c r="C41" s="96">
        <v>-472</v>
      </c>
      <c r="D41" s="97"/>
      <c r="E41" s="63">
        <v>0</v>
      </c>
      <c r="F41" s="64"/>
      <c r="G41" s="64" t="s">
        <v>58</v>
      </c>
    </row>
    <row r="42" spans="2:7">
      <c r="B42" s="99" t="s">
        <v>1326</v>
      </c>
      <c r="C42" s="96">
        <v>-100.73</v>
      </c>
      <c r="D42" s="97" t="s">
        <v>1022</v>
      </c>
      <c r="E42" s="63">
        <v>0</v>
      </c>
      <c r="F42" s="64"/>
      <c r="G42" s="64" t="s">
        <v>58</v>
      </c>
    </row>
    <row r="43" spans="2:7">
      <c r="B43" s="99" t="s">
        <v>748</v>
      </c>
      <c r="C43" s="96">
        <v>-100</v>
      </c>
      <c r="D43" s="97"/>
      <c r="E43" s="63">
        <v>0</v>
      </c>
      <c r="F43" s="64"/>
      <c r="G43" s="64" t="s">
        <v>58</v>
      </c>
    </row>
    <row r="44" spans="2:7">
      <c r="B44" s="99" t="s">
        <v>1268</v>
      </c>
      <c r="C44" s="96">
        <v>-58.3</v>
      </c>
      <c r="D44" s="97"/>
      <c r="E44" s="63">
        <v>0</v>
      </c>
      <c r="F44" s="64"/>
      <c r="G44" s="64" t="s">
        <v>58</v>
      </c>
    </row>
    <row r="45" spans="2:7">
      <c r="B45" s="99" t="s">
        <v>1353</v>
      </c>
      <c r="C45" s="96">
        <v>-50</v>
      </c>
      <c r="D45" s="97"/>
      <c r="E45" s="63">
        <v>0</v>
      </c>
      <c r="F45" s="64"/>
      <c r="G45" s="64" t="s">
        <v>58</v>
      </c>
    </row>
    <row r="46" spans="2:7">
      <c r="B46" s="99" t="s">
        <v>1317</v>
      </c>
      <c r="C46" s="96">
        <v>-99.76</v>
      </c>
      <c r="D46" s="97"/>
      <c r="E46" s="63">
        <v>0</v>
      </c>
      <c r="F46" s="64"/>
      <c r="G46" s="64" t="s">
        <v>58</v>
      </c>
    </row>
    <row r="47" spans="2:7">
      <c r="B47" s="99" t="s">
        <v>1318</v>
      </c>
      <c r="C47" s="96">
        <v>-79.900000000000006</v>
      </c>
      <c r="D47" s="97"/>
      <c r="E47" s="63">
        <v>0</v>
      </c>
      <c r="F47" s="64"/>
      <c r="G47" s="64" t="s">
        <v>58</v>
      </c>
    </row>
    <row r="48" spans="2:7">
      <c r="B48" s="99" t="s">
        <v>1354</v>
      </c>
      <c r="C48" s="96">
        <v>-36</v>
      </c>
      <c r="D48" s="97"/>
      <c r="E48" s="63">
        <v>0</v>
      </c>
      <c r="F48" s="64"/>
      <c r="G48" s="64" t="s">
        <v>58</v>
      </c>
    </row>
    <row r="49" spans="2:7">
      <c r="B49" s="99" t="s">
        <v>1249</v>
      </c>
      <c r="C49" s="96">
        <v>-698.88</v>
      </c>
      <c r="D49" s="97"/>
      <c r="E49" s="63">
        <v>0</v>
      </c>
      <c r="F49" s="64"/>
      <c r="G49" s="64" t="s">
        <v>58</v>
      </c>
    </row>
    <row r="50" spans="2:7">
      <c r="B50" s="99" t="s">
        <v>686</v>
      </c>
      <c r="C50" s="96">
        <v>-814.04</v>
      </c>
      <c r="D50" s="97"/>
      <c r="E50" s="63">
        <v>0</v>
      </c>
      <c r="F50" s="64"/>
      <c r="G50" s="64" t="s">
        <v>58</v>
      </c>
    </row>
    <row r="51" spans="2:7" ht="18">
      <c r="B51" s="74" t="s">
        <v>45</v>
      </c>
      <c r="C51" s="188"/>
      <c r="D51" s="98"/>
      <c r="E51" s="129">
        <f>SUM(E3:E50)</f>
        <v>1424.4099999999999</v>
      </c>
      <c r="F51" s="75"/>
      <c r="G51" s="75"/>
    </row>
    <row r="54" spans="2:7" ht="18">
      <c r="G54" s="211"/>
    </row>
    <row r="55" spans="2:7">
      <c r="E55" s="199"/>
    </row>
  </sheetData>
  <conditionalFormatting sqref="E4:E5">
    <cfRule type="cellIs" dxfId="246" priority="119" stopIfTrue="1" operator="lessThan">
      <formula>0</formula>
    </cfRule>
  </conditionalFormatting>
  <conditionalFormatting sqref="E6">
    <cfRule type="cellIs" dxfId="245" priority="113" stopIfTrue="1" operator="lessThan">
      <formula>0</formula>
    </cfRule>
  </conditionalFormatting>
  <conditionalFormatting sqref="E10">
    <cfRule type="cellIs" dxfId="244" priority="99" stopIfTrue="1" operator="lessThan">
      <formula>0</formula>
    </cfRule>
  </conditionalFormatting>
  <conditionalFormatting sqref="E16">
    <cfRule type="cellIs" dxfId="243" priority="93" stopIfTrue="1" operator="lessThan">
      <formula>0</formula>
    </cfRule>
  </conditionalFormatting>
  <conditionalFormatting sqref="E11">
    <cfRule type="cellIs" dxfId="242" priority="88" stopIfTrue="1" operator="lessThan">
      <formula>0</formula>
    </cfRule>
  </conditionalFormatting>
  <conditionalFormatting sqref="E38">
    <cfRule type="cellIs" dxfId="241" priority="85" stopIfTrue="1" operator="greaterThan">
      <formula>0</formula>
    </cfRule>
  </conditionalFormatting>
  <conditionalFormatting sqref="E7">
    <cfRule type="cellIs" dxfId="240" priority="73" stopIfTrue="1" operator="lessThan">
      <formula>0</formula>
    </cfRule>
  </conditionalFormatting>
  <conditionalFormatting sqref="E33">
    <cfRule type="cellIs" dxfId="239" priority="65" stopIfTrue="1" operator="greaterThan">
      <formula>0</formula>
    </cfRule>
  </conditionalFormatting>
  <conditionalFormatting sqref="E50">
    <cfRule type="cellIs" dxfId="238" priority="56" stopIfTrue="1" operator="greaterThan">
      <formula>0</formula>
    </cfRule>
  </conditionalFormatting>
  <conditionalFormatting sqref="E49">
    <cfRule type="cellIs" dxfId="237" priority="55" stopIfTrue="1" operator="greaterThan">
      <formula>0</formula>
    </cfRule>
  </conditionalFormatting>
  <conditionalFormatting sqref="E43">
    <cfRule type="cellIs" dxfId="236" priority="54" stopIfTrue="1" operator="greaterThan">
      <formula>0</formula>
    </cfRule>
  </conditionalFormatting>
  <conditionalFormatting sqref="E37">
    <cfRule type="cellIs" dxfId="235" priority="53" stopIfTrue="1" operator="greaterThan">
      <formula>0</formula>
    </cfRule>
  </conditionalFormatting>
  <conditionalFormatting sqref="E35">
    <cfRule type="cellIs" dxfId="234" priority="52" stopIfTrue="1" operator="greaterThan">
      <formula>0</formula>
    </cfRule>
  </conditionalFormatting>
  <conditionalFormatting sqref="E34">
    <cfRule type="cellIs" dxfId="233" priority="51" stopIfTrue="1" operator="greaterThan">
      <formula>0</formula>
    </cfRule>
  </conditionalFormatting>
  <conditionalFormatting sqref="E32">
    <cfRule type="cellIs" dxfId="232" priority="50" stopIfTrue="1" operator="greaterThan">
      <formula>0</formula>
    </cfRule>
  </conditionalFormatting>
  <conditionalFormatting sqref="E12">
    <cfRule type="cellIs" dxfId="231" priority="49" stopIfTrue="1" operator="lessThan">
      <formula>0</formula>
    </cfRule>
  </conditionalFormatting>
  <conditionalFormatting sqref="E27">
    <cfRule type="cellIs" dxfId="230" priority="48" stopIfTrue="1" operator="greaterThan">
      <formula>0</formula>
    </cfRule>
  </conditionalFormatting>
  <conditionalFormatting sqref="E29">
    <cfRule type="cellIs" dxfId="229" priority="47" stopIfTrue="1" operator="greaterThan">
      <formula>0</formula>
    </cfRule>
  </conditionalFormatting>
  <conditionalFormatting sqref="E36">
    <cfRule type="cellIs" dxfId="228" priority="46" stopIfTrue="1" operator="greaterThan">
      <formula>0</formula>
    </cfRule>
  </conditionalFormatting>
  <conditionalFormatting sqref="E17">
    <cfRule type="cellIs" dxfId="227" priority="42" stopIfTrue="1" operator="greaterThan">
      <formula>0</formula>
    </cfRule>
  </conditionalFormatting>
  <conditionalFormatting sqref="E30:E31">
    <cfRule type="cellIs" dxfId="226" priority="41" stopIfTrue="1" operator="greaterThan">
      <formula>0</formula>
    </cfRule>
  </conditionalFormatting>
  <conditionalFormatting sqref="E9">
    <cfRule type="cellIs" dxfId="225" priority="43" stopIfTrue="1" operator="lessThan">
      <formula>0</formula>
    </cfRule>
  </conditionalFormatting>
  <conditionalFormatting sqref="E47">
    <cfRule type="cellIs" dxfId="224" priority="29" stopIfTrue="1" operator="greaterThan">
      <formula>0</formula>
    </cfRule>
  </conditionalFormatting>
  <conditionalFormatting sqref="E21">
    <cfRule type="cellIs" dxfId="223" priority="28" stopIfTrue="1" operator="greaterThan">
      <formula>0</formula>
    </cfRule>
  </conditionalFormatting>
  <conditionalFormatting sqref="E19">
    <cfRule type="cellIs" dxfId="222" priority="31" stopIfTrue="1" operator="greaterThan">
      <formula>0</formula>
    </cfRule>
  </conditionalFormatting>
  <conditionalFormatting sqref="E20">
    <cfRule type="cellIs" dxfId="221" priority="30" stopIfTrue="1" operator="greaterThan">
      <formula>0</formula>
    </cfRule>
  </conditionalFormatting>
  <conditionalFormatting sqref="E23">
    <cfRule type="cellIs" dxfId="220" priority="26" stopIfTrue="1" operator="greaterThan">
      <formula>0</formula>
    </cfRule>
  </conditionalFormatting>
  <conditionalFormatting sqref="E46">
    <cfRule type="cellIs" dxfId="219" priority="25" stopIfTrue="1" operator="greaterThan">
      <formula>0</formula>
    </cfRule>
  </conditionalFormatting>
  <conditionalFormatting sqref="E24">
    <cfRule type="cellIs" dxfId="218" priority="24" stopIfTrue="1" operator="greaterThan">
      <formula>0</formula>
    </cfRule>
  </conditionalFormatting>
  <conditionalFormatting sqref="E3">
    <cfRule type="cellIs" dxfId="217" priority="23" stopIfTrue="1" operator="lessThan">
      <formula>0</formula>
    </cfRule>
  </conditionalFormatting>
  <conditionalFormatting sqref="E26">
    <cfRule type="cellIs" dxfId="216" priority="22" stopIfTrue="1" operator="greaterThan">
      <formula>0</formula>
    </cfRule>
  </conditionalFormatting>
  <conditionalFormatting sqref="E41">
    <cfRule type="cellIs" dxfId="215" priority="18" stopIfTrue="1" operator="greaterThan">
      <formula>0</formula>
    </cfRule>
  </conditionalFormatting>
  <conditionalFormatting sqref="E40">
    <cfRule type="cellIs" dxfId="214" priority="17" stopIfTrue="1" operator="greaterThan">
      <formula>0</formula>
    </cfRule>
  </conditionalFormatting>
  <conditionalFormatting sqref="E13">
    <cfRule type="cellIs" dxfId="213" priority="16" stopIfTrue="1" operator="lessThan">
      <formula>0</formula>
    </cfRule>
  </conditionalFormatting>
  <conditionalFormatting sqref="E44">
    <cfRule type="cellIs" dxfId="212" priority="15" stopIfTrue="1" operator="greaterThan">
      <formula>0</formula>
    </cfRule>
  </conditionalFormatting>
  <conditionalFormatting sqref="E28">
    <cfRule type="cellIs" dxfId="211" priority="14" stopIfTrue="1" operator="greaterThan">
      <formula>0</formula>
    </cfRule>
  </conditionalFormatting>
  <conditionalFormatting sqref="E48">
    <cfRule type="cellIs" dxfId="210" priority="13" stopIfTrue="1" operator="greaterThan">
      <formula>0</formula>
    </cfRule>
  </conditionalFormatting>
  <conditionalFormatting sqref="E18">
    <cfRule type="cellIs" dxfId="209" priority="12" stopIfTrue="1" operator="greaterThan">
      <formula>0</formula>
    </cfRule>
  </conditionalFormatting>
  <conditionalFormatting sqref="E39">
    <cfRule type="cellIs" dxfId="208" priority="11" stopIfTrue="1" operator="greaterThan">
      <formula>0</formula>
    </cfRule>
  </conditionalFormatting>
  <conditionalFormatting sqref="E15">
    <cfRule type="cellIs" dxfId="207" priority="10" stopIfTrue="1" operator="lessThan">
      <formula>0</formula>
    </cfRule>
  </conditionalFormatting>
  <conditionalFormatting sqref="E14">
    <cfRule type="cellIs" dxfId="206" priority="9" stopIfTrue="1" operator="lessThan">
      <formula>0</formula>
    </cfRule>
  </conditionalFormatting>
  <conditionalFormatting sqref="E25">
    <cfRule type="cellIs" dxfId="205" priority="8" stopIfTrue="1" operator="greaterThan">
      <formula>0</formula>
    </cfRule>
  </conditionalFormatting>
  <conditionalFormatting sqref="E8">
    <cfRule type="cellIs" dxfId="204" priority="7" stopIfTrue="1" operator="lessThan">
      <formula>0</formula>
    </cfRule>
  </conditionalFormatting>
  <conditionalFormatting sqref="E42">
    <cfRule type="cellIs" dxfId="203" priority="6" stopIfTrue="1" operator="greaterThan">
      <formula>0</formula>
    </cfRule>
  </conditionalFormatting>
  <conditionalFormatting sqref="E22">
    <cfRule type="cellIs" dxfId="202" priority="2" stopIfTrue="1" operator="greaterThan">
      <formula>0</formula>
    </cfRule>
  </conditionalFormatting>
  <conditionalFormatting sqref="E45">
    <cfRule type="cellIs" dxfId="201"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19.xml><?xml version="1.0" encoding="utf-8"?>
<worksheet xmlns="http://schemas.openxmlformats.org/spreadsheetml/2006/main" xmlns:r="http://schemas.openxmlformats.org/officeDocument/2006/relationships">
  <sheetPr>
    <pageSetUpPr autoPageBreaks="0"/>
  </sheetPr>
  <dimension ref="B1:N60"/>
  <sheetViews>
    <sheetView topLeftCell="A19" zoomScale="75" zoomScaleNormal="75" zoomScalePageLayoutView="75" workbookViewId="0">
      <selection activeCell="C5" sqref="C5"/>
    </sheetView>
  </sheetViews>
  <sheetFormatPr defaultColWidth="8.85546875" defaultRowHeight="12.75"/>
  <cols>
    <col min="1" max="1" width="2" customWidth="1"/>
    <col min="2" max="2" width="40" bestFit="1" customWidth="1"/>
    <col min="3" max="3" width="22.42578125" customWidth="1"/>
    <col min="4" max="4" width="1.7109375" customWidth="1"/>
    <col min="5" max="5" width="22.42578125" bestFit="1" customWidth="1"/>
    <col min="6" max="6" width="9.42578125" customWidth="1"/>
    <col min="7" max="7" width="11.7109375" customWidth="1"/>
    <col min="8" max="8" width="1" customWidth="1"/>
    <col min="9" max="9" width="19.85546875" customWidth="1"/>
    <col min="10" max="10" width="32.85546875" bestFit="1" customWidth="1"/>
    <col min="11" max="11" width="1.42578125" customWidth="1"/>
    <col min="12" max="13" width="23.42578125" customWidth="1"/>
    <col min="14" max="14" width="10.42578125" bestFit="1" customWidth="1"/>
  </cols>
  <sheetData>
    <row r="1" spans="2:14">
      <c r="E1" s="106"/>
    </row>
    <row r="2" spans="2:14" ht="18">
      <c r="B2" s="220" t="s">
        <v>135</v>
      </c>
      <c r="C2" s="220" t="s">
        <v>1328</v>
      </c>
      <c r="D2" s="90"/>
      <c r="E2" s="220" t="s">
        <v>0</v>
      </c>
      <c r="F2" s="82" t="s">
        <v>1</v>
      </c>
      <c r="G2" s="82" t="s">
        <v>57</v>
      </c>
      <c r="I2" s="221" t="s">
        <v>913</v>
      </c>
      <c r="J2" s="221" t="s">
        <v>408</v>
      </c>
      <c r="L2" s="203" t="s">
        <v>1169</v>
      </c>
      <c r="M2" s="204">
        <v>1553</v>
      </c>
    </row>
    <row r="3" spans="2:14" ht="15.75">
      <c r="B3" s="71" t="s">
        <v>48</v>
      </c>
      <c r="C3" s="191"/>
      <c r="D3" s="92"/>
      <c r="E3" s="95">
        <v>15.77</v>
      </c>
      <c r="F3" s="72"/>
      <c r="G3" s="72"/>
      <c r="I3" s="10">
        <v>4933.17</v>
      </c>
      <c r="J3" s="10" t="s">
        <v>914</v>
      </c>
      <c r="L3" s="203" t="s">
        <v>1319</v>
      </c>
      <c r="M3" s="203">
        <v>82</v>
      </c>
    </row>
    <row r="4" spans="2:14" ht="18" customHeight="1">
      <c r="B4" s="71" t="s">
        <v>7</v>
      </c>
      <c r="C4" s="191"/>
      <c r="D4" s="92"/>
      <c r="E4" s="95">
        <v>67.209999999999994</v>
      </c>
      <c r="F4" s="72"/>
      <c r="G4" s="72"/>
      <c r="I4" s="10">
        <v>0</v>
      </c>
      <c r="J4" s="10" t="s">
        <v>915</v>
      </c>
      <c r="L4" s="203" t="s">
        <v>1172</v>
      </c>
      <c r="M4" s="207">
        <v>1.4315000000000001E-4</v>
      </c>
    </row>
    <row r="5" spans="2:14" ht="17.25" customHeight="1">
      <c r="B5" s="71" t="s">
        <v>5</v>
      </c>
      <c r="C5" s="91">
        <v>13369.74</v>
      </c>
      <c r="D5" s="92"/>
      <c r="E5" s="95">
        <v>0</v>
      </c>
      <c r="F5" s="72"/>
      <c r="G5" s="72"/>
      <c r="I5" s="10">
        <v>0</v>
      </c>
      <c r="J5" s="10" t="s">
        <v>1329</v>
      </c>
      <c r="L5" s="206" t="s">
        <v>1173</v>
      </c>
      <c r="M5" s="206">
        <f>M3*M4</f>
        <v>1.17383E-2</v>
      </c>
    </row>
    <row r="6" spans="2:14">
      <c r="B6" s="71" t="s">
        <v>1355</v>
      </c>
      <c r="C6" s="91">
        <v>1666</v>
      </c>
      <c r="D6" s="92"/>
      <c r="E6" s="95">
        <v>0</v>
      </c>
      <c r="F6" s="72"/>
      <c r="G6" s="72"/>
      <c r="L6" s="206" t="s">
        <v>1174</v>
      </c>
      <c r="M6" s="205">
        <f>M2*M5</f>
        <v>18.229579900000001</v>
      </c>
    </row>
    <row r="7" spans="2:14" ht="15.75">
      <c r="B7" s="71" t="s">
        <v>1356</v>
      </c>
      <c r="C7" s="91">
        <v>100000</v>
      </c>
      <c r="D7" s="92"/>
      <c r="E7" s="95">
        <v>0</v>
      </c>
      <c r="F7" s="72"/>
      <c r="G7" s="72"/>
      <c r="I7" s="221" t="s">
        <v>1143</v>
      </c>
      <c r="J7" s="221" t="s">
        <v>408</v>
      </c>
      <c r="L7" s="217" t="s">
        <v>1249</v>
      </c>
      <c r="M7" s="217" t="s">
        <v>646</v>
      </c>
    </row>
    <row r="8" spans="2:14">
      <c r="B8" s="71" t="s">
        <v>602</v>
      </c>
      <c r="C8" s="91">
        <v>4622.37</v>
      </c>
      <c r="D8" s="92"/>
      <c r="E8" s="95">
        <v>0</v>
      </c>
      <c r="F8" s="72"/>
      <c r="G8" s="72"/>
      <c r="I8" s="10"/>
      <c r="J8" s="10"/>
      <c r="L8" t="s">
        <v>1308</v>
      </c>
      <c r="M8" s="193">
        <v>7479.39</v>
      </c>
    </row>
    <row r="9" spans="2:14">
      <c r="B9" s="71" t="s">
        <v>107</v>
      </c>
      <c r="C9" s="91">
        <v>69.099999999999994</v>
      </c>
      <c r="D9" s="92"/>
      <c r="E9" s="95">
        <v>0</v>
      </c>
      <c r="F9" s="72"/>
      <c r="G9" s="72"/>
      <c r="I9" s="10"/>
      <c r="J9" s="10"/>
      <c r="L9" t="s">
        <v>1309</v>
      </c>
      <c r="M9" s="193">
        <v>40237.03</v>
      </c>
      <c r="N9" s="219"/>
    </row>
    <row r="10" spans="2:14" ht="14.25" customHeight="1">
      <c r="B10" s="71" t="s">
        <v>1375</v>
      </c>
      <c r="C10" s="91">
        <v>1595</v>
      </c>
      <c r="D10" s="92"/>
      <c r="E10" s="95">
        <v>0</v>
      </c>
      <c r="F10" s="72"/>
      <c r="G10" s="72"/>
      <c r="I10" s="10"/>
      <c r="J10" s="10"/>
      <c r="L10" s="217" t="s">
        <v>45</v>
      </c>
      <c r="M10" s="218">
        <f>SUM(M8:M9)</f>
        <v>47716.42</v>
      </c>
    </row>
    <row r="11" spans="2:14">
      <c r="B11" s="71" t="s">
        <v>1379</v>
      </c>
      <c r="C11" s="91">
        <v>995</v>
      </c>
      <c r="D11" s="92"/>
      <c r="E11" s="95">
        <v>0</v>
      </c>
      <c r="F11" s="72"/>
      <c r="G11" s="72"/>
      <c r="I11" s="10">
        <f>M6</f>
        <v>18.229579900000001</v>
      </c>
      <c r="J11" s="10" t="s">
        <v>1162</v>
      </c>
    </row>
    <row r="12" spans="2:14">
      <c r="B12" s="99" t="s">
        <v>1358</v>
      </c>
      <c r="C12" s="96">
        <v>-82</v>
      </c>
      <c r="D12" s="97"/>
      <c r="E12" s="63">
        <v>0</v>
      </c>
      <c r="F12" s="64"/>
      <c r="G12" s="64" t="s">
        <v>58</v>
      </c>
      <c r="I12" s="10">
        <v>155931.23000000001</v>
      </c>
      <c r="J12" s="10" t="s">
        <v>1334</v>
      </c>
    </row>
    <row r="13" spans="2:14">
      <c r="B13" s="99" t="s">
        <v>1373</v>
      </c>
      <c r="C13" s="96">
        <v>-41.1</v>
      </c>
      <c r="D13" s="97"/>
      <c r="E13" s="63">
        <v>0</v>
      </c>
      <c r="F13" s="64"/>
      <c r="G13" s="64" t="s">
        <v>58</v>
      </c>
      <c r="I13" s="10"/>
      <c r="J13" s="10"/>
    </row>
    <row r="14" spans="2:14">
      <c r="B14" s="99" t="s">
        <v>1339</v>
      </c>
      <c r="C14" s="96">
        <v>-696.82</v>
      </c>
      <c r="D14" s="97"/>
      <c r="E14" s="63">
        <v>0</v>
      </c>
      <c r="F14" s="64"/>
      <c r="G14" s="64" t="s">
        <v>58</v>
      </c>
      <c r="I14" s="10"/>
      <c r="J14" s="10"/>
    </row>
    <row r="15" spans="2:14">
      <c r="B15" s="99" t="s">
        <v>1360</v>
      </c>
      <c r="C15" s="96">
        <v>-700</v>
      </c>
      <c r="D15" s="97"/>
      <c r="E15" s="63">
        <v>0</v>
      </c>
      <c r="F15" s="64"/>
      <c r="G15" s="64" t="s">
        <v>58</v>
      </c>
      <c r="I15" s="10">
        <v>19682.419999999998</v>
      </c>
      <c r="J15" s="10" t="s">
        <v>1336</v>
      </c>
    </row>
    <row r="16" spans="2:14">
      <c r="B16" s="99" t="s">
        <v>1361</v>
      </c>
      <c r="C16" s="96">
        <v>-560</v>
      </c>
      <c r="D16" s="97"/>
      <c r="E16" s="63">
        <v>0</v>
      </c>
      <c r="F16" s="64"/>
      <c r="G16" s="64" t="s">
        <v>58</v>
      </c>
      <c r="I16" s="10">
        <v>142069.21</v>
      </c>
      <c r="J16" s="10" t="s">
        <v>1338</v>
      </c>
    </row>
    <row r="17" spans="2:13">
      <c r="B17" s="99" t="s">
        <v>1345</v>
      </c>
      <c r="C17" s="96">
        <v>-300</v>
      </c>
      <c r="D17" s="97"/>
      <c r="E17" s="63">
        <v>0</v>
      </c>
      <c r="F17" s="64"/>
      <c r="G17" s="64" t="s">
        <v>58</v>
      </c>
      <c r="I17" s="10">
        <v>99799.13</v>
      </c>
      <c r="J17" s="10" t="s">
        <v>1372</v>
      </c>
    </row>
    <row r="18" spans="2:13">
      <c r="B18" s="99" t="s">
        <v>1384</v>
      </c>
      <c r="C18" s="96">
        <v>-80</v>
      </c>
      <c r="D18" s="97"/>
      <c r="E18" s="63">
        <v>0</v>
      </c>
      <c r="F18" s="64"/>
      <c r="G18" s="64" t="s">
        <v>58</v>
      </c>
      <c r="H18" s="143"/>
      <c r="I18" s="10"/>
      <c r="J18" s="10"/>
    </row>
    <row r="19" spans="2:13">
      <c r="B19" s="99" t="s">
        <v>1362</v>
      </c>
      <c r="C19" s="96">
        <v>-300</v>
      </c>
      <c r="D19" s="97"/>
      <c r="E19" s="63">
        <v>0</v>
      </c>
      <c r="F19" s="64"/>
      <c r="G19" s="64" t="s">
        <v>58</v>
      </c>
      <c r="I19" s="10">
        <v>0</v>
      </c>
      <c r="J19" s="10" t="s">
        <v>1374</v>
      </c>
    </row>
    <row r="20" spans="2:13">
      <c r="B20" s="99" t="s">
        <v>1363</v>
      </c>
      <c r="C20" s="96">
        <v>-500</v>
      </c>
      <c r="D20" s="97"/>
      <c r="E20" s="63">
        <v>0</v>
      </c>
      <c r="F20" s="64"/>
      <c r="G20" s="64" t="s">
        <v>58</v>
      </c>
      <c r="I20" s="10"/>
      <c r="J20" s="10"/>
    </row>
    <row r="21" spans="2:13">
      <c r="B21" s="99" t="s">
        <v>1385</v>
      </c>
      <c r="C21" s="96">
        <v>-1011.5</v>
      </c>
      <c r="D21" s="97"/>
      <c r="E21" s="63">
        <v>0</v>
      </c>
      <c r="F21" s="64"/>
      <c r="G21" s="64" t="s">
        <v>58</v>
      </c>
      <c r="I21" s="10">
        <v>3.82</v>
      </c>
      <c r="J21" s="10" t="s">
        <v>1165</v>
      </c>
    </row>
    <row r="22" spans="2:13">
      <c r="B22" s="99" t="s">
        <v>658</v>
      </c>
      <c r="C22" s="96">
        <v>-500</v>
      </c>
      <c r="D22" s="97"/>
      <c r="E22" s="63">
        <v>0</v>
      </c>
      <c r="F22" s="64"/>
      <c r="G22" s="64" t="s">
        <v>58</v>
      </c>
      <c r="I22" s="144">
        <f>SUM(I8:I21)</f>
        <v>417504.03957990004</v>
      </c>
      <c r="J22" s="144" t="s">
        <v>1031</v>
      </c>
    </row>
    <row r="23" spans="2:13">
      <c r="B23" s="99" t="s">
        <v>1364</v>
      </c>
      <c r="C23" s="96">
        <v>-100</v>
      </c>
      <c r="D23" s="97"/>
      <c r="E23" s="63">
        <v>0</v>
      </c>
      <c r="F23" s="64"/>
      <c r="G23" s="64" t="s">
        <v>58</v>
      </c>
    </row>
    <row r="24" spans="2:13">
      <c r="B24" s="99" t="s">
        <v>1365</v>
      </c>
      <c r="C24" s="96">
        <v>-100</v>
      </c>
      <c r="D24" s="97"/>
      <c r="E24" s="63">
        <v>0</v>
      </c>
      <c r="F24" s="64"/>
      <c r="G24" s="64" t="s">
        <v>58</v>
      </c>
      <c r="I24" s="199"/>
    </row>
    <row r="25" spans="2:13" ht="18">
      <c r="B25" s="99" t="s">
        <v>1366</v>
      </c>
      <c r="C25" s="96">
        <v>-3375</v>
      </c>
      <c r="D25" s="97"/>
      <c r="E25" s="63">
        <v>0</v>
      </c>
      <c r="F25" s="64"/>
      <c r="G25" s="64" t="s">
        <v>58</v>
      </c>
      <c r="I25" s="211"/>
      <c r="M25" t="s">
        <v>1022</v>
      </c>
    </row>
    <row r="26" spans="2:13">
      <c r="B26" s="99" t="s">
        <v>1367</v>
      </c>
      <c r="C26" s="96">
        <v>-600</v>
      </c>
      <c r="D26" s="97"/>
      <c r="E26" s="63">
        <v>0</v>
      </c>
      <c r="F26" s="64"/>
      <c r="G26" s="64" t="s">
        <v>58</v>
      </c>
    </row>
    <row r="27" spans="2:13">
      <c r="B27" s="99" t="s">
        <v>1368</v>
      </c>
      <c r="C27" s="96">
        <v>-1297</v>
      </c>
      <c r="D27" s="97"/>
      <c r="E27" s="63">
        <v>0</v>
      </c>
      <c r="F27" s="64"/>
      <c r="G27" s="64" t="s">
        <v>58</v>
      </c>
      <c r="I27" s="199">
        <f>I12+I16+I19</f>
        <v>298000.44</v>
      </c>
    </row>
    <row r="28" spans="2:13">
      <c r="B28" s="99" t="s">
        <v>171</v>
      </c>
      <c r="C28" s="96">
        <v>-167.21</v>
      </c>
      <c r="D28" s="97"/>
      <c r="E28" s="63">
        <v>0</v>
      </c>
      <c r="F28" s="64"/>
      <c r="G28" s="64" t="s">
        <v>58</v>
      </c>
    </row>
    <row r="29" spans="2:13">
      <c r="B29" s="99" t="s">
        <v>586</v>
      </c>
      <c r="C29" s="96">
        <v>-20.32</v>
      </c>
      <c r="D29" s="97"/>
      <c r="E29" s="63">
        <v>0</v>
      </c>
      <c r="F29" s="64"/>
      <c r="G29" s="64" t="s">
        <v>58</v>
      </c>
      <c r="I29" s="199"/>
    </row>
    <row r="30" spans="2:13">
      <c r="B30" s="99" t="s">
        <v>714</v>
      </c>
      <c r="C30" s="96">
        <v>-55.23</v>
      </c>
      <c r="D30" s="97"/>
      <c r="E30" s="63">
        <v>0</v>
      </c>
      <c r="F30" s="64"/>
      <c r="G30" s="64" t="s">
        <v>58</v>
      </c>
    </row>
    <row r="31" spans="2:13">
      <c r="B31" s="99" t="s">
        <v>1098</v>
      </c>
      <c r="C31" s="96">
        <v>-194</v>
      </c>
      <c r="D31" s="97"/>
      <c r="E31" s="63">
        <v>0</v>
      </c>
      <c r="F31" s="64"/>
      <c r="G31" s="64" t="s">
        <v>58</v>
      </c>
    </row>
    <row r="32" spans="2:13" ht="18">
      <c r="B32" s="99" t="s">
        <v>65</v>
      </c>
      <c r="C32" s="96">
        <v>-600</v>
      </c>
      <c r="D32" s="97"/>
      <c r="E32" s="63">
        <v>0</v>
      </c>
      <c r="F32" s="64"/>
      <c r="G32" s="64" t="s">
        <v>58</v>
      </c>
      <c r="H32" s="211"/>
    </row>
    <row r="33" spans="2:7">
      <c r="B33" s="99" t="s">
        <v>1370</v>
      </c>
      <c r="C33" s="96">
        <v>-100</v>
      </c>
      <c r="D33" s="97"/>
      <c r="E33" s="63">
        <v>0</v>
      </c>
      <c r="F33" s="64"/>
      <c r="G33" s="64" t="s">
        <v>58</v>
      </c>
    </row>
    <row r="34" spans="2:7">
      <c r="B34" s="99" t="s">
        <v>1069</v>
      </c>
      <c r="C34" s="96">
        <v>-1025.04</v>
      </c>
      <c r="D34" s="97"/>
      <c r="E34" s="63">
        <v>0</v>
      </c>
      <c r="F34" s="64"/>
      <c r="G34" s="64" t="s">
        <v>58</v>
      </c>
    </row>
    <row r="35" spans="2:7">
      <c r="B35" s="99" t="s">
        <v>1242</v>
      </c>
      <c r="C35" s="96">
        <v>-580</v>
      </c>
      <c r="D35" s="97"/>
      <c r="E35" s="63">
        <v>0</v>
      </c>
      <c r="F35" s="64"/>
      <c r="G35" s="64" t="s">
        <v>58</v>
      </c>
    </row>
    <row r="36" spans="2:7">
      <c r="B36" s="99" t="s">
        <v>1376</v>
      </c>
      <c r="C36" s="96">
        <v>-122.48</v>
      </c>
      <c r="D36" s="97"/>
      <c r="E36" s="63">
        <v>0</v>
      </c>
      <c r="F36" s="64"/>
      <c r="G36" s="64" t="s">
        <v>58</v>
      </c>
    </row>
    <row r="37" spans="2:7">
      <c r="B37" s="99" t="s">
        <v>1378</v>
      </c>
      <c r="C37" s="96">
        <v>-312</v>
      </c>
      <c r="D37" s="97"/>
      <c r="E37" s="63">
        <v>0</v>
      </c>
      <c r="F37" s="64"/>
      <c r="G37" s="64" t="s">
        <v>58</v>
      </c>
    </row>
    <row r="38" spans="2:7">
      <c r="B38" s="99" t="s">
        <v>1380</v>
      </c>
      <c r="C38" s="96">
        <v>-64.11</v>
      </c>
      <c r="D38" s="97"/>
      <c r="E38" s="63">
        <v>0</v>
      </c>
      <c r="F38" s="64"/>
      <c r="G38" s="64" t="s">
        <v>58</v>
      </c>
    </row>
    <row r="39" spans="2:7">
      <c r="B39" s="99" t="s">
        <v>1266</v>
      </c>
      <c r="C39" s="96">
        <v>-1626.43</v>
      </c>
      <c r="D39" s="97"/>
      <c r="E39" s="63">
        <v>0</v>
      </c>
      <c r="F39" s="64"/>
      <c r="G39" s="64" t="s">
        <v>58</v>
      </c>
    </row>
    <row r="40" spans="2:7">
      <c r="B40" s="99" t="s">
        <v>103</v>
      </c>
      <c r="C40" s="96">
        <v>-3777.19</v>
      </c>
      <c r="D40" s="97"/>
      <c r="E40" s="63">
        <v>0</v>
      </c>
      <c r="F40" s="64"/>
      <c r="G40" s="64" t="s">
        <v>58</v>
      </c>
    </row>
    <row r="41" spans="2:7">
      <c r="B41" s="99" t="s">
        <v>1314</v>
      </c>
      <c r="C41" s="96">
        <v>0</v>
      </c>
      <c r="D41" s="92"/>
      <c r="E41" s="63">
        <v>0</v>
      </c>
      <c r="F41" s="64"/>
      <c r="G41" s="64" t="s">
        <v>58</v>
      </c>
    </row>
    <row r="42" spans="2:7">
      <c r="B42" s="99" t="s">
        <v>1382</v>
      </c>
      <c r="C42" s="96">
        <v>-793.65</v>
      </c>
      <c r="D42" s="92"/>
      <c r="E42" s="63">
        <v>0</v>
      </c>
      <c r="F42" s="64"/>
      <c r="G42" s="64" t="s">
        <v>58</v>
      </c>
    </row>
    <row r="43" spans="2:7">
      <c r="B43" s="99" t="s">
        <v>1381</v>
      </c>
      <c r="C43" s="96">
        <v>-180</v>
      </c>
      <c r="D43" s="92"/>
      <c r="E43" s="63">
        <v>0</v>
      </c>
      <c r="F43" s="64"/>
      <c r="G43" s="64" t="s">
        <v>58</v>
      </c>
    </row>
    <row r="44" spans="2:7">
      <c r="B44" s="99" t="s">
        <v>1377</v>
      </c>
      <c r="C44" s="96">
        <v>-136</v>
      </c>
      <c r="D44" s="92"/>
      <c r="E44" s="63">
        <v>0</v>
      </c>
      <c r="F44" s="64"/>
      <c r="G44" s="64" t="s">
        <v>58</v>
      </c>
    </row>
    <row r="45" spans="2:7">
      <c r="B45" s="99" t="s">
        <v>125</v>
      </c>
      <c r="C45" s="96">
        <v>-2074</v>
      </c>
      <c r="D45" s="92"/>
      <c r="E45" s="63">
        <v>0</v>
      </c>
      <c r="F45" s="64"/>
      <c r="G45" s="64" t="s">
        <v>58</v>
      </c>
    </row>
    <row r="46" spans="2:7">
      <c r="B46" s="99" t="s">
        <v>73</v>
      </c>
      <c r="C46" s="96">
        <v>-391.74</v>
      </c>
      <c r="D46" s="97"/>
      <c r="E46" s="63">
        <v>0</v>
      </c>
      <c r="F46" s="64"/>
      <c r="G46" s="64" t="s">
        <v>58</v>
      </c>
    </row>
    <row r="47" spans="2:7">
      <c r="B47" s="99" t="s">
        <v>1371</v>
      </c>
      <c r="C47" s="96">
        <v>-107.12</v>
      </c>
      <c r="D47" s="97" t="s">
        <v>1022</v>
      </c>
      <c r="E47" s="63">
        <v>0</v>
      </c>
      <c r="F47" s="64"/>
      <c r="G47" s="64" t="s">
        <v>58</v>
      </c>
    </row>
    <row r="48" spans="2:7">
      <c r="B48" s="99" t="s">
        <v>1383</v>
      </c>
      <c r="C48" s="96">
        <v>-64.11</v>
      </c>
      <c r="D48" s="97" t="s">
        <v>1022</v>
      </c>
      <c r="E48" s="63">
        <v>0</v>
      </c>
      <c r="F48" s="64"/>
      <c r="G48" s="64" t="s">
        <v>58</v>
      </c>
    </row>
    <row r="49" spans="2:7">
      <c r="B49" s="99" t="s">
        <v>748</v>
      </c>
      <c r="C49" s="96">
        <v>-100</v>
      </c>
      <c r="D49" s="97"/>
      <c r="E49" s="63">
        <v>0</v>
      </c>
      <c r="F49" s="64"/>
      <c r="G49" s="64" t="s">
        <v>58</v>
      </c>
    </row>
    <row r="50" spans="2:7">
      <c r="B50" s="99" t="s">
        <v>1268</v>
      </c>
      <c r="C50" s="96">
        <v>-58.3</v>
      </c>
      <c r="D50" s="97"/>
      <c r="E50" s="63">
        <v>0</v>
      </c>
      <c r="F50" s="64"/>
      <c r="G50" s="64" t="s">
        <v>58</v>
      </c>
    </row>
    <row r="51" spans="2:7">
      <c r="B51" s="99" t="s">
        <v>1353</v>
      </c>
      <c r="C51" s="96">
        <v>-50</v>
      </c>
      <c r="D51" s="97"/>
      <c r="E51" s="63">
        <v>0</v>
      </c>
      <c r="F51" s="64"/>
      <c r="G51" s="64" t="s">
        <v>58</v>
      </c>
    </row>
    <row r="52" spans="2:7">
      <c r="B52" s="99" t="s">
        <v>1317</v>
      </c>
      <c r="C52" s="96">
        <v>-48.26</v>
      </c>
      <c r="D52" s="97"/>
      <c r="E52" s="63">
        <v>0</v>
      </c>
      <c r="F52" s="64"/>
      <c r="G52" s="64" t="s">
        <v>58</v>
      </c>
    </row>
    <row r="53" spans="2:7">
      <c r="B53" s="99" t="s">
        <v>1318</v>
      </c>
      <c r="C53" s="96">
        <v>-79.900000000000006</v>
      </c>
      <c r="D53" s="97"/>
      <c r="E53" s="63">
        <v>0</v>
      </c>
      <c r="F53" s="64"/>
      <c r="G53" s="64" t="s">
        <v>58</v>
      </c>
    </row>
    <row r="54" spans="2:7">
      <c r="B54" s="99" t="s">
        <v>1386</v>
      </c>
      <c r="C54" s="96">
        <v>-72</v>
      </c>
      <c r="D54" s="97"/>
      <c r="E54" s="63">
        <v>0</v>
      </c>
      <c r="F54" s="64"/>
      <c r="G54" s="64" t="s">
        <v>58</v>
      </c>
    </row>
    <row r="55" spans="2:7">
      <c r="B55" s="99" t="s">
        <v>1249</v>
      </c>
      <c r="C55" s="96">
        <v>-698.88</v>
      </c>
      <c r="D55" s="97"/>
      <c r="E55" s="63">
        <v>0</v>
      </c>
      <c r="F55" s="64"/>
      <c r="G55" s="64" t="s">
        <v>58</v>
      </c>
    </row>
    <row r="56" spans="2:7" ht="18">
      <c r="B56" s="74" t="s">
        <v>45</v>
      </c>
      <c r="C56" s="188"/>
      <c r="D56" s="98"/>
      <c r="E56" s="129">
        <f>SUM(E3:E55)</f>
        <v>82.97999999999999</v>
      </c>
      <c r="F56" s="75"/>
      <c r="G56" s="75"/>
    </row>
    <row r="59" spans="2:7" ht="18">
      <c r="G59" s="211"/>
    </row>
    <row r="60" spans="2:7">
      <c r="E60" s="199"/>
    </row>
  </sheetData>
  <conditionalFormatting sqref="E4:E5">
    <cfRule type="cellIs" dxfId="200" priority="139" stopIfTrue="1" operator="lessThan">
      <formula>0</formula>
    </cfRule>
  </conditionalFormatting>
  <conditionalFormatting sqref="E3">
    <cfRule type="cellIs" dxfId="199" priority="104" stopIfTrue="1" operator="lessThan">
      <formula>0</formula>
    </cfRule>
  </conditionalFormatting>
  <conditionalFormatting sqref="E11">
    <cfRule type="cellIs" dxfId="198" priority="89" stopIfTrue="1" operator="lessThan">
      <formula>0</formula>
    </cfRule>
  </conditionalFormatting>
  <conditionalFormatting sqref="E6">
    <cfRule type="cellIs" dxfId="197" priority="81" stopIfTrue="1" operator="lessThan">
      <formula>0</formula>
    </cfRule>
  </conditionalFormatting>
  <conditionalFormatting sqref="E13">
    <cfRule type="cellIs" dxfId="196" priority="72" stopIfTrue="1" operator="greaterThan">
      <formula>0</formula>
    </cfRule>
  </conditionalFormatting>
  <conditionalFormatting sqref="E48">
    <cfRule type="cellIs" dxfId="195" priority="68" stopIfTrue="1" operator="greaterThan">
      <formula>0</formula>
    </cfRule>
  </conditionalFormatting>
  <conditionalFormatting sqref="E34">
    <cfRule type="cellIs" dxfId="194" priority="67" stopIfTrue="1" operator="greaterThan">
      <formula>0</formula>
    </cfRule>
  </conditionalFormatting>
  <conditionalFormatting sqref="E35">
    <cfRule type="cellIs" dxfId="193" priority="66" stopIfTrue="1" operator="greaterThan">
      <formula>0</formula>
    </cfRule>
  </conditionalFormatting>
  <conditionalFormatting sqref="E39">
    <cfRule type="cellIs" dxfId="192" priority="65" stopIfTrue="1" operator="greaterThan">
      <formula>0</formula>
    </cfRule>
  </conditionalFormatting>
  <conditionalFormatting sqref="E40">
    <cfRule type="cellIs" dxfId="191" priority="64" stopIfTrue="1" operator="greaterThan">
      <formula>0</formula>
    </cfRule>
  </conditionalFormatting>
  <conditionalFormatting sqref="E49">
    <cfRule type="cellIs" dxfId="190" priority="63" stopIfTrue="1" operator="greaterThan">
      <formula>0</formula>
    </cfRule>
  </conditionalFormatting>
  <conditionalFormatting sqref="E14">
    <cfRule type="cellIs" dxfId="189" priority="62" stopIfTrue="1" operator="greaterThan">
      <formula>0</formula>
    </cfRule>
  </conditionalFormatting>
  <conditionalFormatting sqref="E33">
    <cfRule type="cellIs" dxfId="188" priority="61" stopIfTrue="1" operator="greaterThan">
      <formula>0</formula>
    </cfRule>
  </conditionalFormatting>
  <conditionalFormatting sqref="E32">
    <cfRule type="cellIs" dxfId="187" priority="60" stopIfTrue="1" operator="greaterThan">
      <formula>0</formula>
    </cfRule>
  </conditionalFormatting>
  <conditionalFormatting sqref="E25">
    <cfRule type="cellIs" dxfId="186" priority="55" stopIfTrue="1" operator="greaterThan">
      <formula>0</formula>
    </cfRule>
  </conditionalFormatting>
  <conditionalFormatting sqref="E26">
    <cfRule type="cellIs" dxfId="185" priority="54" stopIfTrue="1" operator="greaterThan">
      <formula>0</formula>
    </cfRule>
  </conditionalFormatting>
  <conditionalFormatting sqref="E21">
    <cfRule type="cellIs" dxfId="184" priority="53" stopIfTrue="1" operator="greaterThan">
      <formula>0</formula>
    </cfRule>
  </conditionalFormatting>
  <conditionalFormatting sqref="E18">
    <cfRule type="cellIs" dxfId="183" priority="56" stopIfTrue="1" operator="greaterThan">
      <formula>0</formula>
    </cfRule>
  </conditionalFormatting>
  <conditionalFormatting sqref="E22">
    <cfRule type="cellIs" dxfId="182" priority="47" stopIfTrue="1" operator="greaterThan">
      <formula>0</formula>
    </cfRule>
  </conditionalFormatting>
  <conditionalFormatting sqref="E24">
    <cfRule type="cellIs" dxfId="181" priority="46" stopIfTrue="1" operator="greaterThan">
      <formula>0</formula>
    </cfRule>
  </conditionalFormatting>
  <conditionalFormatting sqref="E23">
    <cfRule type="cellIs" dxfId="180" priority="48" stopIfTrue="1" operator="greaterThan">
      <formula>0</formula>
    </cfRule>
  </conditionalFormatting>
  <conditionalFormatting sqref="E20">
    <cfRule type="cellIs" dxfId="179" priority="45" stopIfTrue="1" operator="greaterThan">
      <formula>0</formula>
    </cfRule>
  </conditionalFormatting>
  <conditionalFormatting sqref="E30">
    <cfRule type="cellIs" dxfId="178" priority="43" stopIfTrue="1" operator="greaterThan">
      <formula>0</formula>
    </cfRule>
  </conditionalFormatting>
  <conditionalFormatting sqref="E55">
    <cfRule type="cellIs" dxfId="177" priority="42" stopIfTrue="1" operator="greaterThan">
      <formula>0</formula>
    </cfRule>
  </conditionalFormatting>
  <conditionalFormatting sqref="E31">
    <cfRule type="cellIs" dxfId="176" priority="41" stopIfTrue="1" operator="greaterThan">
      <formula>0</formula>
    </cfRule>
  </conditionalFormatting>
  <conditionalFormatting sqref="E12">
    <cfRule type="cellIs" dxfId="175" priority="40" stopIfTrue="1" operator="greaterThan">
      <formula>0</formula>
    </cfRule>
  </conditionalFormatting>
  <conditionalFormatting sqref="E16">
    <cfRule type="cellIs" dxfId="174" priority="36" stopIfTrue="1" operator="greaterThan">
      <formula>0</formula>
    </cfRule>
  </conditionalFormatting>
  <conditionalFormatting sqref="E15">
    <cfRule type="cellIs" dxfId="173" priority="35" stopIfTrue="1" operator="greaterThan">
      <formula>0</formula>
    </cfRule>
  </conditionalFormatting>
  <conditionalFormatting sqref="E7">
    <cfRule type="cellIs" dxfId="172" priority="34" stopIfTrue="1" operator="lessThan">
      <formula>0</formula>
    </cfRule>
  </conditionalFormatting>
  <conditionalFormatting sqref="E9">
    <cfRule type="cellIs" dxfId="171" priority="33" stopIfTrue="1" operator="lessThan">
      <formula>0</formula>
    </cfRule>
  </conditionalFormatting>
  <conditionalFormatting sqref="E41">
    <cfRule type="cellIs" dxfId="170" priority="28" stopIfTrue="1" operator="greaterThan">
      <formula>0</formula>
    </cfRule>
  </conditionalFormatting>
  <conditionalFormatting sqref="E38">
    <cfRule type="cellIs" dxfId="169" priority="25" stopIfTrue="1" operator="greaterThan">
      <formula>0</formula>
    </cfRule>
  </conditionalFormatting>
  <conditionalFormatting sqref="E28">
    <cfRule type="cellIs" dxfId="168" priority="24" stopIfTrue="1" operator="greaterThan">
      <formula>0</formula>
    </cfRule>
  </conditionalFormatting>
  <conditionalFormatting sqref="E8">
    <cfRule type="cellIs" dxfId="167" priority="23" stopIfTrue="1" operator="lessThan">
      <formula>0</formula>
    </cfRule>
  </conditionalFormatting>
  <conditionalFormatting sqref="E10">
    <cfRule type="cellIs" dxfId="166" priority="22" stopIfTrue="1" operator="lessThan">
      <formula>0</formula>
    </cfRule>
  </conditionalFormatting>
  <conditionalFormatting sqref="E27">
    <cfRule type="cellIs" dxfId="165" priority="21" stopIfTrue="1" operator="greaterThan">
      <formula>0</formula>
    </cfRule>
  </conditionalFormatting>
  <conditionalFormatting sqref="E52">
    <cfRule type="cellIs" dxfId="164" priority="20" stopIfTrue="1" operator="greaterThan">
      <formula>0</formula>
    </cfRule>
  </conditionalFormatting>
  <conditionalFormatting sqref="E44">
    <cfRule type="cellIs" dxfId="163" priority="19" stopIfTrue="1" operator="greaterThan">
      <formula>0</formula>
    </cfRule>
  </conditionalFormatting>
  <conditionalFormatting sqref="E46">
    <cfRule type="cellIs" dxfId="162" priority="18" stopIfTrue="1" operator="greaterThan">
      <formula>0</formula>
    </cfRule>
  </conditionalFormatting>
  <conditionalFormatting sqref="E37">
    <cfRule type="cellIs" dxfId="161" priority="17" stopIfTrue="1" operator="greaterThan">
      <formula>0</formula>
    </cfRule>
  </conditionalFormatting>
  <conditionalFormatting sqref="E36">
    <cfRule type="cellIs" dxfId="160" priority="16" stopIfTrue="1" operator="greaterThan">
      <formula>0</formula>
    </cfRule>
  </conditionalFormatting>
  <conditionalFormatting sqref="E43">
    <cfRule type="cellIs" dxfId="159" priority="15" stopIfTrue="1" operator="greaterThan">
      <formula>0</formula>
    </cfRule>
  </conditionalFormatting>
  <conditionalFormatting sqref="E42">
    <cfRule type="cellIs" dxfId="158" priority="14" stopIfTrue="1" operator="greaterThan">
      <formula>0</formula>
    </cfRule>
  </conditionalFormatting>
  <conditionalFormatting sqref="E45">
    <cfRule type="cellIs" dxfId="157" priority="13" stopIfTrue="1" operator="greaterThan">
      <formula>0</formula>
    </cfRule>
  </conditionalFormatting>
  <conditionalFormatting sqref="E47">
    <cfRule type="cellIs" dxfId="156" priority="12" stopIfTrue="1" operator="greaterThan">
      <formula>0</formula>
    </cfRule>
  </conditionalFormatting>
  <conditionalFormatting sqref="E17">
    <cfRule type="cellIs" dxfId="155" priority="10" stopIfTrue="1" operator="greaterThan">
      <formula>0</formula>
    </cfRule>
  </conditionalFormatting>
  <conditionalFormatting sqref="E29">
    <cfRule type="cellIs" dxfId="154" priority="9" stopIfTrue="1" operator="greaterThan">
      <formula>0</formula>
    </cfRule>
  </conditionalFormatting>
  <conditionalFormatting sqref="E50">
    <cfRule type="cellIs" dxfId="153" priority="8" stopIfTrue="1" operator="greaterThan">
      <formula>0</formula>
    </cfRule>
  </conditionalFormatting>
  <conditionalFormatting sqref="E54">
    <cfRule type="cellIs" dxfId="152" priority="4" stopIfTrue="1" operator="greaterThan">
      <formula>0</formula>
    </cfRule>
  </conditionalFormatting>
  <conditionalFormatting sqref="E53">
    <cfRule type="cellIs" dxfId="151" priority="3" stopIfTrue="1" operator="greaterThan">
      <formula>0</formula>
    </cfRule>
  </conditionalFormatting>
  <conditionalFormatting sqref="E51">
    <cfRule type="cellIs" dxfId="150" priority="2" stopIfTrue="1" operator="greaterThan">
      <formula>0</formula>
    </cfRule>
  </conditionalFormatting>
  <conditionalFormatting sqref="E19">
    <cfRule type="cellIs" dxfId="149"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pageSetUpPr autoPageBreaks="0"/>
  </sheetPr>
  <dimension ref="B2:G23"/>
  <sheetViews>
    <sheetView showGridLines="0" workbookViewId="0">
      <selection activeCell="G11" activeCellId="1" sqref="G13 G11"/>
    </sheetView>
  </sheetViews>
  <sheetFormatPr defaultColWidth="8.85546875" defaultRowHeight="12.75"/>
  <cols>
    <col min="2" max="2" width="21.85546875" customWidth="1"/>
    <col min="3" max="3" width="21.42578125" customWidth="1"/>
    <col min="4" max="4" width="14.140625" customWidth="1"/>
    <col min="7" max="9" width="18" customWidth="1"/>
  </cols>
  <sheetData>
    <row r="2" spans="2:7" ht="18">
      <c r="B2" s="579" t="s">
        <v>0</v>
      </c>
      <c r="C2" s="579"/>
      <c r="D2" s="59" t="s">
        <v>1</v>
      </c>
      <c r="E2" s="59" t="s">
        <v>57</v>
      </c>
    </row>
    <row r="3" spans="2:7">
      <c r="B3" s="71" t="s">
        <v>7</v>
      </c>
      <c r="C3" s="71">
        <v>7.24</v>
      </c>
      <c r="D3" s="72"/>
      <c r="E3" s="72"/>
      <c r="F3" s="78" t="s">
        <v>112</v>
      </c>
      <c r="G3" s="79">
        <v>7648.23</v>
      </c>
    </row>
    <row r="4" spans="2:7">
      <c r="B4" s="62" t="s">
        <v>11</v>
      </c>
      <c r="C4" s="62">
        <v>-401.91</v>
      </c>
      <c r="D4" s="61"/>
      <c r="E4" s="61"/>
      <c r="F4" s="80" t="s">
        <v>113</v>
      </c>
      <c r="G4" s="81">
        <f>5000-(5000*27.5%)</f>
        <v>3625</v>
      </c>
    </row>
    <row r="5" spans="2:7" ht="12" customHeight="1">
      <c r="B5" s="62" t="s">
        <v>56</v>
      </c>
      <c r="C5" s="62">
        <v>-55.93</v>
      </c>
      <c r="D5" s="61"/>
      <c r="E5" s="61"/>
      <c r="F5" t="s">
        <v>114</v>
      </c>
      <c r="G5" s="1">
        <f>SUM(G3:G4)</f>
        <v>11273.23</v>
      </c>
    </row>
    <row r="6" spans="2:7">
      <c r="B6" s="63" t="s">
        <v>52</v>
      </c>
      <c r="C6" s="63">
        <v>0</v>
      </c>
      <c r="D6" s="64">
        <v>39071</v>
      </c>
      <c r="E6" s="64" t="s">
        <v>58</v>
      </c>
    </row>
    <row r="7" spans="2:7">
      <c r="B7" s="63" t="s">
        <v>115</v>
      </c>
      <c r="C7" s="63">
        <v>0</v>
      </c>
      <c r="D7" s="64"/>
      <c r="E7" s="64" t="s">
        <v>58</v>
      </c>
    </row>
    <row r="8" spans="2:7">
      <c r="B8" s="71" t="s">
        <v>81</v>
      </c>
      <c r="C8" s="71">
        <v>0</v>
      </c>
      <c r="D8" s="72"/>
      <c r="E8" s="72"/>
    </row>
    <row r="9" spans="2:7">
      <c r="B9" s="63" t="s">
        <v>14</v>
      </c>
      <c r="C9" s="63">
        <v>0</v>
      </c>
      <c r="D9" s="64">
        <v>39050</v>
      </c>
      <c r="E9" s="64" t="s">
        <v>58</v>
      </c>
    </row>
    <row r="10" spans="2:7">
      <c r="B10" s="63" t="s">
        <v>108</v>
      </c>
      <c r="C10" s="63">
        <v>0</v>
      </c>
      <c r="D10" s="64">
        <v>39083</v>
      </c>
      <c r="E10" s="64" t="s">
        <v>58</v>
      </c>
      <c r="F10" t="s">
        <v>5</v>
      </c>
      <c r="G10" s="1">
        <v>2565.27</v>
      </c>
    </row>
    <row r="11" spans="2:7">
      <c r="B11" s="63" t="s">
        <v>110</v>
      </c>
      <c r="C11" s="63">
        <v>0</v>
      </c>
      <c r="D11" s="64">
        <v>39085</v>
      </c>
      <c r="E11" s="64" t="s">
        <v>58</v>
      </c>
    </row>
    <row r="12" spans="2:7">
      <c r="B12" s="63" t="s">
        <v>28</v>
      </c>
      <c r="C12" s="63">
        <v>0</v>
      </c>
      <c r="D12" s="64">
        <v>39086</v>
      </c>
      <c r="E12" s="64" t="s">
        <v>58</v>
      </c>
    </row>
    <row r="13" spans="2:7">
      <c r="B13" s="63" t="s">
        <v>109</v>
      </c>
      <c r="C13" s="63">
        <v>0</v>
      </c>
      <c r="D13" s="64">
        <v>39083</v>
      </c>
      <c r="E13" s="64" t="s">
        <v>58</v>
      </c>
    </row>
    <row r="14" spans="2:7">
      <c r="B14" s="63" t="s">
        <v>96</v>
      </c>
      <c r="C14" s="63">
        <v>0</v>
      </c>
      <c r="D14" s="64">
        <v>39089</v>
      </c>
      <c r="E14" s="64" t="s">
        <v>58</v>
      </c>
    </row>
    <row r="15" spans="2:7">
      <c r="B15" s="63" t="s">
        <v>29</v>
      </c>
      <c r="C15" s="63">
        <v>0</v>
      </c>
      <c r="D15" s="64">
        <v>39089</v>
      </c>
      <c r="E15" s="64" t="s">
        <v>58</v>
      </c>
    </row>
    <row r="16" spans="2:7">
      <c r="B16" s="63" t="s">
        <v>41</v>
      </c>
      <c r="C16" s="63">
        <v>0</v>
      </c>
      <c r="D16" s="64">
        <v>39089</v>
      </c>
      <c r="E16" s="64" t="s">
        <v>58</v>
      </c>
    </row>
    <row r="17" spans="2:5">
      <c r="B17" s="63" t="s">
        <v>98</v>
      </c>
      <c r="C17" s="63">
        <v>0</v>
      </c>
      <c r="D17" s="64">
        <v>39097</v>
      </c>
      <c r="E17" s="64" t="s">
        <v>58</v>
      </c>
    </row>
    <row r="18" spans="2:5">
      <c r="B18" s="63" t="s">
        <v>116</v>
      </c>
      <c r="C18" s="63">
        <v>0</v>
      </c>
      <c r="D18" s="64"/>
      <c r="E18" s="64" t="s">
        <v>58</v>
      </c>
    </row>
    <row r="19" spans="2:5">
      <c r="B19" s="63" t="s">
        <v>116</v>
      </c>
      <c r="C19" s="63">
        <v>0</v>
      </c>
      <c r="D19" s="64"/>
      <c r="E19" s="64" t="s">
        <v>58</v>
      </c>
    </row>
    <row r="20" spans="2:5">
      <c r="B20" s="63" t="s">
        <v>117</v>
      </c>
      <c r="C20" s="63">
        <v>0</v>
      </c>
      <c r="D20" s="64"/>
      <c r="E20" s="64" t="s">
        <v>58</v>
      </c>
    </row>
    <row r="21" spans="2:5">
      <c r="B21" s="63" t="s">
        <v>91</v>
      </c>
      <c r="C21" s="63">
        <v>0</v>
      </c>
      <c r="D21" s="64">
        <v>39097</v>
      </c>
      <c r="E21" s="64" t="s">
        <v>58</v>
      </c>
    </row>
    <row r="22" spans="2:5">
      <c r="B22" s="63" t="s">
        <v>77</v>
      </c>
      <c r="C22" s="63">
        <v>0</v>
      </c>
      <c r="D22" s="64">
        <v>39102</v>
      </c>
      <c r="E22" s="64" t="s">
        <v>58</v>
      </c>
    </row>
    <row r="23" spans="2:5" ht="18">
      <c r="B23" s="74" t="s">
        <v>21</v>
      </c>
      <c r="C23" s="74">
        <f>SUM(C3:C22)</f>
        <v>-450.6</v>
      </c>
      <c r="D23" s="75"/>
      <c r="E23" s="75"/>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20.xml><?xml version="1.0" encoding="utf-8"?>
<worksheet xmlns="http://schemas.openxmlformats.org/spreadsheetml/2006/main" xmlns:r="http://schemas.openxmlformats.org/officeDocument/2006/relationships">
  <sheetPr>
    <pageSetUpPr autoPageBreaks="0"/>
  </sheetPr>
  <dimension ref="B2:M58"/>
  <sheetViews>
    <sheetView topLeftCell="A19" zoomScale="85" zoomScaleNormal="85" zoomScalePageLayoutView="85" workbookViewId="0">
      <selection activeCell="C6" sqref="C6"/>
    </sheetView>
  </sheetViews>
  <sheetFormatPr defaultColWidth="8.85546875" defaultRowHeight="12.75"/>
  <cols>
    <col min="1" max="1" width="2" customWidth="1"/>
    <col min="2" max="2" width="40" bestFit="1" customWidth="1"/>
    <col min="3" max="3" width="22.42578125" customWidth="1"/>
    <col min="4" max="4" width="20.28515625" bestFit="1" customWidth="1"/>
    <col min="5" max="5" width="15.140625" customWidth="1"/>
    <col min="6" max="6" width="9.85546875" customWidth="1"/>
    <col min="7" max="7" width="4.28515625" customWidth="1"/>
    <col min="8" max="8" width="32.85546875" bestFit="1" customWidth="1"/>
    <col min="9" max="9" width="13.140625" bestFit="1" customWidth="1"/>
    <col min="10" max="10" width="3.140625" customWidth="1"/>
    <col min="11" max="11" width="23.42578125" customWidth="1"/>
    <col min="12" max="12" width="13.42578125" bestFit="1" customWidth="1"/>
  </cols>
  <sheetData>
    <row r="2" spans="2:13" ht="18">
      <c r="B2" s="236" t="s">
        <v>1401</v>
      </c>
      <c r="C2" s="237" t="s">
        <v>1402</v>
      </c>
      <c r="D2" s="238" t="s">
        <v>1403</v>
      </c>
      <c r="E2" s="239" t="s">
        <v>1404</v>
      </c>
      <c r="F2" s="240" t="s">
        <v>1405</v>
      </c>
      <c r="H2" s="222" t="s">
        <v>913</v>
      </c>
      <c r="I2" s="222" t="s">
        <v>408</v>
      </c>
      <c r="K2" s="203" t="s">
        <v>1169</v>
      </c>
      <c r="L2" s="204">
        <v>1750</v>
      </c>
    </row>
    <row r="3" spans="2:13" ht="18">
      <c r="B3" s="227" t="s">
        <v>135</v>
      </c>
      <c r="C3" s="224"/>
      <c r="D3" s="223" t="s">
        <v>0</v>
      </c>
      <c r="E3" s="82" t="s">
        <v>1</v>
      </c>
      <c r="F3" s="231" t="s">
        <v>57</v>
      </c>
      <c r="H3" s="10">
        <v>-3588.57</v>
      </c>
      <c r="I3" s="10" t="s">
        <v>914</v>
      </c>
      <c r="K3" s="203" t="s">
        <v>1319</v>
      </c>
      <c r="L3" s="203">
        <v>135</v>
      </c>
    </row>
    <row r="4" spans="2:13" ht="18" customHeight="1">
      <c r="B4" s="228" t="s">
        <v>48</v>
      </c>
      <c r="C4" s="191"/>
      <c r="D4" s="95">
        <v>-2858.02</v>
      </c>
      <c r="E4" s="72"/>
      <c r="F4" s="232"/>
      <c r="H4" s="10">
        <v>47.4</v>
      </c>
      <c r="I4" s="10" t="s">
        <v>1410</v>
      </c>
      <c r="K4" s="203" t="s">
        <v>1172</v>
      </c>
      <c r="L4" s="207">
        <v>1.12E-4</v>
      </c>
    </row>
    <row r="5" spans="2:13" ht="17.25" customHeight="1">
      <c r="B5" s="228" t="s">
        <v>7</v>
      </c>
      <c r="C5" s="191"/>
      <c r="D5" s="95">
        <v>1095.21</v>
      </c>
      <c r="E5" s="72"/>
      <c r="F5" s="232"/>
      <c r="H5" s="10">
        <v>83.93</v>
      </c>
      <c r="I5" s="10" t="s">
        <v>1411</v>
      </c>
      <c r="K5" s="206" t="s">
        <v>1173</v>
      </c>
      <c r="L5" s="206">
        <f>L3*L4</f>
        <v>1.512E-2</v>
      </c>
    </row>
    <row r="6" spans="2:13">
      <c r="B6" s="228" t="s">
        <v>5</v>
      </c>
      <c r="C6" s="91">
        <v>13278.45</v>
      </c>
      <c r="D6" s="95">
        <v>0</v>
      </c>
      <c r="E6" s="72"/>
      <c r="F6" s="232"/>
      <c r="H6" s="10">
        <v>52.73</v>
      </c>
      <c r="I6" s="10" t="s">
        <v>1412</v>
      </c>
      <c r="K6" s="206" t="s">
        <v>1174</v>
      </c>
      <c r="L6" s="205">
        <f>L2*L5</f>
        <v>26.46</v>
      </c>
    </row>
    <row r="7" spans="2:13" ht="15.75">
      <c r="B7" s="228" t="s">
        <v>107</v>
      </c>
      <c r="C7" s="91">
        <v>237.5</v>
      </c>
      <c r="D7" s="95">
        <v>0</v>
      </c>
      <c r="E7" s="72"/>
      <c r="F7" s="232"/>
      <c r="H7" s="10">
        <v>345.87</v>
      </c>
      <c r="I7" s="10" t="s">
        <v>1287</v>
      </c>
      <c r="K7" s="217" t="s">
        <v>1249</v>
      </c>
      <c r="L7" s="217" t="s">
        <v>646</v>
      </c>
    </row>
    <row r="8" spans="2:13">
      <c r="B8" s="228" t="s">
        <v>927</v>
      </c>
      <c r="C8" s="91">
        <v>30</v>
      </c>
      <c r="D8" s="95">
        <v>0</v>
      </c>
      <c r="E8" s="72"/>
      <c r="F8" s="232"/>
      <c r="H8" s="10"/>
      <c r="I8" s="10"/>
      <c r="K8" t="s">
        <v>1308</v>
      </c>
      <c r="L8" s="193">
        <v>9701.81</v>
      </c>
    </row>
    <row r="9" spans="2:13">
      <c r="B9" s="228" t="s">
        <v>1375</v>
      </c>
      <c r="C9" s="91">
        <v>4000</v>
      </c>
      <c r="D9" s="95">
        <v>0</v>
      </c>
      <c r="E9" s="72"/>
      <c r="F9" s="232"/>
      <c r="H9" s="10"/>
      <c r="I9" s="10"/>
      <c r="K9" t="s">
        <v>1309</v>
      </c>
      <c r="L9" s="193">
        <v>41258.97</v>
      </c>
      <c r="M9" s="219"/>
    </row>
    <row r="10" spans="2:13" ht="14.25" customHeight="1">
      <c r="B10" s="228" t="s">
        <v>22</v>
      </c>
      <c r="C10" s="91">
        <f>49*(7-3)</f>
        <v>196</v>
      </c>
      <c r="D10" s="95">
        <f>C10</f>
        <v>196</v>
      </c>
      <c r="E10" s="72"/>
      <c r="F10" s="232"/>
      <c r="H10" s="144">
        <f>SUM(H3:H9)</f>
        <v>-3058.6400000000003</v>
      </c>
      <c r="I10" s="144" t="s">
        <v>1031</v>
      </c>
      <c r="K10" s="217" t="s">
        <v>45</v>
      </c>
      <c r="L10" s="218">
        <f>SUM(L8:L9)</f>
        <v>50960.78</v>
      </c>
    </row>
    <row r="11" spans="2:13">
      <c r="B11" s="228" t="s">
        <v>1379</v>
      </c>
      <c r="C11" s="91">
        <v>0</v>
      </c>
      <c r="D11" s="95">
        <v>0</v>
      </c>
      <c r="E11" s="72"/>
      <c r="F11" s="232"/>
    </row>
    <row r="12" spans="2:13" ht="15.75">
      <c r="B12" s="228" t="s">
        <v>107</v>
      </c>
      <c r="C12" s="91">
        <v>3473.28</v>
      </c>
      <c r="D12" s="95">
        <f>C12</f>
        <v>3473.28</v>
      </c>
      <c r="E12" s="72"/>
      <c r="F12" s="232"/>
      <c r="H12" s="222" t="s">
        <v>1143</v>
      </c>
      <c r="I12" s="222" t="s">
        <v>408</v>
      </c>
    </row>
    <row r="13" spans="2:13">
      <c r="B13" s="228" t="s">
        <v>1372</v>
      </c>
      <c r="C13" s="91">
        <v>100105.02</v>
      </c>
      <c r="D13" s="95">
        <v>0</v>
      </c>
      <c r="E13" s="72"/>
      <c r="F13" s="232"/>
      <c r="H13" s="10"/>
      <c r="I13" s="10"/>
    </row>
    <row r="14" spans="2:13">
      <c r="B14" s="228" t="s">
        <v>1357</v>
      </c>
      <c r="C14" s="91">
        <v>294767.01</v>
      </c>
      <c r="D14" s="95">
        <v>0</v>
      </c>
      <c r="E14" s="72"/>
      <c r="F14" s="232"/>
      <c r="H14" s="10"/>
      <c r="I14" s="10"/>
    </row>
    <row r="15" spans="2:13">
      <c r="B15" s="229" t="s">
        <v>122</v>
      </c>
      <c r="C15" s="96">
        <v>-87.31</v>
      </c>
      <c r="D15" s="63">
        <v>0</v>
      </c>
      <c r="E15" s="64"/>
      <c r="F15" s="233" t="s">
        <v>58</v>
      </c>
      <c r="H15" s="10"/>
      <c r="I15" s="10"/>
    </row>
    <row r="16" spans="2:13">
      <c r="B16" s="229" t="s">
        <v>1339</v>
      </c>
      <c r="C16" s="96">
        <v>-669.09</v>
      </c>
      <c r="D16" s="63">
        <v>0</v>
      </c>
      <c r="E16" s="64"/>
      <c r="F16" s="233" t="s">
        <v>58</v>
      </c>
      <c r="H16" s="10">
        <f>L6</f>
        <v>26.46</v>
      </c>
      <c r="I16" s="10" t="s">
        <v>1162</v>
      </c>
    </row>
    <row r="17" spans="2:12">
      <c r="B17" s="229" t="s">
        <v>1359</v>
      </c>
      <c r="C17" s="96">
        <v>-18688.580000000002</v>
      </c>
      <c r="D17" s="63">
        <v>0</v>
      </c>
      <c r="E17" s="64"/>
      <c r="F17" s="233" t="s">
        <v>58</v>
      </c>
      <c r="H17" s="10"/>
      <c r="I17" s="10"/>
    </row>
    <row r="18" spans="2:12">
      <c r="B18" s="230" t="s">
        <v>1396</v>
      </c>
      <c r="C18" s="225">
        <v>-300</v>
      </c>
      <c r="D18" s="63">
        <v>0</v>
      </c>
      <c r="E18" s="226"/>
      <c r="F18" s="234" t="s">
        <v>58</v>
      </c>
      <c r="G18" s="143"/>
      <c r="H18" s="10"/>
      <c r="I18" s="10"/>
    </row>
    <row r="19" spans="2:12">
      <c r="B19" s="229" t="s">
        <v>1407</v>
      </c>
      <c r="C19" s="96">
        <v>-200</v>
      </c>
      <c r="D19" s="63">
        <v>0</v>
      </c>
      <c r="E19" s="226"/>
      <c r="F19" s="234" t="s">
        <v>58</v>
      </c>
      <c r="H19" s="10"/>
      <c r="I19" s="10"/>
    </row>
    <row r="20" spans="2:12">
      <c r="B20" s="229" t="s">
        <v>1408</v>
      </c>
      <c r="C20" s="96">
        <v>-289.5</v>
      </c>
      <c r="D20" s="63">
        <v>0</v>
      </c>
      <c r="E20" s="226"/>
      <c r="F20" s="234" t="s">
        <v>58</v>
      </c>
      <c r="H20" s="10">
        <v>19832.990000000002</v>
      </c>
      <c r="I20" s="10" t="s">
        <v>1336</v>
      </c>
    </row>
    <row r="21" spans="2:12">
      <c r="B21" s="242" t="s">
        <v>1409</v>
      </c>
      <c r="C21" s="243">
        <v>-550</v>
      </c>
      <c r="D21" s="190">
        <f>C21</f>
        <v>-550</v>
      </c>
      <c r="E21" s="191"/>
      <c r="F21" s="235"/>
      <c r="H21" s="10"/>
      <c r="I21" s="10"/>
    </row>
    <row r="22" spans="2:12">
      <c r="B22" s="229" t="s">
        <v>1406</v>
      </c>
      <c r="C22" s="96">
        <v>-1750</v>
      </c>
      <c r="D22" s="63">
        <v>0</v>
      </c>
      <c r="E22" s="64"/>
      <c r="F22" s="233" t="s">
        <v>58</v>
      </c>
      <c r="H22" s="10"/>
      <c r="I22" s="10"/>
    </row>
    <row r="23" spans="2:12">
      <c r="B23" s="229" t="s">
        <v>1400</v>
      </c>
      <c r="C23" s="96">
        <v>-200</v>
      </c>
      <c r="D23" s="63">
        <v>0</v>
      </c>
      <c r="E23" s="64"/>
      <c r="F23" s="233" t="s">
        <v>58</v>
      </c>
      <c r="H23" s="10"/>
      <c r="I23" s="10"/>
    </row>
    <row r="24" spans="2:12">
      <c r="B24" s="229" t="s">
        <v>716</v>
      </c>
      <c r="C24" s="96">
        <v>-1985</v>
      </c>
      <c r="D24" s="63">
        <v>0</v>
      </c>
      <c r="E24" s="64"/>
      <c r="F24" s="233" t="s">
        <v>58</v>
      </c>
      <c r="H24" s="10"/>
      <c r="I24" s="10"/>
    </row>
    <row r="25" spans="2:12">
      <c r="B25" s="229" t="s">
        <v>1399</v>
      </c>
      <c r="C25" s="96">
        <v>-2850</v>
      </c>
      <c r="D25" s="63">
        <v>0</v>
      </c>
      <c r="E25" s="64"/>
      <c r="F25" s="233" t="s">
        <v>58</v>
      </c>
      <c r="H25" s="10"/>
      <c r="I25" s="10"/>
      <c r="L25" t="s">
        <v>1022</v>
      </c>
    </row>
    <row r="26" spans="2:12">
      <c r="B26" s="229" t="s">
        <v>1398</v>
      </c>
      <c r="C26" s="96">
        <v>-4123</v>
      </c>
      <c r="D26" s="63">
        <v>0</v>
      </c>
      <c r="E26" s="64"/>
      <c r="F26" s="233" t="s">
        <v>58</v>
      </c>
      <c r="H26" s="10">
        <v>39.39</v>
      </c>
      <c r="I26" s="10" t="s">
        <v>1165</v>
      </c>
    </row>
    <row r="27" spans="2:12">
      <c r="B27" s="229" t="s">
        <v>1387</v>
      </c>
      <c r="C27" s="96">
        <v>-700</v>
      </c>
      <c r="D27" s="63">
        <v>0</v>
      </c>
      <c r="E27" s="64"/>
      <c r="F27" s="233" t="s">
        <v>58</v>
      </c>
      <c r="H27" s="144">
        <f>SUM(H13:H26)</f>
        <v>19898.84</v>
      </c>
      <c r="I27" s="144" t="s">
        <v>1031</v>
      </c>
    </row>
    <row r="28" spans="2:12">
      <c r="B28" s="229" t="s">
        <v>1388</v>
      </c>
      <c r="C28" s="96">
        <v>-580</v>
      </c>
      <c r="D28" s="63">
        <v>0</v>
      </c>
      <c r="E28" s="64"/>
      <c r="F28" s="233" t="s">
        <v>58</v>
      </c>
    </row>
    <row r="29" spans="2:12">
      <c r="B29" s="229" t="s">
        <v>1389</v>
      </c>
      <c r="C29" s="96">
        <v>-500</v>
      </c>
      <c r="D29" s="63">
        <v>0</v>
      </c>
      <c r="E29" s="64"/>
      <c r="F29" s="233" t="s">
        <v>58</v>
      </c>
      <c r="H29" s="199"/>
    </row>
    <row r="30" spans="2:12" ht="18">
      <c r="B30" s="229" t="s">
        <v>1390</v>
      </c>
      <c r="C30" s="96">
        <v>-1170.5</v>
      </c>
      <c r="D30" s="63">
        <v>0</v>
      </c>
      <c r="E30" s="64"/>
      <c r="F30" s="233" t="s">
        <v>58</v>
      </c>
      <c r="H30" s="211"/>
    </row>
    <row r="31" spans="2:12">
      <c r="B31" s="229" t="s">
        <v>1391</v>
      </c>
      <c r="C31" s="96">
        <v>-3375</v>
      </c>
      <c r="D31" s="63">
        <v>0</v>
      </c>
      <c r="E31" s="64"/>
      <c r="F31" s="233" t="s">
        <v>58</v>
      </c>
    </row>
    <row r="32" spans="2:12" ht="18">
      <c r="B32" s="229" t="s">
        <v>1392</v>
      </c>
      <c r="C32" s="96">
        <v>-600</v>
      </c>
      <c r="D32" s="63">
        <v>0</v>
      </c>
      <c r="E32" s="64"/>
      <c r="F32" s="233" t="s">
        <v>58</v>
      </c>
      <c r="G32" s="211"/>
      <c r="H32" s="199">
        <f>H17+H21+H24</f>
        <v>0</v>
      </c>
    </row>
    <row r="33" spans="2:8">
      <c r="B33" s="229" t="s">
        <v>1368</v>
      </c>
      <c r="C33" s="96">
        <v>-1297</v>
      </c>
      <c r="D33" s="63">
        <v>0</v>
      </c>
      <c r="E33" s="64"/>
      <c r="F33" s="233" t="s">
        <v>58</v>
      </c>
    </row>
    <row r="34" spans="2:8">
      <c r="B34" s="229" t="s">
        <v>1369</v>
      </c>
      <c r="C34" s="96">
        <v>-360093.68</v>
      </c>
      <c r="D34" s="63">
        <v>0</v>
      </c>
      <c r="E34" s="64"/>
      <c r="F34" s="233" t="s">
        <v>58</v>
      </c>
      <c r="H34" s="199"/>
    </row>
    <row r="35" spans="2:8">
      <c r="B35" s="229" t="s">
        <v>586</v>
      </c>
      <c r="C35" s="96">
        <v>-107.94</v>
      </c>
      <c r="D35" s="63">
        <v>0</v>
      </c>
      <c r="E35" s="64"/>
      <c r="F35" s="233" t="s">
        <v>58</v>
      </c>
    </row>
    <row r="36" spans="2:8">
      <c r="B36" s="229" t="s">
        <v>1263</v>
      </c>
      <c r="C36" s="96">
        <v>-48.8</v>
      </c>
      <c r="D36" s="63">
        <v>0</v>
      </c>
      <c r="E36" s="64"/>
      <c r="F36" s="233" t="s">
        <v>58</v>
      </c>
    </row>
    <row r="37" spans="2:8">
      <c r="B37" s="229" t="s">
        <v>1397</v>
      </c>
      <c r="C37" s="96">
        <v>-28</v>
      </c>
      <c r="D37" s="63">
        <v>0</v>
      </c>
      <c r="E37" s="64"/>
      <c r="F37" s="233" t="s">
        <v>58</v>
      </c>
    </row>
    <row r="38" spans="2:8">
      <c r="B38" s="229" t="s">
        <v>1098</v>
      </c>
      <c r="C38" s="96">
        <v>-117.87</v>
      </c>
      <c r="D38" s="63">
        <v>0</v>
      </c>
      <c r="E38" s="64"/>
      <c r="F38" s="233" t="s">
        <v>58</v>
      </c>
    </row>
    <row r="39" spans="2:8">
      <c r="B39" s="229" t="s">
        <v>65</v>
      </c>
      <c r="C39" s="96">
        <v>-600</v>
      </c>
      <c r="D39" s="63">
        <v>0</v>
      </c>
      <c r="E39" s="64"/>
      <c r="F39" s="233" t="s">
        <v>58</v>
      </c>
    </row>
    <row r="40" spans="2:8">
      <c r="B40" s="229" t="s">
        <v>1393</v>
      </c>
      <c r="C40" s="96">
        <v>-100</v>
      </c>
      <c r="D40" s="63">
        <v>0</v>
      </c>
      <c r="E40" s="64"/>
      <c r="F40" s="233" t="s">
        <v>58</v>
      </c>
    </row>
    <row r="41" spans="2:8">
      <c r="B41" s="229" t="s">
        <v>1069</v>
      </c>
      <c r="C41" s="96">
        <v>-1025.04</v>
      </c>
      <c r="D41" s="63">
        <v>0</v>
      </c>
      <c r="E41" s="64"/>
      <c r="F41" s="233" t="s">
        <v>58</v>
      </c>
    </row>
    <row r="42" spans="2:8">
      <c r="B42" s="229" t="s">
        <v>1242</v>
      </c>
      <c r="C42" s="96">
        <v>-580</v>
      </c>
      <c r="D42" s="63">
        <v>0</v>
      </c>
      <c r="E42" s="64"/>
      <c r="F42" s="233" t="s">
        <v>58</v>
      </c>
    </row>
    <row r="43" spans="2:8">
      <c r="B43" s="229" t="s">
        <v>122</v>
      </c>
      <c r="C43" s="96">
        <v>-87.31</v>
      </c>
      <c r="D43" s="63">
        <v>0</v>
      </c>
      <c r="E43" s="64"/>
      <c r="F43" s="233" t="s">
        <v>58</v>
      </c>
    </row>
    <row r="44" spans="2:8">
      <c r="B44" s="229" t="s">
        <v>1395</v>
      </c>
      <c r="C44" s="96">
        <v>-60</v>
      </c>
      <c r="D44" s="63">
        <v>0</v>
      </c>
      <c r="E44" s="64"/>
      <c r="F44" s="233" t="s">
        <v>58</v>
      </c>
    </row>
    <row r="45" spans="2:8">
      <c r="B45" s="229" t="s">
        <v>748</v>
      </c>
      <c r="C45" s="96">
        <v>-50</v>
      </c>
      <c r="D45" s="63">
        <v>0</v>
      </c>
      <c r="E45" s="64"/>
      <c r="F45" s="233" t="s">
        <v>58</v>
      </c>
    </row>
    <row r="46" spans="2:8">
      <c r="B46" s="229" t="s">
        <v>1266</v>
      </c>
      <c r="C46" s="96">
        <v>-1626.43</v>
      </c>
      <c r="D46" s="63">
        <v>0</v>
      </c>
      <c r="E46" s="64"/>
      <c r="F46" s="233" t="s">
        <v>58</v>
      </c>
    </row>
    <row r="47" spans="2:8">
      <c r="B47" s="229" t="s">
        <v>103</v>
      </c>
      <c r="C47" s="96">
        <v>-4933.17</v>
      </c>
      <c r="D47" s="63">
        <v>0</v>
      </c>
      <c r="E47" s="64"/>
      <c r="F47" s="233" t="s">
        <v>58</v>
      </c>
    </row>
    <row r="48" spans="2:8">
      <c r="B48" s="229" t="s">
        <v>1314</v>
      </c>
      <c r="C48" s="96">
        <v>-3652</v>
      </c>
      <c r="D48" s="190">
        <f>C48</f>
        <v>-3652</v>
      </c>
      <c r="E48" s="191"/>
      <c r="F48" s="235"/>
    </row>
    <row r="49" spans="2:6">
      <c r="B49" s="229" t="s">
        <v>125</v>
      </c>
      <c r="C49" s="96">
        <v>-3500</v>
      </c>
      <c r="D49" s="63">
        <v>0</v>
      </c>
      <c r="E49" s="64"/>
      <c r="F49" s="233" t="s">
        <v>58</v>
      </c>
    </row>
    <row r="50" spans="2:6">
      <c r="B50" s="229" t="s">
        <v>73</v>
      </c>
      <c r="C50" s="96">
        <v>-378.71</v>
      </c>
      <c r="D50" s="63">
        <v>0</v>
      </c>
      <c r="E50" s="64"/>
      <c r="F50" s="233" t="s">
        <v>58</v>
      </c>
    </row>
    <row r="51" spans="2:6">
      <c r="B51" s="229" t="s">
        <v>1394</v>
      </c>
      <c r="C51" s="96">
        <v>-75.930000000000007</v>
      </c>
      <c r="D51" s="63">
        <v>0</v>
      </c>
      <c r="E51" s="64"/>
      <c r="F51" s="233" t="s">
        <v>58</v>
      </c>
    </row>
    <row r="52" spans="2:6">
      <c r="B52" s="229" t="s">
        <v>748</v>
      </c>
      <c r="C52" s="96">
        <v>0</v>
      </c>
      <c r="D52" s="63">
        <v>0</v>
      </c>
      <c r="E52" s="64"/>
      <c r="F52" s="233" t="s">
        <v>58</v>
      </c>
    </row>
    <row r="53" spans="2:6">
      <c r="B53" s="229" t="s">
        <v>1268</v>
      </c>
      <c r="C53" s="96">
        <v>-58.3</v>
      </c>
      <c r="D53" s="63">
        <v>0</v>
      </c>
      <c r="E53" s="64"/>
      <c r="F53" s="233" t="s">
        <v>58</v>
      </c>
    </row>
    <row r="54" spans="2:6">
      <c r="B54" s="229" t="s">
        <v>1249</v>
      </c>
      <c r="C54" s="96">
        <v>-903.23</v>
      </c>
      <c r="D54" s="63">
        <v>0</v>
      </c>
      <c r="E54" s="64"/>
      <c r="F54" s="233" t="s">
        <v>58</v>
      </c>
    </row>
    <row r="55" spans="2:6" ht="18">
      <c r="B55" s="74" t="s">
        <v>45</v>
      </c>
      <c r="C55" s="188"/>
      <c r="D55" s="241">
        <f>SUM(D4:D54)</f>
        <v>-2295.5299999999997</v>
      </c>
      <c r="E55" s="75"/>
    </row>
    <row r="58" spans="2:6" ht="18">
      <c r="E58" s="211"/>
    </row>
  </sheetData>
  <conditionalFormatting sqref="D4:D11 D13:D14">
    <cfRule type="cellIs" dxfId="148" priority="94" stopIfTrue="1" operator="lessThan">
      <formula>0</formula>
    </cfRule>
  </conditionalFormatting>
  <conditionalFormatting sqref="D47:D48 D42:D44 D52 D22 D54">
    <cfRule type="cellIs" dxfId="147" priority="92" stopIfTrue="1" operator="greaterThan">
      <formula>0</formula>
    </cfRule>
  </conditionalFormatting>
  <conditionalFormatting sqref="D54">
    <cfRule type="cellIs" dxfId="146" priority="63" stopIfTrue="1" operator="greaterThan">
      <formula>0</formula>
    </cfRule>
  </conditionalFormatting>
  <conditionalFormatting sqref="D54">
    <cfRule type="cellIs" dxfId="145" priority="19" stopIfTrue="1" operator="greaterThan">
      <formula>0</formula>
    </cfRule>
  </conditionalFormatting>
  <conditionalFormatting sqref="D38">
    <cfRule type="cellIs" dxfId="144" priority="15" stopIfTrue="1" operator="greaterThan">
      <formula>0</formula>
    </cfRule>
  </conditionalFormatting>
  <conditionalFormatting sqref="D37">
    <cfRule type="cellIs" dxfId="143" priority="16" stopIfTrue="1" operator="greaterThan">
      <formula>0</formula>
    </cfRule>
  </conditionalFormatting>
  <conditionalFormatting sqref="D25">
    <cfRule type="cellIs" dxfId="142" priority="12" stopIfTrue="1" operator="greaterThan">
      <formula>0</formula>
    </cfRule>
  </conditionalFormatting>
  <conditionalFormatting sqref="D24">
    <cfRule type="cellIs" dxfId="141" priority="11" stopIfTrue="1" operator="greaterThan">
      <formula>0</formula>
    </cfRule>
  </conditionalFormatting>
  <conditionalFormatting sqref="D22:D23">
    <cfRule type="cellIs" dxfId="140" priority="10" stopIfTrue="1" operator="greaterThan">
      <formula>0</formula>
    </cfRule>
  </conditionalFormatting>
  <conditionalFormatting sqref="D26">
    <cfRule type="cellIs" dxfId="139" priority="9" stopIfTrue="1" operator="greaterThan">
      <formula>0</formula>
    </cfRule>
  </conditionalFormatting>
  <conditionalFormatting sqref="D50">
    <cfRule type="cellIs" dxfId="138" priority="8" stopIfTrue="1" operator="greaterThan">
      <formula>0</formula>
    </cfRule>
  </conditionalFormatting>
  <conditionalFormatting sqref="D21">
    <cfRule type="cellIs" dxfId="137" priority="6" stopIfTrue="1" operator="greaterThan">
      <formula>0</formula>
    </cfRule>
  </conditionalFormatting>
  <conditionalFormatting sqref="D12">
    <cfRule type="cellIs" dxfId="136" priority="3" stopIfTrue="1" operator="lessThan">
      <formula>0</formula>
    </cfRule>
  </conditionalFormatting>
  <conditionalFormatting sqref="D49">
    <cfRule type="cellIs" dxfId="135" priority="2" stopIfTrue="1" operator="greaterThan">
      <formula>0</formula>
    </cfRule>
  </conditionalFormatting>
  <conditionalFormatting sqref="D51">
    <cfRule type="cellIs" dxfId="134" priority="1" stopIfTrue="1" operator="greater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21.xml><?xml version="1.0" encoding="utf-8"?>
<worksheet xmlns="http://schemas.openxmlformats.org/spreadsheetml/2006/main" xmlns:r="http://schemas.openxmlformats.org/officeDocument/2006/relationships">
  <dimension ref="B2:M46"/>
  <sheetViews>
    <sheetView zoomScale="75" zoomScaleNormal="75" workbookViewId="0">
      <selection activeCell="B40" sqref="B40"/>
    </sheetView>
  </sheetViews>
  <sheetFormatPr defaultColWidth="8.85546875" defaultRowHeight="12.75"/>
  <cols>
    <col min="1" max="1" width="2" customWidth="1"/>
    <col min="2" max="2" width="40" bestFit="1" customWidth="1"/>
    <col min="3" max="3" width="22.42578125" customWidth="1"/>
    <col min="4" max="4" width="20.28515625" bestFit="1" customWidth="1"/>
    <col min="5" max="5" width="15.140625" customWidth="1"/>
    <col min="6" max="6" width="9.85546875" customWidth="1"/>
    <col min="7" max="7" width="4.28515625" customWidth="1"/>
    <col min="8" max="8" width="32.85546875" bestFit="1" customWidth="1"/>
    <col min="9" max="9" width="13.140625" bestFit="1" customWidth="1"/>
    <col min="10" max="10" width="3.140625" customWidth="1"/>
    <col min="11" max="11" width="23.42578125" customWidth="1"/>
    <col min="12" max="12" width="16" bestFit="1" customWidth="1"/>
  </cols>
  <sheetData>
    <row r="2" spans="2:13" ht="18">
      <c r="B2" s="236" t="s">
        <v>1401</v>
      </c>
      <c r="C2" s="237" t="s">
        <v>1402</v>
      </c>
      <c r="D2" s="238" t="s">
        <v>1403</v>
      </c>
      <c r="E2" s="239" t="s">
        <v>1404</v>
      </c>
      <c r="F2" s="240" t="s">
        <v>1405</v>
      </c>
      <c r="H2" s="245" t="s">
        <v>913</v>
      </c>
      <c r="I2" s="245" t="s">
        <v>408</v>
      </c>
      <c r="K2" s="203" t="s">
        <v>1169</v>
      </c>
      <c r="L2" s="204">
        <v>1775</v>
      </c>
    </row>
    <row r="3" spans="2:13" ht="18">
      <c r="B3" s="227" t="s">
        <v>135</v>
      </c>
      <c r="C3" s="224"/>
      <c r="D3" s="244" t="s">
        <v>0</v>
      </c>
      <c r="E3" s="82" t="s">
        <v>1</v>
      </c>
      <c r="F3" s="231" t="s">
        <v>57</v>
      </c>
      <c r="H3" s="10">
        <v>-3406.3</v>
      </c>
      <c r="I3" s="10" t="s">
        <v>914</v>
      </c>
      <c r="K3" s="203" t="s">
        <v>1319</v>
      </c>
      <c r="L3" s="203">
        <v>156</v>
      </c>
    </row>
    <row r="4" spans="2:13" ht="18" customHeight="1">
      <c r="B4" s="228" t="s">
        <v>48</v>
      </c>
      <c r="C4" s="191"/>
      <c r="D4" s="95">
        <v>-1169.9100000000001</v>
      </c>
      <c r="E4" s="72"/>
      <c r="F4" s="232"/>
      <c r="H4" s="10"/>
      <c r="I4" s="10"/>
      <c r="K4" s="203" t="s">
        <v>1172</v>
      </c>
      <c r="L4" s="207">
        <v>9.9500000000000006E-5</v>
      </c>
    </row>
    <row r="5" spans="2:13" ht="17.25" customHeight="1">
      <c r="B5" s="228" t="s">
        <v>7</v>
      </c>
      <c r="C5" s="191"/>
      <c r="D5" s="95">
        <v>218.48</v>
      </c>
      <c r="E5" s="72"/>
      <c r="F5" s="232"/>
      <c r="H5" s="10"/>
      <c r="I5" s="10"/>
      <c r="K5" s="206" t="s">
        <v>1173</v>
      </c>
      <c r="L5" s="206">
        <f>L3*L4</f>
        <v>1.5522000000000001E-2</v>
      </c>
    </row>
    <row r="6" spans="2:13">
      <c r="B6" s="228" t="s">
        <v>5</v>
      </c>
      <c r="C6" s="91">
        <v>13234.84</v>
      </c>
      <c r="D6" s="95">
        <v>0</v>
      </c>
      <c r="E6" s="72"/>
      <c r="F6" s="232"/>
      <c r="H6" s="10"/>
      <c r="I6" s="10"/>
      <c r="K6" s="206" t="s">
        <v>1174</v>
      </c>
      <c r="L6" s="205">
        <f>L2*L5</f>
        <v>27.551550000000002</v>
      </c>
    </row>
    <row r="7" spans="2:13" ht="15.75">
      <c r="B7" s="228" t="s">
        <v>1414</v>
      </c>
      <c r="C7" s="91">
        <v>4268.6400000000003</v>
      </c>
      <c r="D7" s="95">
        <v>0</v>
      </c>
      <c r="E7" s="72"/>
      <c r="F7" s="232"/>
      <c r="H7" s="10"/>
      <c r="I7" s="10"/>
      <c r="K7" s="217" t="s">
        <v>1249</v>
      </c>
      <c r="L7" s="217" t="s">
        <v>646</v>
      </c>
    </row>
    <row r="8" spans="2:13">
      <c r="B8" s="228" t="s">
        <v>145</v>
      </c>
      <c r="C8" s="91">
        <v>100</v>
      </c>
      <c r="D8" s="95">
        <v>0</v>
      </c>
      <c r="E8" s="72"/>
      <c r="F8" s="232"/>
      <c r="H8" s="10"/>
      <c r="I8" s="10"/>
      <c r="K8" t="s">
        <v>1308</v>
      </c>
      <c r="L8" s="193">
        <v>9701.81</v>
      </c>
    </row>
    <row r="9" spans="2:13">
      <c r="B9" s="228" t="s">
        <v>1423</v>
      </c>
      <c r="C9" s="91">
        <v>10000</v>
      </c>
      <c r="D9" s="95">
        <v>0</v>
      </c>
      <c r="E9" s="72"/>
      <c r="F9" s="232"/>
      <c r="H9" s="10"/>
      <c r="I9" s="10"/>
      <c r="K9" t="s">
        <v>1309</v>
      </c>
      <c r="L9" s="193">
        <v>41258.97</v>
      </c>
      <c r="M9" s="219"/>
    </row>
    <row r="10" spans="2:13" ht="14.25" customHeight="1">
      <c r="B10" s="228" t="s">
        <v>1421</v>
      </c>
      <c r="C10" s="91">
        <v>373</v>
      </c>
      <c r="D10" s="95">
        <v>0</v>
      </c>
      <c r="E10" s="72"/>
      <c r="F10" s="232"/>
      <c r="H10" s="144">
        <f>SUM(H3:H9)</f>
        <v>-3406.3</v>
      </c>
      <c r="I10" s="144" t="s">
        <v>1031</v>
      </c>
      <c r="K10" s="217" t="s">
        <v>45</v>
      </c>
      <c r="L10" s="218">
        <f>SUM(L8:L9)</f>
        <v>50960.78</v>
      </c>
    </row>
    <row r="11" spans="2:13">
      <c r="B11" s="228" t="s">
        <v>1422</v>
      </c>
      <c r="C11" s="91">
        <v>240.16</v>
      </c>
      <c r="D11" s="95">
        <v>0</v>
      </c>
      <c r="E11" s="72"/>
      <c r="F11" s="232"/>
    </row>
    <row r="12" spans="2:13" ht="15.75">
      <c r="B12" s="228" t="s">
        <v>107</v>
      </c>
      <c r="C12" s="91">
        <v>3473.28</v>
      </c>
      <c r="D12" s="95">
        <v>0</v>
      </c>
      <c r="E12" s="72"/>
      <c r="F12" s="232"/>
      <c r="H12" s="245" t="s">
        <v>1143</v>
      </c>
      <c r="I12" s="245" t="s">
        <v>408</v>
      </c>
    </row>
    <row r="13" spans="2:13">
      <c r="B13" s="229" t="s">
        <v>122</v>
      </c>
      <c r="C13" s="96">
        <v>-246.86</v>
      </c>
      <c r="D13" s="63">
        <v>0</v>
      </c>
      <c r="E13" s="64"/>
      <c r="F13" s="233" t="s">
        <v>58</v>
      </c>
      <c r="H13" s="10"/>
      <c r="I13" s="10"/>
    </row>
    <row r="14" spans="2:13">
      <c r="B14" s="229" t="s">
        <v>1339</v>
      </c>
      <c r="C14" s="96">
        <v>-772.73</v>
      </c>
      <c r="D14" s="63">
        <v>0</v>
      </c>
      <c r="E14" s="64"/>
      <c r="F14" s="233" t="s">
        <v>58</v>
      </c>
      <c r="H14" s="10"/>
      <c r="I14" s="10"/>
    </row>
    <row r="15" spans="2:13">
      <c r="B15" s="242" t="s">
        <v>1409</v>
      </c>
      <c r="C15" s="246">
        <v>-550</v>
      </c>
      <c r="D15" s="63">
        <v>0</v>
      </c>
      <c r="E15" s="64"/>
      <c r="F15" s="233" t="s">
        <v>58</v>
      </c>
      <c r="H15" s="10"/>
      <c r="I15" s="10"/>
    </row>
    <row r="16" spans="2:13">
      <c r="B16" s="229" t="s">
        <v>1413</v>
      </c>
      <c r="C16" s="96">
        <v>-700</v>
      </c>
      <c r="D16" s="63">
        <v>0</v>
      </c>
      <c r="E16" s="64"/>
      <c r="F16" s="233" t="s">
        <v>58</v>
      </c>
      <c r="H16" s="10">
        <f>L6</f>
        <v>27.551550000000002</v>
      </c>
      <c r="I16" s="10" t="s">
        <v>1162</v>
      </c>
    </row>
    <row r="17" spans="2:12">
      <c r="B17" s="242" t="s">
        <v>1415</v>
      </c>
      <c r="C17" s="243">
        <v>-1446.51</v>
      </c>
      <c r="D17" s="63">
        <v>0</v>
      </c>
      <c r="E17" s="64"/>
      <c r="F17" s="233" t="s">
        <v>58</v>
      </c>
      <c r="H17" s="10"/>
      <c r="I17" s="10"/>
    </row>
    <row r="18" spans="2:12">
      <c r="B18" s="229" t="s">
        <v>1416</v>
      </c>
      <c r="C18" s="96">
        <v>-1170.5</v>
      </c>
      <c r="D18" s="63">
        <v>0</v>
      </c>
      <c r="E18" s="64"/>
      <c r="F18" s="233" t="s">
        <v>58</v>
      </c>
      <c r="G18" s="143"/>
      <c r="H18" s="10"/>
      <c r="I18" s="10"/>
    </row>
    <row r="19" spans="2:12">
      <c r="B19" s="229" t="s">
        <v>1417</v>
      </c>
      <c r="C19" s="96">
        <v>-3375</v>
      </c>
      <c r="D19" s="63">
        <v>0</v>
      </c>
      <c r="E19" s="64"/>
      <c r="F19" s="233" t="s">
        <v>58</v>
      </c>
      <c r="H19" s="10"/>
      <c r="I19" s="10"/>
    </row>
    <row r="20" spans="2:12">
      <c r="B20" s="229" t="s">
        <v>1418</v>
      </c>
      <c r="C20" s="96">
        <v>-1297</v>
      </c>
      <c r="D20" s="63">
        <v>0</v>
      </c>
      <c r="E20" s="64"/>
      <c r="F20" s="233" t="s">
        <v>58</v>
      </c>
      <c r="H20" s="10">
        <v>20030.02</v>
      </c>
      <c r="I20" s="10" t="s">
        <v>1336</v>
      </c>
    </row>
    <row r="21" spans="2:12">
      <c r="B21" s="229" t="s">
        <v>586</v>
      </c>
      <c r="C21" s="96">
        <v>-168.78</v>
      </c>
      <c r="D21" s="63">
        <v>0</v>
      </c>
      <c r="E21" s="64"/>
      <c r="F21" s="233" t="s">
        <v>58</v>
      </c>
      <c r="H21" s="10"/>
      <c r="I21" s="10"/>
    </row>
    <row r="22" spans="2:12">
      <c r="B22" s="229" t="s">
        <v>1263</v>
      </c>
      <c r="C22" s="96">
        <f>-50-64.07</f>
        <v>-114.07</v>
      </c>
      <c r="D22" s="63">
        <v>0</v>
      </c>
      <c r="E22" s="64"/>
      <c r="F22" s="233" t="s">
        <v>58</v>
      </c>
      <c r="H22" s="10"/>
      <c r="I22" s="10"/>
    </row>
    <row r="23" spans="2:12">
      <c r="B23" s="229" t="s">
        <v>1397</v>
      </c>
      <c r="C23" s="96">
        <v>-62.25</v>
      </c>
      <c r="D23" s="63">
        <v>0</v>
      </c>
      <c r="E23" s="64"/>
      <c r="F23" s="233" t="s">
        <v>58</v>
      </c>
      <c r="H23" s="10"/>
      <c r="I23" s="10"/>
    </row>
    <row r="24" spans="2:12">
      <c r="B24" s="229" t="s">
        <v>1098</v>
      </c>
      <c r="C24" s="96">
        <v>-155.47</v>
      </c>
      <c r="D24" s="63">
        <v>0</v>
      </c>
      <c r="E24" s="64"/>
      <c r="F24" s="233" t="s">
        <v>58</v>
      </c>
      <c r="H24" s="10"/>
      <c r="I24" s="10"/>
    </row>
    <row r="25" spans="2:12">
      <c r="B25" s="229" t="s">
        <v>65</v>
      </c>
      <c r="C25" s="96">
        <v>-600</v>
      </c>
      <c r="D25" s="63">
        <v>0</v>
      </c>
      <c r="E25" s="64"/>
      <c r="F25" s="233" t="s">
        <v>58</v>
      </c>
      <c r="H25" s="10"/>
      <c r="I25" s="10"/>
      <c r="L25" t="s">
        <v>1022</v>
      </c>
    </row>
    <row r="26" spans="2:12">
      <c r="B26" s="229" t="s">
        <v>1069</v>
      </c>
      <c r="C26" s="96">
        <v>-885.4</v>
      </c>
      <c r="D26" s="63">
        <v>0</v>
      </c>
      <c r="E26" s="64"/>
      <c r="F26" s="233" t="s">
        <v>58</v>
      </c>
      <c r="H26" s="10">
        <v>39.39</v>
      </c>
      <c r="I26" s="10" t="s">
        <v>1165</v>
      </c>
    </row>
    <row r="27" spans="2:12">
      <c r="B27" s="242" t="s">
        <v>83</v>
      </c>
      <c r="C27" s="243">
        <v>-85.12</v>
      </c>
      <c r="D27" s="63">
        <v>0</v>
      </c>
      <c r="E27" s="64"/>
      <c r="F27" s="233" t="s">
        <v>58</v>
      </c>
      <c r="H27" s="144">
        <f>SUM(H13:H26)</f>
        <v>20096.96155</v>
      </c>
      <c r="I27" s="144" t="s">
        <v>1031</v>
      </c>
    </row>
    <row r="28" spans="2:12">
      <c r="B28" s="229" t="s">
        <v>1242</v>
      </c>
      <c r="C28" s="96">
        <v>-650</v>
      </c>
      <c r="D28" s="63">
        <v>0</v>
      </c>
      <c r="E28" s="64"/>
      <c r="F28" s="233" t="s">
        <v>58</v>
      </c>
    </row>
    <row r="29" spans="2:12">
      <c r="B29" s="242" t="s">
        <v>1419</v>
      </c>
      <c r="C29" s="96">
        <v>-50</v>
      </c>
      <c r="D29" s="63">
        <v>0</v>
      </c>
      <c r="E29" s="64"/>
      <c r="F29" s="233" t="s">
        <v>58</v>
      </c>
      <c r="H29" s="199"/>
    </row>
    <row r="30" spans="2:12" ht="18">
      <c r="B30" s="229" t="s">
        <v>1420</v>
      </c>
      <c r="C30" s="96">
        <v>-200</v>
      </c>
      <c r="D30" s="63">
        <v>0</v>
      </c>
      <c r="E30" s="64"/>
      <c r="F30" s="233" t="s">
        <v>58</v>
      </c>
      <c r="H30" s="211"/>
    </row>
    <row r="31" spans="2:12">
      <c r="B31" s="229" t="s">
        <v>1266</v>
      </c>
      <c r="C31" s="96">
        <v>-1615.86</v>
      </c>
      <c r="D31" s="63">
        <v>0</v>
      </c>
      <c r="E31" s="64"/>
      <c r="F31" s="233" t="s">
        <v>58</v>
      </c>
    </row>
    <row r="32" spans="2:12" ht="18">
      <c r="B32" s="229" t="s">
        <v>103</v>
      </c>
      <c r="C32" s="96">
        <v>-4342.78</v>
      </c>
      <c r="D32" s="63">
        <v>0</v>
      </c>
      <c r="E32" s="64"/>
      <c r="F32" s="233" t="s">
        <v>58</v>
      </c>
      <c r="G32" s="211"/>
      <c r="H32" s="199">
        <f>H17+H21+H24</f>
        <v>0</v>
      </c>
    </row>
    <row r="33" spans="2:8">
      <c r="B33" s="229" t="s">
        <v>1314</v>
      </c>
      <c r="C33" s="96">
        <v>-4930.6400000000003</v>
      </c>
      <c r="D33" s="63">
        <v>0</v>
      </c>
      <c r="E33" s="64"/>
      <c r="F33" s="233" t="s">
        <v>58</v>
      </c>
    </row>
    <row r="34" spans="2:8">
      <c r="B34" s="229" t="s">
        <v>125</v>
      </c>
      <c r="C34" s="96">
        <v>-5000</v>
      </c>
      <c r="D34" s="63">
        <v>0</v>
      </c>
      <c r="E34" s="64"/>
      <c r="F34" s="233" t="s">
        <v>58</v>
      </c>
      <c r="H34" s="199"/>
    </row>
    <row r="35" spans="2:8">
      <c r="B35" s="229" t="s">
        <v>73</v>
      </c>
      <c r="C35" s="96">
        <v>-277.2</v>
      </c>
      <c r="D35" s="63">
        <v>0</v>
      </c>
      <c r="E35" s="64"/>
      <c r="F35" s="233" t="s">
        <v>58</v>
      </c>
    </row>
    <row r="36" spans="2:8">
      <c r="B36" s="229" t="s">
        <v>1394</v>
      </c>
      <c r="C36" s="96">
        <v>-75.930000000000007</v>
      </c>
      <c r="D36" s="63">
        <v>0</v>
      </c>
      <c r="E36" s="64"/>
      <c r="F36" s="233" t="s">
        <v>58</v>
      </c>
    </row>
    <row r="37" spans="2:8">
      <c r="B37" s="229" t="s">
        <v>1139</v>
      </c>
      <c r="C37" s="96">
        <v>-80.709999999999994</v>
      </c>
      <c r="D37" s="190">
        <f>C37</f>
        <v>-80.709999999999994</v>
      </c>
      <c r="E37" s="191"/>
      <c r="F37" s="235"/>
    </row>
    <row r="38" spans="2:8">
      <c r="B38" s="242" t="s">
        <v>1353</v>
      </c>
      <c r="C38" s="243">
        <v>-53.5</v>
      </c>
      <c r="D38" s="63">
        <v>0</v>
      </c>
      <c r="E38" s="64"/>
      <c r="F38" s="233" t="s">
        <v>58</v>
      </c>
    </row>
    <row r="39" spans="2:8">
      <c r="B39" s="229" t="s">
        <v>1268</v>
      </c>
      <c r="C39" s="96">
        <v>-29.15</v>
      </c>
      <c r="D39" s="63">
        <v>0</v>
      </c>
      <c r="E39" s="64"/>
      <c r="F39" s="233" t="s">
        <v>58</v>
      </c>
    </row>
    <row r="40" spans="2:8">
      <c r="B40" s="242" t="s">
        <v>974</v>
      </c>
      <c r="C40" s="243">
        <f>-1169.9-105.65-11-80.21</f>
        <v>-1366.7600000000002</v>
      </c>
      <c r="D40" s="63">
        <v>0</v>
      </c>
      <c r="E40" s="64"/>
      <c r="F40" s="233" t="s">
        <v>58</v>
      </c>
    </row>
    <row r="41" spans="2:8">
      <c r="B41" s="242" t="s">
        <v>1424</v>
      </c>
      <c r="C41" s="243">
        <v>-990</v>
      </c>
      <c r="D41" s="63">
        <v>0</v>
      </c>
      <c r="E41" s="64"/>
      <c r="F41" s="233" t="s">
        <v>58</v>
      </c>
    </row>
    <row r="42" spans="2:8">
      <c r="B42" s="229" t="s">
        <v>1249</v>
      </c>
      <c r="C42" s="96">
        <v>-717</v>
      </c>
      <c r="D42" s="63">
        <v>0</v>
      </c>
      <c r="E42" s="64"/>
      <c r="F42" s="233" t="s">
        <v>58</v>
      </c>
    </row>
    <row r="43" spans="2:8" ht="18">
      <c r="B43" s="74" t="s">
        <v>45</v>
      </c>
      <c r="C43" s="188"/>
      <c r="D43" s="241">
        <f>SUM(D4:D42)</f>
        <v>-1032.1400000000001</v>
      </c>
      <c r="E43" s="75"/>
    </row>
    <row r="46" spans="2:8" ht="18">
      <c r="E46" s="211"/>
    </row>
  </sheetData>
  <conditionalFormatting sqref="D4:D6 D11">
    <cfRule type="cellIs" dxfId="127" priority="55" stopIfTrue="1" operator="lessThan">
      <formula>0</formula>
    </cfRule>
  </conditionalFormatting>
  <conditionalFormatting sqref="D12">
    <cfRule type="cellIs" dxfId="126" priority="43" stopIfTrue="1" operator="lessThan">
      <formula>0</formula>
    </cfRule>
  </conditionalFormatting>
  <conditionalFormatting sqref="D7">
    <cfRule type="cellIs" dxfId="125" priority="37" stopIfTrue="1" operator="lessThan">
      <formula>0</formula>
    </cfRule>
  </conditionalFormatting>
  <conditionalFormatting sqref="D37">
    <cfRule type="cellIs" dxfId="124" priority="14" stopIfTrue="1" operator="greaterThan">
      <formula>0</formula>
    </cfRule>
  </conditionalFormatting>
  <conditionalFormatting sqref="D10">
    <cfRule type="cellIs" dxfId="123" priority="9" stopIfTrue="1" operator="lessThan">
      <formula>0</formula>
    </cfRule>
  </conditionalFormatting>
  <conditionalFormatting sqref="D8">
    <cfRule type="cellIs" dxfId="122" priority="7" stopIfTrue="1" operator="lessThan">
      <formula>0</formula>
    </cfRule>
  </conditionalFormatting>
  <conditionalFormatting sqref="D9">
    <cfRule type="cellIs" dxfId="121" priority="2" stopIfTrue="1" operator="lessThan">
      <formula>0</formula>
    </cfRule>
  </conditionalFormatting>
  <pageMargins left="0.511811024" right="0.511811024" top="0.78740157499999996" bottom="0.78740157499999996" header="0.31496062000000002" footer="0.31496062000000002"/>
  <tableParts count="1">
    <tablePart r:id="rId1"/>
  </tableParts>
</worksheet>
</file>

<file path=xl/worksheets/sheet122.xml><?xml version="1.0" encoding="utf-8"?>
<worksheet xmlns="http://schemas.openxmlformats.org/spreadsheetml/2006/main" xmlns:r="http://schemas.openxmlformats.org/officeDocument/2006/relationships">
  <dimension ref="B2:M37"/>
  <sheetViews>
    <sheetView zoomScale="75" zoomScaleNormal="75" workbookViewId="0">
      <selection activeCell="B27" sqref="B27"/>
    </sheetView>
  </sheetViews>
  <sheetFormatPr defaultColWidth="8.85546875" defaultRowHeight="12.75"/>
  <cols>
    <col min="1" max="1" width="2" customWidth="1"/>
    <col min="2" max="2" width="40" bestFit="1" customWidth="1"/>
    <col min="3" max="3" width="22.42578125" customWidth="1"/>
    <col min="4" max="4" width="20.28515625" bestFit="1" customWidth="1"/>
    <col min="5" max="5" width="15.140625" customWidth="1"/>
    <col min="6" max="6" width="9.85546875" customWidth="1"/>
    <col min="7" max="7" width="4.28515625" customWidth="1"/>
    <col min="8" max="8" width="32.85546875" bestFit="1" customWidth="1"/>
    <col min="9" max="9" width="13.140625" bestFit="1" customWidth="1"/>
    <col min="10" max="10" width="3.140625" customWidth="1"/>
    <col min="11" max="11" width="23.42578125" customWidth="1"/>
    <col min="12" max="12" width="16" bestFit="1" customWidth="1"/>
  </cols>
  <sheetData>
    <row r="2" spans="2:13" ht="18">
      <c r="B2" s="236" t="s">
        <v>1401</v>
      </c>
      <c r="C2" s="237" t="s">
        <v>1402</v>
      </c>
      <c r="D2" s="238" t="s">
        <v>1403</v>
      </c>
      <c r="E2" s="239" t="s">
        <v>1404</v>
      </c>
      <c r="F2" s="240" t="s">
        <v>1405</v>
      </c>
      <c r="H2" s="248" t="s">
        <v>913</v>
      </c>
      <c r="I2" s="248" t="s">
        <v>408</v>
      </c>
      <c r="K2" s="203" t="s">
        <v>1169</v>
      </c>
      <c r="L2" s="204">
        <v>1775</v>
      </c>
    </row>
    <row r="3" spans="2:13" ht="18">
      <c r="B3" s="227" t="s">
        <v>135</v>
      </c>
      <c r="C3" s="224"/>
      <c r="D3" s="247" t="s">
        <v>0</v>
      </c>
      <c r="E3" s="82" t="s">
        <v>1</v>
      </c>
      <c r="F3" s="231" t="s">
        <v>57</v>
      </c>
      <c r="H3" s="10">
        <v>0</v>
      </c>
      <c r="I3" s="10" t="s">
        <v>914</v>
      </c>
      <c r="K3" s="203" t="s">
        <v>1319</v>
      </c>
      <c r="L3" s="203">
        <v>187</v>
      </c>
    </row>
    <row r="4" spans="2:13" ht="18" customHeight="1">
      <c r="B4" s="228" t="s">
        <v>48</v>
      </c>
      <c r="C4" s="191"/>
      <c r="D4" s="95">
        <v>6.47</v>
      </c>
      <c r="E4" s="72"/>
      <c r="F4" s="232"/>
      <c r="H4" s="10"/>
      <c r="I4" s="10"/>
      <c r="K4" s="203" t="s">
        <v>1172</v>
      </c>
      <c r="L4" s="207">
        <v>9.3300000000000005E-5</v>
      </c>
    </row>
    <row r="5" spans="2:13" ht="17.25" customHeight="1">
      <c r="B5" s="228" t="s">
        <v>7</v>
      </c>
      <c r="C5" s="191"/>
      <c r="D5" s="95">
        <v>-68</v>
      </c>
      <c r="E5" s="72"/>
      <c r="F5" s="232"/>
      <c r="H5" s="10"/>
      <c r="I5" s="10"/>
      <c r="K5" s="206" t="s">
        <v>1173</v>
      </c>
      <c r="L5" s="206">
        <f>L3*L4</f>
        <v>1.74471E-2</v>
      </c>
    </row>
    <row r="6" spans="2:13">
      <c r="B6" s="228" t="s">
        <v>1430</v>
      </c>
      <c r="C6" s="91">
        <v>16080.63</v>
      </c>
      <c r="D6" s="95">
        <v>0</v>
      </c>
      <c r="E6" s="72"/>
      <c r="F6" s="232"/>
      <c r="H6" s="10"/>
      <c r="I6" s="10"/>
      <c r="K6" s="206" t="s">
        <v>1174</v>
      </c>
      <c r="L6" s="205">
        <f>L2*L5</f>
        <v>30.968602499999999</v>
      </c>
    </row>
    <row r="7" spans="2:13" ht="15.75">
      <c r="B7" s="228" t="s">
        <v>927</v>
      </c>
      <c r="C7" s="91">
        <v>263</v>
      </c>
      <c r="D7" s="95">
        <v>0</v>
      </c>
      <c r="E7" s="72"/>
      <c r="F7" s="232"/>
      <c r="H7" s="10"/>
      <c r="I7" s="10"/>
      <c r="K7" s="217" t="s">
        <v>1249</v>
      </c>
      <c r="L7" s="217" t="s">
        <v>646</v>
      </c>
    </row>
    <row r="8" spans="2:13">
      <c r="B8" s="228" t="s">
        <v>1429</v>
      </c>
      <c r="C8" s="91">
        <v>85</v>
      </c>
      <c r="D8" s="95">
        <v>0</v>
      </c>
      <c r="E8" s="72"/>
      <c r="F8" s="232"/>
      <c r="H8" s="10"/>
      <c r="I8" s="10"/>
      <c r="K8" t="s">
        <v>1308</v>
      </c>
      <c r="L8" s="193">
        <v>11000</v>
      </c>
    </row>
    <row r="9" spans="2:13">
      <c r="B9" s="228" t="s">
        <v>1425</v>
      </c>
      <c r="C9" s="91">
        <v>8000.77</v>
      </c>
      <c r="D9" s="95">
        <f>Tabela134[[#This Row],[Colunas2]]</f>
        <v>8000.77</v>
      </c>
      <c r="E9" s="72"/>
      <c r="F9" s="232"/>
      <c r="H9" s="10"/>
      <c r="I9" s="10"/>
      <c r="K9" t="s">
        <v>1309</v>
      </c>
      <c r="L9" s="193">
        <v>44000</v>
      </c>
      <c r="M9" s="219"/>
    </row>
    <row r="10" spans="2:13" ht="14.25" customHeight="1">
      <c r="B10" s="242" t="s">
        <v>1287</v>
      </c>
      <c r="C10" s="243">
        <f>-10000+450</f>
        <v>-9550</v>
      </c>
      <c r="D10" s="63">
        <v>0</v>
      </c>
      <c r="E10" s="64"/>
      <c r="F10" s="233" t="s">
        <v>58</v>
      </c>
      <c r="H10" s="144">
        <f>SUM(H3:H9)</f>
        <v>0</v>
      </c>
      <c r="I10" s="144" t="s">
        <v>1031</v>
      </c>
      <c r="K10" s="217" t="s">
        <v>45</v>
      </c>
      <c r="L10" s="218">
        <f>SUM(L8:L9)</f>
        <v>55000</v>
      </c>
    </row>
    <row r="11" spans="2:13">
      <c r="B11" s="229" t="s">
        <v>122</v>
      </c>
      <c r="C11" s="96">
        <v>-246.86</v>
      </c>
      <c r="D11" s="63">
        <v>0</v>
      </c>
      <c r="E11" s="64"/>
      <c r="F11" s="233" t="s">
        <v>58</v>
      </c>
    </row>
    <row r="12" spans="2:13" ht="15.75">
      <c r="B12" s="229" t="s">
        <v>1339</v>
      </c>
      <c r="C12" s="96">
        <v>-778.81</v>
      </c>
      <c r="D12" s="63">
        <v>0</v>
      </c>
      <c r="E12" s="64"/>
      <c r="F12" s="233" t="s">
        <v>58</v>
      </c>
      <c r="H12" s="248" t="s">
        <v>1143</v>
      </c>
      <c r="I12" s="248" t="s">
        <v>408</v>
      </c>
    </row>
    <row r="13" spans="2:13">
      <c r="B13" s="242" t="s">
        <v>1409</v>
      </c>
      <c r="C13" s="96">
        <v>-550</v>
      </c>
      <c r="D13" s="63">
        <v>0</v>
      </c>
      <c r="E13" s="64"/>
      <c r="F13" s="233" t="s">
        <v>58</v>
      </c>
      <c r="H13" s="10"/>
      <c r="I13" s="10"/>
    </row>
    <row r="14" spans="2:13">
      <c r="B14" s="229" t="s">
        <v>1426</v>
      </c>
      <c r="C14" s="96">
        <v>-700</v>
      </c>
      <c r="D14" s="63">
        <v>0</v>
      </c>
      <c r="E14" s="64"/>
      <c r="F14" s="233" t="s">
        <v>58</v>
      </c>
      <c r="H14" s="10"/>
      <c r="I14" s="10"/>
    </row>
    <row r="15" spans="2:13">
      <c r="B15" s="242" t="s">
        <v>1415</v>
      </c>
      <c r="C15" s="243">
        <v>-1355.99</v>
      </c>
      <c r="D15" s="63">
        <v>0</v>
      </c>
      <c r="E15" s="64"/>
      <c r="F15" s="233" t="s">
        <v>58</v>
      </c>
      <c r="H15" s="10"/>
      <c r="I15" s="10"/>
    </row>
    <row r="16" spans="2:13">
      <c r="B16" s="229" t="s">
        <v>1427</v>
      </c>
      <c r="C16" s="96">
        <v>-3375</v>
      </c>
      <c r="D16" s="63">
        <v>0</v>
      </c>
      <c r="E16" s="64"/>
      <c r="F16" s="233" t="s">
        <v>58</v>
      </c>
      <c r="H16" s="10">
        <v>0</v>
      </c>
      <c r="I16" s="10" t="s">
        <v>1162</v>
      </c>
    </row>
    <row r="17" spans="2:12">
      <c r="B17" s="229" t="s">
        <v>1428</v>
      </c>
      <c r="C17" s="96">
        <v>-1297</v>
      </c>
      <c r="D17" s="63">
        <v>0</v>
      </c>
      <c r="E17" s="64"/>
      <c r="F17" s="233" t="s">
        <v>58</v>
      </c>
      <c r="H17" s="10"/>
      <c r="I17" s="10"/>
    </row>
    <row r="18" spans="2:12">
      <c r="B18" s="229" t="s">
        <v>586</v>
      </c>
      <c r="C18" s="96">
        <v>-159.88</v>
      </c>
      <c r="D18" s="63">
        <v>0</v>
      </c>
      <c r="E18" s="64"/>
      <c r="F18" s="233" t="s">
        <v>58</v>
      </c>
      <c r="G18" s="143"/>
      <c r="H18" s="10"/>
      <c r="I18" s="10"/>
    </row>
    <row r="19" spans="2:12">
      <c r="B19" s="229" t="s">
        <v>1263</v>
      </c>
      <c r="C19" s="96">
        <v>-32.85</v>
      </c>
      <c r="D19" s="63">
        <v>0</v>
      </c>
      <c r="E19" s="64"/>
      <c r="F19" s="233" t="s">
        <v>58</v>
      </c>
      <c r="H19" s="10"/>
      <c r="I19" s="10"/>
    </row>
    <row r="20" spans="2:12">
      <c r="B20" s="229" t="s">
        <v>1397</v>
      </c>
      <c r="C20" s="96">
        <v>-105</v>
      </c>
      <c r="D20" s="63">
        <v>0</v>
      </c>
      <c r="E20" s="64"/>
      <c r="F20" s="233" t="s">
        <v>58</v>
      </c>
      <c r="H20" s="10">
        <v>1057</v>
      </c>
      <c r="I20" s="10" t="s">
        <v>1336</v>
      </c>
    </row>
    <row r="21" spans="2:12">
      <c r="B21" s="229" t="s">
        <v>1098</v>
      </c>
      <c r="C21" s="96">
        <v>-133.57</v>
      </c>
      <c r="D21" s="63">
        <v>0</v>
      </c>
      <c r="E21" s="64"/>
      <c r="F21" s="233" t="s">
        <v>58</v>
      </c>
      <c r="H21" s="10" t="s">
        <v>1022</v>
      </c>
      <c r="I21" s="10"/>
    </row>
    <row r="22" spans="2:12">
      <c r="B22" s="229" t="s">
        <v>65</v>
      </c>
      <c r="C22" s="96">
        <v>-600</v>
      </c>
      <c r="D22" s="63">
        <v>0</v>
      </c>
      <c r="E22" s="64"/>
      <c r="F22" s="233" t="s">
        <v>58</v>
      </c>
      <c r="H22" s="10"/>
      <c r="I22" s="10"/>
    </row>
    <row r="23" spans="2:12">
      <c r="B23" s="229" t="s">
        <v>1069</v>
      </c>
      <c r="C23" s="96">
        <v>-885.4</v>
      </c>
      <c r="D23" s="63">
        <v>0</v>
      </c>
      <c r="E23" s="64"/>
      <c r="F23" s="233" t="s">
        <v>58</v>
      </c>
      <c r="H23" s="10"/>
      <c r="I23" s="10"/>
    </row>
    <row r="24" spans="2:12">
      <c r="B24" s="229" t="s">
        <v>1242</v>
      </c>
      <c r="C24" s="96">
        <v>-650</v>
      </c>
      <c r="D24" s="63">
        <v>0</v>
      </c>
      <c r="E24" s="64"/>
      <c r="F24" s="233" t="s">
        <v>58</v>
      </c>
      <c r="H24" s="10"/>
      <c r="I24" s="10"/>
    </row>
    <row r="25" spans="2:12">
      <c r="B25" s="229" t="s">
        <v>1266</v>
      </c>
      <c r="C25" s="96">
        <v>-1615.86</v>
      </c>
      <c r="D25" s="63">
        <v>0</v>
      </c>
      <c r="E25" s="64"/>
      <c r="F25" s="233" t="s">
        <v>58</v>
      </c>
      <c r="H25" s="10"/>
      <c r="I25" s="10"/>
      <c r="L25" t="s">
        <v>1022</v>
      </c>
    </row>
    <row r="26" spans="2:12">
      <c r="B26" s="229" t="s">
        <v>103</v>
      </c>
      <c r="C26" s="96">
        <v>-3898.47</v>
      </c>
      <c r="D26" s="63">
        <v>0</v>
      </c>
      <c r="E26" s="64"/>
      <c r="F26" s="233" t="s">
        <v>58</v>
      </c>
      <c r="H26" s="10">
        <v>0</v>
      </c>
      <c r="I26" s="10" t="s">
        <v>1165</v>
      </c>
    </row>
    <row r="27" spans="2:12">
      <c r="B27" s="229" t="s">
        <v>1314</v>
      </c>
      <c r="C27" s="96">
        <v>-6898</v>
      </c>
      <c r="D27" s="63">
        <v>0</v>
      </c>
      <c r="E27" s="64"/>
      <c r="F27" s="233" t="s">
        <v>58</v>
      </c>
      <c r="H27" s="144">
        <f>SUM(H13:H26)</f>
        <v>1057</v>
      </c>
      <c r="I27" s="144" t="s">
        <v>1031</v>
      </c>
    </row>
    <row r="28" spans="2:12">
      <c r="B28" s="229" t="s">
        <v>125</v>
      </c>
      <c r="C28" s="96">
        <v>-5100</v>
      </c>
      <c r="D28" s="63">
        <v>0</v>
      </c>
      <c r="E28" s="64"/>
      <c r="F28" s="233" t="s">
        <v>58</v>
      </c>
    </row>
    <row r="29" spans="2:12">
      <c r="B29" s="229" t="s">
        <v>73</v>
      </c>
      <c r="C29" s="96">
        <v>-546.16</v>
      </c>
      <c r="D29" s="63">
        <v>0</v>
      </c>
      <c r="E29" s="64"/>
      <c r="F29" s="233" t="s">
        <v>58</v>
      </c>
      <c r="H29" s="199"/>
    </row>
    <row r="30" spans="2:12" ht="18">
      <c r="B30" s="229" t="s">
        <v>1139</v>
      </c>
      <c r="C30" s="96">
        <v>-80.709999999999994</v>
      </c>
      <c r="D30" s="63">
        <v>0</v>
      </c>
      <c r="E30" s="64"/>
      <c r="F30" s="233" t="s">
        <v>58</v>
      </c>
      <c r="H30" s="211"/>
    </row>
    <row r="31" spans="2:12">
      <c r="B31" s="242" t="s">
        <v>1353</v>
      </c>
      <c r="C31" s="243">
        <v>-53.5</v>
      </c>
      <c r="D31" s="63">
        <v>0</v>
      </c>
      <c r="E31" s="64"/>
      <c r="F31" s="233" t="s">
        <v>58</v>
      </c>
    </row>
    <row r="32" spans="2:12" ht="18">
      <c r="B32" s="229" t="s">
        <v>1268</v>
      </c>
      <c r="C32" s="96">
        <v>-29.15</v>
      </c>
      <c r="D32" s="63">
        <v>0</v>
      </c>
      <c r="E32" s="64"/>
      <c r="F32" s="233" t="s">
        <v>58</v>
      </c>
      <c r="G32" s="211"/>
      <c r="H32" s="199"/>
    </row>
    <row r="33" spans="2:8">
      <c r="B33" s="229" t="s">
        <v>1249</v>
      </c>
      <c r="C33" s="96">
        <v>-717</v>
      </c>
      <c r="D33" s="63">
        <v>0</v>
      </c>
      <c r="E33" s="64"/>
      <c r="F33" s="233" t="s">
        <v>58</v>
      </c>
    </row>
    <row r="34" spans="2:8" ht="18">
      <c r="B34" s="74" t="s">
        <v>1432</v>
      </c>
      <c r="C34" s="188"/>
      <c r="D34" s="241">
        <f>SUM(D4:D33)</f>
        <v>7939.2400000000007</v>
      </c>
      <c r="E34" s="75"/>
      <c r="H34" s="199"/>
    </row>
    <row r="35" spans="2:8" ht="18">
      <c r="B35" s="249" t="s">
        <v>1431</v>
      </c>
      <c r="C35" s="250"/>
      <c r="D35" s="251">
        <f>H27</f>
        <v>1057</v>
      </c>
      <c r="E35" s="252"/>
    </row>
    <row r="36" spans="2:8" ht="24" thickBot="1">
      <c r="B36" s="253" t="s">
        <v>1433</v>
      </c>
      <c r="C36" s="254"/>
      <c r="D36" s="255">
        <f>D34+D35</f>
        <v>8996.2400000000016</v>
      </c>
      <c r="E36" s="256"/>
    </row>
    <row r="37" spans="2:8" ht="18.75" thickTop="1">
      <c r="E37" s="211"/>
    </row>
  </sheetData>
  <conditionalFormatting sqref="D4:D6 D9">
    <cfRule type="cellIs" dxfId="114" priority="15" stopIfTrue="1" operator="lessThan">
      <formula>0</formula>
    </cfRule>
  </conditionalFormatting>
  <conditionalFormatting sqref="D7">
    <cfRule type="cellIs" dxfId="113" priority="3" stopIfTrue="1" operator="lessThan">
      <formula>0</formula>
    </cfRule>
  </conditionalFormatting>
  <conditionalFormatting sqref="D8">
    <cfRule type="cellIs" dxfId="112" priority="2"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23.xml><?xml version="1.0" encoding="utf-8"?>
<worksheet xmlns="http://schemas.openxmlformats.org/spreadsheetml/2006/main" xmlns:r="http://schemas.openxmlformats.org/officeDocument/2006/relationships">
  <dimension ref="B2:M35"/>
  <sheetViews>
    <sheetView zoomScale="75" zoomScaleNormal="75" workbookViewId="0">
      <selection activeCell="C8" sqref="C8"/>
    </sheetView>
  </sheetViews>
  <sheetFormatPr defaultColWidth="8.85546875" defaultRowHeight="12.75"/>
  <cols>
    <col min="1" max="1" width="2" customWidth="1"/>
    <col min="2" max="2" width="40" bestFit="1" customWidth="1"/>
    <col min="3" max="3" width="22.42578125" customWidth="1"/>
    <col min="4" max="4" width="20.28515625" bestFit="1" customWidth="1"/>
    <col min="5" max="5" width="15.140625" customWidth="1"/>
    <col min="6" max="6" width="9.85546875" customWidth="1"/>
    <col min="7" max="7" width="4.28515625" customWidth="1"/>
    <col min="8" max="8" width="32.85546875" bestFit="1" customWidth="1"/>
    <col min="9" max="9" width="13.140625" bestFit="1" customWidth="1"/>
    <col min="10" max="10" width="3.140625" customWidth="1"/>
    <col min="11" max="11" width="23.42578125" customWidth="1"/>
    <col min="12" max="12" width="16" bestFit="1" customWidth="1"/>
  </cols>
  <sheetData>
    <row r="2" spans="2:13" ht="18">
      <c r="B2" s="236" t="s">
        <v>1401</v>
      </c>
      <c r="C2" s="237" t="s">
        <v>1402</v>
      </c>
      <c r="D2" s="238" t="s">
        <v>1403</v>
      </c>
      <c r="E2" s="239" t="s">
        <v>1404</v>
      </c>
      <c r="F2" s="240" t="s">
        <v>1405</v>
      </c>
      <c r="H2" s="258" t="s">
        <v>913</v>
      </c>
      <c r="I2" s="258" t="s">
        <v>408</v>
      </c>
      <c r="K2" s="203" t="s">
        <v>1169</v>
      </c>
      <c r="L2" s="204">
        <v>1775</v>
      </c>
    </row>
    <row r="3" spans="2:13" ht="18">
      <c r="B3" s="227" t="s">
        <v>135</v>
      </c>
      <c r="C3" s="224"/>
      <c r="D3" s="257" t="s">
        <v>0</v>
      </c>
      <c r="E3" s="82" t="s">
        <v>1</v>
      </c>
      <c r="F3" s="231" t="s">
        <v>57</v>
      </c>
      <c r="H3" s="10">
        <v>0</v>
      </c>
      <c r="I3" s="10" t="s">
        <v>914</v>
      </c>
      <c r="K3" s="203" t="s">
        <v>1319</v>
      </c>
      <c r="L3" s="203">
        <v>297</v>
      </c>
    </row>
    <row r="4" spans="2:13" ht="18" customHeight="1">
      <c r="B4" s="228" t="s">
        <v>48</v>
      </c>
      <c r="C4" s="191"/>
      <c r="D4" s="95">
        <v>3.81</v>
      </c>
      <c r="E4" s="72"/>
      <c r="F4" s="232"/>
      <c r="H4" s="10"/>
      <c r="I4" s="10"/>
      <c r="K4" s="203" t="s">
        <v>1172</v>
      </c>
      <c r="L4" s="207">
        <v>4.1100000000000003E-5</v>
      </c>
    </row>
    <row r="5" spans="2:13" ht="17.25" customHeight="1">
      <c r="B5" s="228" t="s">
        <v>7</v>
      </c>
      <c r="C5" s="191"/>
      <c r="D5" s="95">
        <v>136.11000000000001</v>
      </c>
      <c r="E5" s="72"/>
      <c r="F5" s="232"/>
      <c r="H5" s="10"/>
      <c r="I5" s="10"/>
      <c r="K5" s="206" t="s">
        <v>1173</v>
      </c>
      <c r="L5" s="206">
        <f>L3*L4</f>
        <v>1.2206700000000001E-2</v>
      </c>
    </row>
    <row r="6" spans="2:13">
      <c r="B6" s="228" t="s">
        <v>5</v>
      </c>
      <c r="C6" s="367">
        <v>18767.79</v>
      </c>
      <c r="D6" s="95"/>
      <c r="E6" s="72"/>
      <c r="F6" s="232"/>
      <c r="H6" s="10"/>
      <c r="I6" s="10"/>
      <c r="K6" s="206" t="s">
        <v>1174</v>
      </c>
      <c r="L6" s="205">
        <f>L2*L5</f>
        <v>21.666892500000003</v>
      </c>
    </row>
    <row r="7" spans="2:13" ht="15.75">
      <c r="B7" s="228" t="s">
        <v>1664</v>
      </c>
      <c r="C7" s="367">
        <v>947.4</v>
      </c>
      <c r="D7" s="95"/>
      <c r="E7" s="72"/>
      <c r="F7" s="232"/>
      <c r="H7" s="10"/>
      <c r="I7" s="10"/>
      <c r="K7" s="217" t="s">
        <v>1249</v>
      </c>
      <c r="L7" s="217" t="s">
        <v>646</v>
      </c>
    </row>
    <row r="8" spans="2:13">
      <c r="B8" s="228" t="s">
        <v>1665</v>
      </c>
      <c r="C8" s="91">
        <f>19282*(1-0.275)</f>
        <v>13979.449999999999</v>
      </c>
      <c r="D8" s="95">
        <v>0</v>
      </c>
      <c r="E8" s="72"/>
      <c r="F8" s="232"/>
      <c r="H8" s="10"/>
      <c r="I8" s="10"/>
      <c r="K8" t="s">
        <v>1308</v>
      </c>
      <c r="L8" s="193">
        <v>11000</v>
      </c>
    </row>
    <row r="9" spans="2:13">
      <c r="B9" s="228" t="s">
        <v>927</v>
      </c>
      <c r="C9" s="91">
        <v>64</v>
      </c>
      <c r="D9" s="95">
        <f>Tabela1345[[#This Row],[Colunas2]]</f>
        <v>64</v>
      </c>
      <c r="E9" s="72"/>
      <c r="F9" s="232"/>
      <c r="H9" s="10"/>
      <c r="I9" s="10"/>
      <c r="K9" t="s">
        <v>1309</v>
      </c>
      <c r="L9" s="193">
        <v>44000</v>
      </c>
      <c r="M9" s="219"/>
    </row>
    <row r="10" spans="2:13" ht="14.25" customHeight="1">
      <c r="B10" s="229" t="s">
        <v>122</v>
      </c>
      <c r="C10" s="96">
        <v>-154.53</v>
      </c>
      <c r="D10" s="63">
        <v>0</v>
      </c>
      <c r="E10" s="64"/>
      <c r="F10" s="233" t="s">
        <v>58</v>
      </c>
      <c r="H10" s="144">
        <f>SUM(H3:H9)</f>
        <v>0</v>
      </c>
      <c r="I10" s="144" t="s">
        <v>1031</v>
      </c>
      <c r="K10" s="217" t="s">
        <v>45</v>
      </c>
      <c r="L10" s="218">
        <f>SUM(L8:L9)</f>
        <v>55000</v>
      </c>
    </row>
    <row r="11" spans="2:13">
      <c r="B11" s="229" t="s">
        <v>1339</v>
      </c>
      <c r="C11" s="96">
        <v>-860.35</v>
      </c>
      <c r="D11" s="63">
        <v>0</v>
      </c>
      <c r="E11" s="64"/>
      <c r="F11" s="233" t="s">
        <v>58</v>
      </c>
    </row>
    <row r="12" spans="2:13" ht="15.75">
      <c r="B12" s="229" t="s">
        <v>1435</v>
      </c>
      <c r="C12" s="96">
        <v>-700</v>
      </c>
      <c r="D12" s="63">
        <v>0</v>
      </c>
      <c r="E12" s="64"/>
      <c r="F12" s="233" t="s">
        <v>58</v>
      </c>
      <c r="H12" s="258" t="s">
        <v>1143</v>
      </c>
      <c r="I12" s="258" t="s">
        <v>408</v>
      </c>
    </row>
    <row r="13" spans="2:13">
      <c r="B13" s="242" t="s">
        <v>1415</v>
      </c>
      <c r="C13" s="243">
        <v>-1354.48</v>
      </c>
      <c r="D13" s="63">
        <v>0</v>
      </c>
      <c r="E13" s="64"/>
      <c r="F13" s="233" t="s">
        <v>58</v>
      </c>
      <c r="H13" s="10"/>
      <c r="I13" s="10"/>
    </row>
    <row r="14" spans="2:13">
      <c r="B14" s="229" t="s">
        <v>1436</v>
      </c>
      <c r="C14" s="96">
        <v>-1297</v>
      </c>
      <c r="D14" s="63">
        <v>0</v>
      </c>
      <c r="E14" s="64"/>
      <c r="F14" s="233" t="s">
        <v>58</v>
      </c>
      <c r="H14" s="10"/>
      <c r="I14" s="10"/>
    </row>
    <row r="15" spans="2:13">
      <c r="B15" s="229" t="s">
        <v>586</v>
      </c>
      <c r="C15" s="96">
        <v>-159.88</v>
      </c>
      <c r="D15" s="63">
        <v>0</v>
      </c>
      <c r="E15" s="64"/>
      <c r="F15" s="233" t="s">
        <v>58</v>
      </c>
      <c r="H15" s="10"/>
      <c r="I15" s="10"/>
    </row>
    <row r="16" spans="2:13">
      <c r="B16" s="229" t="s">
        <v>1263</v>
      </c>
      <c r="C16" s="96">
        <v>-13.18</v>
      </c>
      <c r="D16" s="63">
        <v>0</v>
      </c>
      <c r="E16" s="64"/>
      <c r="F16" s="233" t="s">
        <v>58</v>
      </c>
      <c r="H16" s="10">
        <v>0</v>
      </c>
      <c r="I16" s="10" t="s">
        <v>1162</v>
      </c>
    </row>
    <row r="17" spans="2:12">
      <c r="B17" s="229" t="s">
        <v>1397</v>
      </c>
      <c r="C17" s="96">
        <v>-150</v>
      </c>
      <c r="D17" s="63">
        <v>0</v>
      </c>
      <c r="E17" s="64"/>
      <c r="F17" s="233" t="s">
        <v>58</v>
      </c>
      <c r="H17" s="10"/>
      <c r="I17" s="10"/>
    </row>
    <row r="18" spans="2:12">
      <c r="B18" s="229" t="s">
        <v>748</v>
      </c>
      <c r="C18" s="243">
        <v>-100</v>
      </c>
      <c r="D18" s="63">
        <v>0</v>
      </c>
      <c r="E18" s="64"/>
      <c r="F18" s="233" t="s">
        <v>58</v>
      </c>
      <c r="G18" s="143"/>
      <c r="H18" s="10"/>
      <c r="I18" s="10"/>
    </row>
    <row r="19" spans="2:12">
      <c r="B19" s="229" t="s">
        <v>1098</v>
      </c>
      <c r="C19" s="96">
        <v>-140.66999999999999</v>
      </c>
      <c r="D19" s="63">
        <v>0</v>
      </c>
      <c r="E19" s="64"/>
      <c r="F19" s="233" t="s">
        <v>58</v>
      </c>
      <c r="H19" s="10"/>
      <c r="I19" s="10"/>
    </row>
    <row r="20" spans="2:12">
      <c r="B20" s="229" t="s">
        <v>65</v>
      </c>
      <c r="C20" s="96">
        <v>-600</v>
      </c>
      <c r="D20" s="63">
        <v>0</v>
      </c>
      <c r="E20" s="64"/>
      <c r="F20" s="233" t="s">
        <v>58</v>
      </c>
      <c r="H20" s="10">
        <v>13585.8</v>
      </c>
      <c r="I20" s="10" t="s">
        <v>1438</v>
      </c>
    </row>
    <row r="21" spans="2:12">
      <c r="B21" s="229" t="s">
        <v>1069</v>
      </c>
      <c r="C21" s="96">
        <v>-885.4</v>
      </c>
      <c r="D21" s="63">
        <v>0</v>
      </c>
      <c r="E21" s="64"/>
      <c r="F21" s="233" t="s">
        <v>58</v>
      </c>
      <c r="H21" s="10">
        <v>0</v>
      </c>
      <c r="I21" s="10" t="s">
        <v>1439</v>
      </c>
    </row>
    <row r="22" spans="2:12">
      <c r="B22" s="229" t="s">
        <v>1242</v>
      </c>
      <c r="C22" s="96">
        <v>-650</v>
      </c>
      <c r="D22" s="63">
        <v>0</v>
      </c>
      <c r="E22" s="64"/>
      <c r="F22" s="233" t="s">
        <v>58</v>
      </c>
      <c r="H22" s="10"/>
      <c r="I22" s="10"/>
    </row>
    <row r="23" spans="2:12">
      <c r="B23" s="229" t="s">
        <v>1266</v>
      </c>
      <c r="C23" s="96">
        <v>-1615.86</v>
      </c>
      <c r="D23" s="63">
        <v>0</v>
      </c>
      <c r="E23" s="64"/>
      <c r="F23" s="233" t="s">
        <v>58</v>
      </c>
      <c r="H23" s="10"/>
      <c r="I23" s="10"/>
    </row>
    <row r="24" spans="2:12">
      <c r="B24" s="229" t="s">
        <v>103</v>
      </c>
      <c r="C24" s="96">
        <v>-4578.62</v>
      </c>
      <c r="D24" s="63">
        <v>0</v>
      </c>
      <c r="E24" s="64"/>
      <c r="F24" s="233" t="s">
        <v>58</v>
      </c>
      <c r="H24" s="10">
        <v>0</v>
      </c>
      <c r="I24" s="10"/>
    </row>
    <row r="25" spans="2:12">
      <c r="B25" s="229" t="s">
        <v>621</v>
      </c>
      <c r="C25" s="243">
        <v>-526.73</v>
      </c>
      <c r="D25" s="63">
        <v>0</v>
      </c>
      <c r="E25" s="64"/>
      <c r="F25" s="233" t="s">
        <v>58</v>
      </c>
      <c r="H25" s="10"/>
      <c r="I25" s="10"/>
      <c r="L25" t="s">
        <v>1022</v>
      </c>
    </row>
    <row r="26" spans="2:12">
      <c r="B26" s="229" t="s">
        <v>125</v>
      </c>
      <c r="C26" s="96">
        <v>-2100</v>
      </c>
      <c r="D26" s="63">
        <v>0</v>
      </c>
      <c r="E26" s="64"/>
      <c r="F26" s="233" t="s">
        <v>58</v>
      </c>
      <c r="H26" s="10">
        <v>0</v>
      </c>
      <c r="I26" s="10" t="s">
        <v>1165</v>
      </c>
    </row>
    <row r="27" spans="2:12">
      <c r="B27" s="229" t="s">
        <v>73</v>
      </c>
      <c r="C27" s="96">
        <v>-350</v>
      </c>
      <c r="D27" s="63">
        <v>0</v>
      </c>
      <c r="E27" s="64"/>
      <c r="F27" s="233" t="s">
        <v>58</v>
      </c>
      <c r="H27" s="144">
        <f>SUM(H13:H26)</f>
        <v>13585.8</v>
      </c>
      <c r="I27" s="144" t="s">
        <v>1031</v>
      </c>
    </row>
    <row r="28" spans="2:12">
      <c r="B28" s="229" t="s">
        <v>1437</v>
      </c>
      <c r="C28" s="96">
        <v>-74.010000000000005</v>
      </c>
      <c r="D28" s="63">
        <v>0</v>
      </c>
      <c r="E28" s="64"/>
      <c r="F28" s="233" t="s">
        <v>58</v>
      </c>
    </row>
    <row r="29" spans="2:12">
      <c r="B29" s="242" t="s">
        <v>1353</v>
      </c>
      <c r="C29" s="243">
        <v>-53.5</v>
      </c>
      <c r="D29" s="63">
        <v>0</v>
      </c>
      <c r="E29" s="64"/>
      <c r="F29" s="233" t="s">
        <v>58</v>
      </c>
      <c r="H29" s="199"/>
    </row>
    <row r="30" spans="2:12" ht="18">
      <c r="B30" s="229" t="s">
        <v>1268</v>
      </c>
      <c r="C30" s="96">
        <v>-58</v>
      </c>
      <c r="D30" s="63">
        <v>0</v>
      </c>
      <c r="E30" s="64"/>
      <c r="F30" s="233" t="s">
        <v>58</v>
      </c>
      <c r="H30" s="211"/>
    </row>
    <row r="31" spans="2:12">
      <c r="B31" s="229" t="s">
        <v>1249</v>
      </c>
      <c r="C31" s="96">
        <v>-767</v>
      </c>
      <c r="D31" s="63">
        <v>0</v>
      </c>
      <c r="E31" s="64"/>
      <c r="F31" s="233" t="s">
        <v>58</v>
      </c>
    </row>
    <row r="32" spans="2:12" ht="18">
      <c r="B32" s="74" t="s">
        <v>1432</v>
      </c>
      <c r="C32" s="188"/>
      <c r="D32" s="241">
        <f>SUM(D4:D31)</f>
        <v>203.92000000000002</v>
      </c>
      <c r="E32" s="75"/>
      <c r="G32" s="211"/>
      <c r="H32" s="199"/>
    </row>
    <row r="33" spans="2:8" ht="18">
      <c r="B33" s="249" t="s">
        <v>1431</v>
      </c>
      <c r="C33" s="250"/>
      <c r="D33" s="251">
        <f>H20</f>
        <v>13585.8</v>
      </c>
      <c r="E33" s="252"/>
    </row>
    <row r="34" spans="2:8">
      <c r="H34" s="199"/>
    </row>
    <row r="35" spans="2:8" ht="18">
      <c r="E35" s="211"/>
    </row>
  </sheetData>
  <conditionalFormatting sqref="D4:D8">
    <cfRule type="cellIs" dxfId="105" priority="8" stopIfTrue="1" operator="lessThan">
      <formula>0</formula>
    </cfRule>
  </conditionalFormatting>
  <conditionalFormatting sqref="D9">
    <cfRule type="cellIs" dxfId="104" priority="6"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dimension ref="B1:J73"/>
  <sheetViews>
    <sheetView workbookViewId="0">
      <selection activeCell="B23" sqref="B23"/>
    </sheetView>
  </sheetViews>
  <sheetFormatPr defaultRowHeight="15"/>
  <cols>
    <col min="1" max="1" width="1" style="266" customWidth="1"/>
    <col min="2" max="2" width="41.140625" style="266" bestFit="1" customWidth="1"/>
    <col min="3" max="3" width="13.5703125" style="266" bestFit="1" customWidth="1"/>
    <col min="4" max="4" width="17.7109375" style="266" bestFit="1" customWidth="1"/>
    <col min="5" max="5" width="16.42578125" style="266" bestFit="1" customWidth="1"/>
    <col min="6" max="6" width="1.42578125" style="266" customWidth="1"/>
    <col min="7" max="8" width="12.140625" style="266" bestFit="1" customWidth="1"/>
    <col min="9" max="9" width="17.7109375" style="266" bestFit="1" customWidth="1"/>
    <col min="10" max="10" width="16.42578125" style="266" bestFit="1" customWidth="1"/>
    <col min="11" max="16384" width="9.140625" style="266"/>
  </cols>
  <sheetData>
    <row r="1" spans="2:10" ht="26.25">
      <c r="B1" s="588" t="s">
        <v>1517</v>
      </c>
      <c r="C1" s="588"/>
      <c r="D1" s="588"/>
      <c r="E1" s="588"/>
      <c r="G1" s="588" t="s">
        <v>610</v>
      </c>
      <c r="H1" s="588"/>
      <c r="I1" s="588"/>
      <c r="J1" s="588"/>
    </row>
    <row r="2" spans="2:10" ht="20.25" thickBot="1">
      <c r="B2" s="277" t="s">
        <v>1516</v>
      </c>
      <c r="C2" s="277" t="s">
        <v>219</v>
      </c>
      <c r="D2" s="276" t="s">
        <v>1515</v>
      </c>
      <c r="E2" s="276" t="s">
        <v>1514</v>
      </c>
      <c r="G2" s="277" t="s">
        <v>1516</v>
      </c>
      <c r="H2" s="277" t="s">
        <v>219</v>
      </c>
      <c r="I2" s="276" t="s">
        <v>1515</v>
      </c>
      <c r="J2" s="276" t="s">
        <v>1514</v>
      </c>
    </row>
    <row r="3" spans="2:10" ht="15.75" thickTop="1">
      <c r="B3" s="274" t="s">
        <v>21</v>
      </c>
      <c r="C3" s="275">
        <v>2800</v>
      </c>
      <c r="D3" s="274" t="s">
        <v>1513</v>
      </c>
      <c r="E3" s="274" t="s">
        <v>1513</v>
      </c>
      <c r="G3" s="274" t="s">
        <v>21</v>
      </c>
      <c r="H3" s="275">
        <f>C63</f>
        <v>-1305.6900000000005</v>
      </c>
      <c r="I3" s="274" t="s">
        <v>1513</v>
      </c>
      <c r="J3" s="274" t="s">
        <v>1513</v>
      </c>
    </row>
    <row r="4" spans="2:10">
      <c r="B4" s="266" t="s">
        <v>1512</v>
      </c>
      <c r="C4" s="273">
        <v>451.83</v>
      </c>
      <c r="D4" s="266" t="s">
        <v>1452</v>
      </c>
      <c r="E4" s="269" t="s">
        <v>1457</v>
      </c>
      <c r="G4" s="266" t="s">
        <v>1458</v>
      </c>
      <c r="H4" s="273">
        <v>38</v>
      </c>
      <c r="I4" s="266" t="s">
        <v>1458</v>
      </c>
      <c r="J4" s="269" t="s">
        <v>1455</v>
      </c>
    </row>
    <row r="5" spans="2:10">
      <c r="B5" s="266" t="s">
        <v>1511</v>
      </c>
      <c r="C5" s="270">
        <v>25.25</v>
      </c>
      <c r="D5" s="266" t="s">
        <v>1458</v>
      </c>
      <c r="E5" s="266" t="s">
        <v>1455</v>
      </c>
    </row>
    <row r="6" spans="2:10">
      <c r="B6" s="266" t="s">
        <v>1510</v>
      </c>
      <c r="C6" s="270">
        <v>31.5</v>
      </c>
      <c r="D6" s="266" t="s">
        <v>1451</v>
      </c>
      <c r="E6" s="266" t="s">
        <v>1455</v>
      </c>
    </row>
    <row r="7" spans="2:10">
      <c r="B7" s="266" t="s">
        <v>1509</v>
      </c>
      <c r="C7" s="270">
        <v>37.99</v>
      </c>
      <c r="D7" s="266" t="s">
        <v>1451</v>
      </c>
      <c r="E7" s="266" t="s">
        <v>1455</v>
      </c>
    </row>
    <row r="8" spans="2:10">
      <c r="B8" s="266" t="s">
        <v>1508</v>
      </c>
      <c r="C8" s="270">
        <v>159.6</v>
      </c>
      <c r="D8" s="266" t="s">
        <v>1458</v>
      </c>
      <c r="E8" s="267" t="s">
        <v>1454</v>
      </c>
    </row>
    <row r="9" spans="2:10">
      <c r="B9" s="266" t="s">
        <v>1507</v>
      </c>
      <c r="C9" s="270">
        <v>6.5</v>
      </c>
      <c r="D9" s="266" t="s">
        <v>1458</v>
      </c>
      <c r="E9" s="267" t="s">
        <v>1454</v>
      </c>
    </row>
    <row r="10" spans="2:10">
      <c r="B10" s="266" t="s">
        <v>1505</v>
      </c>
      <c r="C10" s="270">
        <v>8.1999999999999993</v>
      </c>
      <c r="D10" s="266" t="s">
        <v>1450</v>
      </c>
      <c r="E10" s="269" t="s">
        <v>1457</v>
      </c>
    </row>
    <row r="11" spans="2:10">
      <c r="B11" s="266" t="s">
        <v>1506</v>
      </c>
      <c r="C11" s="270">
        <v>23</v>
      </c>
      <c r="D11" s="266" t="s">
        <v>1458</v>
      </c>
      <c r="E11" s="266" t="s">
        <v>1455</v>
      </c>
    </row>
    <row r="12" spans="2:10">
      <c r="B12" s="266" t="s">
        <v>1482</v>
      </c>
      <c r="C12" s="270">
        <v>49.78</v>
      </c>
      <c r="D12" s="266" t="s">
        <v>1451</v>
      </c>
      <c r="E12" s="266" t="s">
        <v>1455</v>
      </c>
    </row>
    <row r="13" spans="2:10">
      <c r="B13" s="266" t="s">
        <v>1505</v>
      </c>
      <c r="C13" s="270">
        <v>55.99</v>
      </c>
      <c r="D13" s="266" t="s">
        <v>1450</v>
      </c>
      <c r="E13" s="266" t="s">
        <v>1455</v>
      </c>
    </row>
    <row r="14" spans="2:10">
      <c r="B14" s="266" t="s">
        <v>1504</v>
      </c>
      <c r="C14" s="270">
        <v>68.19</v>
      </c>
      <c r="D14" s="266" t="s">
        <v>1451</v>
      </c>
      <c r="E14" s="266" t="s">
        <v>1455</v>
      </c>
    </row>
    <row r="15" spans="2:10">
      <c r="B15" s="266" t="s">
        <v>1503</v>
      </c>
      <c r="C15" s="270">
        <v>90</v>
      </c>
      <c r="D15" s="266" t="s">
        <v>38</v>
      </c>
      <c r="E15" s="266" t="s">
        <v>1455</v>
      </c>
    </row>
    <row r="16" spans="2:10">
      <c r="B16" s="266" t="s">
        <v>1502</v>
      </c>
      <c r="C16" s="270">
        <v>23.41</v>
      </c>
      <c r="D16" s="266" t="s">
        <v>1451</v>
      </c>
      <c r="E16" s="266" t="s">
        <v>1455</v>
      </c>
    </row>
    <row r="17" spans="2:5">
      <c r="B17" s="266" t="s">
        <v>1501</v>
      </c>
      <c r="C17" s="270">
        <v>154.09</v>
      </c>
      <c r="D17" s="266" t="s">
        <v>1458</v>
      </c>
      <c r="E17" s="266" t="s">
        <v>1455</v>
      </c>
    </row>
    <row r="18" spans="2:5">
      <c r="B18" s="266" t="s">
        <v>1500</v>
      </c>
      <c r="C18" s="270">
        <v>14.9</v>
      </c>
      <c r="D18" s="266" t="s">
        <v>1456</v>
      </c>
      <c r="E18" s="267" t="s">
        <v>1454</v>
      </c>
    </row>
    <row r="19" spans="2:5">
      <c r="B19" s="266" t="s">
        <v>1499</v>
      </c>
      <c r="C19" s="270">
        <v>188</v>
      </c>
      <c r="D19" s="266" t="s">
        <v>1453</v>
      </c>
      <c r="E19" s="266" t="s">
        <v>1455</v>
      </c>
    </row>
    <row r="20" spans="2:5">
      <c r="B20" s="266" t="s">
        <v>1498</v>
      </c>
      <c r="C20" s="270">
        <v>26.47</v>
      </c>
      <c r="D20" s="266" t="s">
        <v>1458</v>
      </c>
      <c r="E20" s="266" t="s">
        <v>1455</v>
      </c>
    </row>
    <row r="21" spans="2:5">
      <c r="B21" s="266" t="s">
        <v>1497</v>
      </c>
      <c r="C21" s="270">
        <v>8.8800000000000008</v>
      </c>
      <c r="D21" s="266" t="s">
        <v>1458</v>
      </c>
      <c r="E21" s="267" t="s">
        <v>1454</v>
      </c>
    </row>
    <row r="22" spans="2:5">
      <c r="B22" s="266" t="s">
        <v>1475</v>
      </c>
      <c r="C22" s="270">
        <v>35</v>
      </c>
      <c r="D22" s="266" t="s">
        <v>1458</v>
      </c>
      <c r="E22" s="266" t="s">
        <v>1455</v>
      </c>
    </row>
    <row r="23" spans="2:5">
      <c r="B23" s="266" t="s">
        <v>1496</v>
      </c>
      <c r="C23" s="270">
        <v>49.91</v>
      </c>
      <c r="D23" s="266" t="s">
        <v>1458</v>
      </c>
      <c r="E23" s="267" t="s">
        <v>1454</v>
      </c>
    </row>
    <row r="24" spans="2:5">
      <c r="B24" s="266" t="s">
        <v>1495</v>
      </c>
      <c r="C24" s="270">
        <v>14.7</v>
      </c>
      <c r="D24" s="266" t="s">
        <v>1458</v>
      </c>
      <c r="E24" s="267" t="s">
        <v>1454</v>
      </c>
    </row>
    <row r="25" spans="2:5">
      <c r="B25" s="266" t="s">
        <v>1494</v>
      </c>
      <c r="C25" s="270">
        <v>39.799999999999997</v>
      </c>
      <c r="D25" s="266" t="s">
        <v>17</v>
      </c>
      <c r="E25" s="269" t="s">
        <v>1457</v>
      </c>
    </row>
    <row r="26" spans="2:5">
      <c r="B26" s="266" t="s">
        <v>1493</v>
      </c>
      <c r="C26" s="270">
        <v>40</v>
      </c>
      <c r="D26" s="266" t="s">
        <v>38</v>
      </c>
      <c r="E26" s="266" t="s">
        <v>1455</v>
      </c>
    </row>
    <row r="27" spans="2:5">
      <c r="B27" s="266" t="s">
        <v>1492</v>
      </c>
      <c r="C27" s="270">
        <v>48</v>
      </c>
      <c r="D27" s="266" t="s">
        <v>1456</v>
      </c>
      <c r="E27" s="266" t="s">
        <v>1454</v>
      </c>
    </row>
    <row r="28" spans="2:5">
      <c r="B28" s="266" t="s">
        <v>1491</v>
      </c>
      <c r="C28" s="270">
        <v>65</v>
      </c>
      <c r="D28" s="266" t="s">
        <v>1456</v>
      </c>
      <c r="E28" s="266" t="s">
        <v>1454</v>
      </c>
    </row>
    <row r="29" spans="2:5">
      <c r="B29" s="266" t="s">
        <v>1490</v>
      </c>
      <c r="C29" s="270">
        <v>173.36</v>
      </c>
      <c r="D29" s="266" t="s">
        <v>1458</v>
      </c>
      <c r="E29" s="266" t="s">
        <v>1455</v>
      </c>
    </row>
    <row r="30" spans="2:5">
      <c r="B30" s="266" t="s">
        <v>1481</v>
      </c>
      <c r="C30" s="270">
        <v>161.47999999999999</v>
      </c>
      <c r="D30" s="266" t="s">
        <v>1458</v>
      </c>
      <c r="E30" s="266" t="s">
        <v>1455</v>
      </c>
    </row>
    <row r="31" spans="2:5">
      <c r="B31" s="266" t="s">
        <v>1489</v>
      </c>
      <c r="C31" s="270">
        <v>37.49</v>
      </c>
      <c r="D31" s="266" t="s">
        <v>1450</v>
      </c>
      <c r="E31" s="266" t="s">
        <v>1454</v>
      </c>
    </row>
    <row r="32" spans="2:5">
      <c r="B32" s="266" t="s">
        <v>1488</v>
      </c>
      <c r="C32" s="270">
        <v>65</v>
      </c>
      <c r="D32" s="266" t="s">
        <v>1456</v>
      </c>
      <c r="E32" s="266" t="s">
        <v>1454</v>
      </c>
    </row>
    <row r="33" spans="2:5">
      <c r="B33" s="266" t="s">
        <v>1487</v>
      </c>
      <c r="C33" s="270">
        <v>13.51</v>
      </c>
      <c r="D33" s="266" t="s">
        <v>1450</v>
      </c>
      <c r="E33" s="266" t="s">
        <v>1455</v>
      </c>
    </row>
    <row r="34" spans="2:5">
      <c r="B34" s="266" t="s">
        <v>1486</v>
      </c>
      <c r="C34" s="270">
        <v>9.41</v>
      </c>
      <c r="D34" s="266" t="s">
        <v>1450</v>
      </c>
      <c r="E34" s="266" t="s">
        <v>1455</v>
      </c>
    </row>
    <row r="35" spans="2:5">
      <c r="B35" s="266" t="s">
        <v>1485</v>
      </c>
      <c r="C35" s="270">
        <v>22.9</v>
      </c>
      <c r="D35" s="266" t="s">
        <v>1456</v>
      </c>
      <c r="E35" s="266" t="s">
        <v>1454</v>
      </c>
    </row>
    <row r="36" spans="2:5">
      <c r="B36" s="266" t="s">
        <v>1484</v>
      </c>
      <c r="C36" s="270">
        <v>40</v>
      </c>
      <c r="D36" s="266" t="s">
        <v>1456</v>
      </c>
      <c r="E36" s="266" t="s">
        <v>1455</v>
      </c>
    </row>
    <row r="37" spans="2:5">
      <c r="B37" s="266" t="s">
        <v>1483</v>
      </c>
      <c r="C37" s="270">
        <v>27.5</v>
      </c>
      <c r="D37" s="266" t="s">
        <v>1456</v>
      </c>
      <c r="E37" s="266" t="s">
        <v>1455</v>
      </c>
    </row>
    <row r="38" spans="2:5">
      <c r="B38" s="266" t="s">
        <v>1482</v>
      </c>
      <c r="C38" s="270">
        <v>91.41</v>
      </c>
      <c r="D38" s="266" t="s">
        <v>1451</v>
      </c>
      <c r="E38" s="266" t="s">
        <v>1455</v>
      </c>
    </row>
    <row r="39" spans="2:5">
      <c r="B39" s="266" t="s">
        <v>1481</v>
      </c>
      <c r="C39" s="270">
        <v>160.13999999999999</v>
      </c>
      <c r="D39" s="266" t="s">
        <v>1451</v>
      </c>
      <c r="E39" s="266" t="s">
        <v>1454</v>
      </c>
    </row>
    <row r="40" spans="2:5">
      <c r="B40" s="266" t="s">
        <v>1480</v>
      </c>
      <c r="C40" s="270">
        <v>171.49</v>
      </c>
      <c r="D40" s="266" t="s">
        <v>1458</v>
      </c>
      <c r="E40" s="266" t="s">
        <v>1454</v>
      </c>
    </row>
    <row r="41" spans="2:5">
      <c r="B41" s="266" t="s">
        <v>1479</v>
      </c>
      <c r="C41" s="270">
        <v>133</v>
      </c>
      <c r="D41" s="266" t="s">
        <v>17</v>
      </c>
      <c r="E41" s="269" t="s">
        <v>1457</v>
      </c>
    </row>
    <row r="42" spans="2:5">
      <c r="B42" s="266" t="s">
        <v>1478</v>
      </c>
      <c r="C42" s="270">
        <v>41.54</v>
      </c>
      <c r="D42" s="266" t="s">
        <v>38</v>
      </c>
      <c r="E42" s="269" t="s">
        <v>1457</v>
      </c>
    </row>
    <row r="43" spans="2:5">
      <c r="B43" s="266" t="s">
        <v>1477</v>
      </c>
      <c r="C43" s="270">
        <v>7.86</v>
      </c>
      <c r="D43" s="266" t="s">
        <v>1450</v>
      </c>
      <c r="E43" s="269" t="s">
        <v>1457</v>
      </c>
    </row>
    <row r="44" spans="2:5">
      <c r="B44" s="266" t="s">
        <v>1476</v>
      </c>
      <c r="C44" s="270">
        <v>8.98</v>
      </c>
      <c r="D44" s="266" t="s">
        <v>38</v>
      </c>
      <c r="E44" s="269" t="s">
        <v>1457</v>
      </c>
    </row>
    <row r="45" spans="2:5">
      <c r="B45" s="266" t="s">
        <v>1475</v>
      </c>
      <c r="C45" s="270">
        <v>43</v>
      </c>
      <c r="D45" s="266" t="s">
        <v>1458</v>
      </c>
      <c r="E45" s="269" t="s">
        <v>1454</v>
      </c>
    </row>
    <row r="46" spans="2:5">
      <c r="B46" s="266" t="s">
        <v>1474</v>
      </c>
      <c r="C46" s="270">
        <v>61.82</v>
      </c>
      <c r="D46" s="266" t="s">
        <v>38</v>
      </c>
      <c r="E46" s="269" t="s">
        <v>1455</v>
      </c>
    </row>
    <row r="47" spans="2:5">
      <c r="B47" s="266" t="s">
        <v>1473</v>
      </c>
      <c r="C47" s="270">
        <v>78.78</v>
      </c>
      <c r="D47" s="266" t="s">
        <v>1450</v>
      </c>
      <c r="E47" s="269" t="s">
        <v>1454</v>
      </c>
    </row>
    <row r="48" spans="2:5">
      <c r="B48" s="266" t="s">
        <v>1472</v>
      </c>
      <c r="C48" s="270">
        <v>113</v>
      </c>
      <c r="D48" s="266" t="s">
        <v>38</v>
      </c>
      <c r="E48" s="269" t="s">
        <v>1455</v>
      </c>
    </row>
    <row r="49" spans="2:5">
      <c r="B49" s="266" t="s">
        <v>1471</v>
      </c>
      <c r="C49" s="270">
        <v>56.7</v>
      </c>
      <c r="D49" s="266" t="s">
        <v>1458</v>
      </c>
      <c r="E49" s="269" t="s">
        <v>1454</v>
      </c>
    </row>
    <row r="50" spans="2:5">
      <c r="B50" s="266" t="s">
        <v>1470</v>
      </c>
      <c r="C50" s="270">
        <v>57</v>
      </c>
      <c r="D50" s="266" t="s">
        <v>1458</v>
      </c>
      <c r="E50" s="269" t="s">
        <v>1455</v>
      </c>
    </row>
    <row r="51" spans="2:5">
      <c r="B51" s="266" t="s">
        <v>1469</v>
      </c>
      <c r="C51" s="270">
        <v>25.75</v>
      </c>
      <c r="D51" s="266" t="s">
        <v>1456</v>
      </c>
      <c r="E51" s="269" t="s">
        <v>1455</v>
      </c>
    </row>
    <row r="52" spans="2:5">
      <c r="B52" s="266" t="s">
        <v>1468</v>
      </c>
      <c r="C52" s="270">
        <v>63.08</v>
      </c>
      <c r="D52" s="266" t="s">
        <v>1458</v>
      </c>
      <c r="E52" s="269" t="s">
        <v>1457</v>
      </c>
    </row>
    <row r="53" spans="2:5">
      <c r="B53" s="266" t="s">
        <v>1468</v>
      </c>
      <c r="C53" s="270">
        <v>98.34</v>
      </c>
      <c r="D53" s="266" t="s">
        <v>1458</v>
      </c>
      <c r="E53" s="269" t="s">
        <v>1457</v>
      </c>
    </row>
    <row r="54" spans="2:5">
      <c r="B54" s="266" t="s">
        <v>1467</v>
      </c>
      <c r="C54" s="270">
        <v>58</v>
      </c>
      <c r="D54" s="266" t="s">
        <v>1458</v>
      </c>
      <c r="E54" s="269" t="s">
        <v>1457</v>
      </c>
    </row>
    <row r="55" spans="2:5">
      <c r="B55" s="266" t="s">
        <v>1466</v>
      </c>
      <c r="C55" s="270">
        <v>33.71</v>
      </c>
      <c r="D55" s="266" t="s">
        <v>38</v>
      </c>
      <c r="E55" s="269" t="s">
        <v>1455</v>
      </c>
    </row>
    <row r="56" spans="2:5">
      <c r="B56" s="266" t="s">
        <v>1466</v>
      </c>
      <c r="C56" s="270">
        <v>44.44</v>
      </c>
      <c r="D56" s="266" t="s">
        <v>38</v>
      </c>
      <c r="E56" s="269" t="s">
        <v>1455</v>
      </c>
    </row>
    <row r="57" spans="2:5">
      <c r="B57" s="266" t="s">
        <v>1465</v>
      </c>
      <c r="C57" s="270">
        <v>40</v>
      </c>
      <c r="D57" s="266" t="s">
        <v>38</v>
      </c>
      <c r="E57" s="269" t="s">
        <v>1455</v>
      </c>
    </row>
    <row r="58" spans="2:5">
      <c r="B58" s="266" t="s">
        <v>1464</v>
      </c>
      <c r="C58" s="270">
        <v>100</v>
      </c>
      <c r="D58" s="266" t="s">
        <v>1456</v>
      </c>
      <c r="E58" s="269" t="s">
        <v>1454</v>
      </c>
    </row>
    <row r="59" spans="2:5">
      <c r="B59" s="266" t="s">
        <v>1463</v>
      </c>
      <c r="C59" s="270">
        <v>118.65</v>
      </c>
      <c r="D59" s="266" t="s">
        <v>1450</v>
      </c>
      <c r="E59" s="269" t="s">
        <v>1454</v>
      </c>
    </row>
    <row r="60" spans="2:5">
      <c r="B60" s="266" t="s">
        <v>1462</v>
      </c>
      <c r="C60" s="270">
        <v>41.68</v>
      </c>
      <c r="D60" s="266" t="s">
        <v>1450</v>
      </c>
      <c r="E60" s="269" t="s">
        <v>1457</v>
      </c>
    </row>
    <row r="61" spans="2:5">
      <c r="B61" s="266" t="s">
        <v>1461</v>
      </c>
      <c r="C61" s="270">
        <v>98.28</v>
      </c>
      <c r="D61" s="266" t="s">
        <v>1458</v>
      </c>
      <c r="E61" s="269" t="s">
        <v>1457</v>
      </c>
    </row>
    <row r="62" spans="2:5">
      <c r="B62" s="266" t="s">
        <v>1460</v>
      </c>
      <c r="C62" s="270">
        <v>92.4</v>
      </c>
      <c r="D62" s="266" t="s">
        <v>1458</v>
      </c>
      <c r="E62" s="269" t="s">
        <v>1454</v>
      </c>
    </row>
    <row r="63" spans="2:5" ht="16.5" thickBot="1">
      <c r="B63" s="271" t="s">
        <v>1459</v>
      </c>
      <c r="C63" s="272">
        <f>+C3-SUM(C4:C62)</f>
        <v>-1305.6900000000005</v>
      </c>
      <c r="D63" s="271"/>
      <c r="E63" s="271"/>
    </row>
    <row r="64" spans="2:5" ht="15.75" thickTop="1">
      <c r="C64" s="270"/>
    </row>
    <row r="65" spans="3:5">
      <c r="C65" s="270"/>
    </row>
    <row r="66" spans="3:5">
      <c r="D66" s="266" t="s">
        <v>1458</v>
      </c>
      <c r="E66" s="269" t="s">
        <v>1457</v>
      </c>
    </row>
    <row r="67" spans="3:5">
      <c r="D67" s="266" t="s">
        <v>1456</v>
      </c>
      <c r="E67" s="268" t="s">
        <v>1455</v>
      </c>
    </row>
    <row r="68" spans="3:5">
      <c r="D68" s="266" t="s">
        <v>38</v>
      </c>
      <c r="E68" s="267" t="s">
        <v>1454</v>
      </c>
    </row>
    <row r="69" spans="3:5">
      <c r="D69" s="266" t="s">
        <v>1453</v>
      </c>
    </row>
    <row r="70" spans="3:5">
      <c r="D70" s="266" t="s">
        <v>1452</v>
      </c>
    </row>
    <row r="71" spans="3:5">
      <c r="D71" s="266" t="s">
        <v>17</v>
      </c>
    </row>
    <row r="72" spans="3:5">
      <c r="D72" s="266" t="s">
        <v>1451</v>
      </c>
    </row>
    <row r="73" spans="3:5">
      <c r="D73" s="266" t="s">
        <v>1450</v>
      </c>
    </row>
  </sheetData>
  <mergeCells count="2">
    <mergeCell ref="B1:E1"/>
    <mergeCell ref="G1:J1"/>
  </mergeCells>
  <conditionalFormatting sqref="E5:E7 E11:E17 E19:E20 E22 E26:E62">
    <cfRule type="containsText" dxfId="97" priority="8" stopIfTrue="1" operator="containsText" text="Necessário">
      <formula>NOT(ISERROR(SEARCH("Necessário",E5)))</formula>
    </cfRule>
  </conditionalFormatting>
  <conditionalFormatting sqref="E6:E7 E11:E17 E19:E20 E22 E26:E62">
    <cfRule type="containsText" dxfId="96" priority="7" stopIfTrue="1" operator="containsText" text="Frívolo">
      <formula>NOT(ISERROR(SEARCH("Frívolo",E6)))</formula>
    </cfRule>
  </conditionalFormatting>
  <conditionalFormatting sqref="C4:C22">
    <cfRule type="dataBar" priority="6">
      <dataBar>
        <cfvo type="min" val="0"/>
        <cfvo type="max" val="0"/>
        <color rgb="FF638EC6"/>
      </dataBar>
    </cfRule>
  </conditionalFormatting>
  <conditionalFormatting sqref="C23:C33">
    <cfRule type="dataBar" priority="5">
      <dataBar>
        <cfvo type="min" val="0"/>
        <cfvo type="max" val="0"/>
        <color rgb="FF638EC6"/>
      </dataBar>
    </cfRule>
  </conditionalFormatting>
  <conditionalFormatting sqref="C4:C33">
    <cfRule type="dataBar" priority="4">
      <dataBar>
        <cfvo type="min" val="0"/>
        <cfvo type="max" val="0"/>
        <color rgb="FF638EC6"/>
      </dataBar>
    </cfRule>
  </conditionalFormatting>
  <conditionalFormatting sqref="H4">
    <cfRule type="dataBar" priority="3">
      <dataBar>
        <cfvo type="min" val="0"/>
        <cfvo type="max" val="0"/>
        <color rgb="FF638EC6"/>
      </dataBar>
    </cfRule>
  </conditionalFormatting>
  <conditionalFormatting sqref="C64:C65 C34:C62">
    <cfRule type="dataBar" priority="2">
      <dataBar>
        <cfvo type="min" val="0"/>
        <cfvo type="max" val="0"/>
        <color rgb="FF638EC6"/>
      </dataBar>
    </cfRule>
  </conditionalFormatting>
  <conditionalFormatting sqref="C64:C65 C4:C62">
    <cfRule type="dataBar" priority="1">
      <dataBar>
        <cfvo type="min" val="0"/>
        <cfvo type="max" val="0"/>
        <color rgb="FF638EC6"/>
      </dataBar>
    </cfRule>
  </conditionalFormatting>
  <dataValidations count="2">
    <dataValidation type="list" allowBlank="1" showInputMessage="1" showErrorMessage="1" sqref="I4 D4:D62">
      <formula1>$D$66:$D$73</formula1>
    </dataValidation>
    <dataValidation type="list" allowBlank="1" showInputMessage="1" showErrorMessage="1" sqref="J4 E4:E62">
      <formula1>$E$66:$E$68</formula1>
    </dataValidation>
  </dataValidations>
  <pageMargins left="0.511811024" right="0.511811024" top="0.78740157499999996" bottom="0.78740157499999996" header="0.31496062000000002" footer="0.31496062000000002"/>
  <pageSetup paperSize="9" orientation="portrait" r:id="rId1"/>
</worksheet>
</file>

<file path=xl/worksheets/sheet125.xml><?xml version="1.0" encoding="utf-8"?>
<worksheet xmlns="http://schemas.openxmlformats.org/spreadsheetml/2006/main" xmlns:r="http://schemas.openxmlformats.org/officeDocument/2006/relationships">
  <dimension ref="B2:M37"/>
  <sheetViews>
    <sheetView zoomScale="75" zoomScaleNormal="75" workbookViewId="0">
      <selection activeCell="C27" sqref="C27"/>
    </sheetView>
  </sheetViews>
  <sheetFormatPr defaultColWidth="8.85546875" defaultRowHeight="12.75"/>
  <cols>
    <col min="1" max="1" width="2" customWidth="1"/>
    <col min="2" max="2" width="40" bestFit="1" customWidth="1"/>
    <col min="3" max="3" width="22.42578125" customWidth="1"/>
    <col min="4" max="4" width="20.28515625" bestFit="1" customWidth="1"/>
    <col min="5" max="5" width="15.140625" customWidth="1"/>
    <col min="6" max="6" width="9.85546875" customWidth="1"/>
    <col min="7" max="7" width="4.28515625" customWidth="1"/>
    <col min="8" max="8" width="32.85546875" bestFit="1" customWidth="1"/>
    <col min="9" max="9" width="13.140625" bestFit="1" customWidth="1"/>
    <col min="10" max="10" width="3.140625" customWidth="1"/>
    <col min="11" max="11" width="23.42578125" customWidth="1"/>
    <col min="12" max="12" width="16" bestFit="1" customWidth="1"/>
  </cols>
  <sheetData>
    <row r="2" spans="2:13" ht="18">
      <c r="B2" s="236" t="s">
        <v>1401</v>
      </c>
      <c r="C2" s="237" t="s">
        <v>1402</v>
      </c>
      <c r="D2" s="238" t="s">
        <v>1403</v>
      </c>
      <c r="E2" s="239" t="s">
        <v>1404</v>
      </c>
      <c r="F2" s="240" t="s">
        <v>1405</v>
      </c>
      <c r="H2" s="260" t="s">
        <v>913</v>
      </c>
      <c r="I2" s="260" t="s">
        <v>408</v>
      </c>
      <c r="K2" s="203" t="s">
        <v>1169</v>
      </c>
      <c r="L2" s="204">
        <v>1739.98</v>
      </c>
    </row>
    <row r="3" spans="2:13" ht="18">
      <c r="B3" s="227" t="s">
        <v>135</v>
      </c>
      <c r="C3" s="224"/>
      <c r="D3" s="259" t="s">
        <v>0</v>
      </c>
      <c r="E3" s="82" t="s">
        <v>1</v>
      </c>
      <c r="F3" s="231" t="s">
        <v>57</v>
      </c>
      <c r="H3" s="10">
        <v>0</v>
      </c>
      <c r="I3" s="10" t="s">
        <v>914</v>
      </c>
      <c r="K3" s="203" t="s">
        <v>1319</v>
      </c>
      <c r="L3" s="203">
        <v>297</v>
      </c>
    </row>
    <row r="4" spans="2:13" ht="18" customHeight="1">
      <c r="B4" s="228" t="s">
        <v>48</v>
      </c>
      <c r="C4" s="191"/>
      <c r="D4" s="95">
        <v>0</v>
      </c>
      <c r="E4" s="72"/>
      <c r="F4" s="232"/>
      <c r="H4" s="10"/>
      <c r="I4" s="10"/>
      <c r="K4" s="203" t="s">
        <v>1172</v>
      </c>
      <c r="L4" s="207">
        <v>4.1100000000000003E-5</v>
      </c>
    </row>
    <row r="5" spans="2:13" ht="17.25" customHeight="1">
      <c r="B5" s="228" t="s">
        <v>7</v>
      </c>
      <c r="C5" s="191"/>
      <c r="D5" s="95">
        <v>685</v>
      </c>
      <c r="E5" s="72"/>
      <c r="F5" s="232"/>
      <c r="H5" s="10"/>
      <c r="I5" s="10"/>
      <c r="K5" s="206" t="s">
        <v>1173</v>
      </c>
      <c r="L5" s="206">
        <f>L3*L4</f>
        <v>1.2206700000000001E-2</v>
      </c>
    </row>
    <row r="6" spans="2:13">
      <c r="B6" s="228" t="s">
        <v>1434</v>
      </c>
      <c r="C6" s="91">
        <v>13455.05</v>
      </c>
      <c r="D6" s="95">
        <v>0</v>
      </c>
      <c r="E6" s="72"/>
      <c r="F6" s="232"/>
      <c r="H6" s="10"/>
      <c r="I6" s="10"/>
      <c r="K6" s="206" t="s">
        <v>1174</v>
      </c>
      <c r="L6" s="205">
        <f>L2*L5</f>
        <v>21.239413866000003</v>
      </c>
    </row>
    <row r="7" spans="2:13" ht="15.75">
      <c r="B7" s="228" t="s">
        <v>1442</v>
      </c>
      <c r="C7" s="243">
        <v>76</v>
      </c>
      <c r="D7" s="95">
        <f>Tabela13456[[#This Row],[Colunas2]]</f>
        <v>76</v>
      </c>
      <c r="E7" s="262"/>
      <c r="F7" s="263"/>
      <c r="H7" s="10"/>
      <c r="I7" s="10"/>
      <c r="K7" s="217" t="s">
        <v>1249</v>
      </c>
      <c r="L7" s="217" t="s">
        <v>646</v>
      </c>
    </row>
    <row r="8" spans="2:13">
      <c r="B8" s="228" t="s">
        <v>1443</v>
      </c>
      <c r="C8" s="243">
        <v>201.04</v>
      </c>
      <c r="D8" s="95">
        <v>0</v>
      </c>
      <c r="E8" s="262"/>
      <c r="F8" s="263"/>
      <c r="H8" s="10"/>
      <c r="I8" s="10"/>
      <c r="K8" t="s">
        <v>1308</v>
      </c>
      <c r="L8" s="193">
        <v>11000</v>
      </c>
    </row>
    <row r="9" spans="2:13">
      <c r="B9" s="228" t="s">
        <v>927</v>
      </c>
      <c r="C9" s="91">
        <v>64</v>
      </c>
      <c r="D9" s="95">
        <v>0</v>
      </c>
      <c r="E9" s="72"/>
      <c r="F9" s="232"/>
      <c r="H9" s="10"/>
      <c r="I9" s="10"/>
      <c r="K9" t="s">
        <v>1309</v>
      </c>
      <c r="L9" s="193">
        <v>44000</v>
      </c>
      <c r="M9" s="219"/>
    </row>
    <row r="10" spans="2:13" ht="14.25" customHeight="1">
      <c r="B10" s="229" t="s">
        <v>122</v>
      </c>
      <c r="C10" s="96">
        <v>-165.14</v>
      </c>
      <c r="D10" s="63">
        <v>0</v>
      </c>
      <c r="E10" s="64"/>
      <c r="F10" s="233" t="s">
        <v>58</v>
      </c>
      <c r="H10" s="144">
        <f>SUM(H3:H9)</f>
        <v>0</v>
      </c>
      <c r="I10" s="144" t="s">
        <v>1031</v>
      </c>
      <c r="K10" s="217" t="s">
        <v>45</v>
      </c>
      <c r="L10" s="218">
        <f>SUM(L8:L9)</f>
        <v>55000</v>
      </c>
    </row>
    <row r="11" spans="2:13">
      <c r="B11" s="229" t="s">
        <v>1339</v>
      </c>
      <c r="C11" s="96">
        <v>-860.35</v>
      </c>
      <c r="D11" s="63">
        <v>0</v>
      </c>
      <c r="E11" s="64"/>
      <c r="F11" s="233" t="s">
        <v>58</v>
      </c>
    </row>
    <row r="12" spans="2:13" ht="15.75">
      <c r="B12" s="229" t="s">
        <v>660</v>
      </c>
      <c r="C12" s="243">
        <v>-700</v>
      </c>
      <c r="D12" s="63">
        <v>0</v>
      </c>
      <c r="E12" s="64"/>
      <c r="F12" s="233" t="s">
        <v>58</v>
      </c>
      <c r="H12" s="260" t="s">
        <v>1143</v>
      </c>
      <c r="I12" s="260" t="s">
        <v>408</v>
      </c>
    </row>
    <row r="13" spans="2:13">
      <c r="B13" s="229" t="s">
        <v>1444</v>
      </c>
      <c r="C13" s="243">
        <v>300</v>
      </c>
      <c r="D13" s="63">
        <v>0</v>
      </c>
      <c r="E13" s="64"/>
      <c r="F13" s="233" t="s">
        <v>58</v>
      </c>
      <c r="H13" s="10"/>
      <c r="I13" s="10"/>
    </row>
    <row r="14" spans="2:13">
      <c r="B14" s="242" t="s">
        <v>1415</v>
      </c>
      <c r="C14" s="243">
        <v>-1353.16</v>
      </c>
      <c r="D14" s="63">
        <v>0</v>
      </c>
      <c r="E14" s="64"/>
      <c r="F14" s="233" t="s">
        <v>58</v>
      </c>
      <c r="H14" s="10"/>
      <c r="I14" s="10"/>
    </row>
    <row r="15" spans="2:13">
      <c r="B15" s="229" t="s">
        <v>586</v>
      </c>
      <c r="C15" s="96">
        <v>-159.88</v>
      </c>
      <c r="D15" s="63">
        <v>0</v>
      </c>
      <c r="E15" s="64"/>
      <c r="F15" s="233" t="s">
        <v>58</v>
      </c>
      <c r="H15" s="10"/>
      <c r="I15" s="10"/>
    </row>
    <row r="16" spans="2:13">
      <c r="B16" s="229" t="s">
        <v>1397</v>
      </c>
      <c r="C16" s="96">
        <v>-20</v>
      </c>
      <c r="D16" s="63">
        <v>0</v>
      </c>
      <c r="E16" s="64"/>
      <c r="F16" s="233" t="s">
        <v>58</v>
      </c>
      <c r="H16" s="10">
        <v>0</v>
      </c>
      <c r="I16" s="10" t="s">
        <v>1162</v>
      </c>
    </row>
    <row r="17" spans="2:12">
      <c r="B17" s="229" t="s">
        <v>1419</v>
      </c>
      <c r="C17" s="243">
        <v>-120</v>
      </c>
      <c r="D17" s="63">
        <v>0</v>
      </c>
      <c r="E17" s="64"/>
      <c r="F17" s="233" t="s">
        <v>58</v>
      </c>
      <c r="H17" s="10"/>
      <c r="I17" s="10"/>
    </row>
    <row r="18" spans="2:12">
      <c r="B18" s="229" t="s">
        <v>1420</v>
      </c>
      <c r="C18" s="243">
        <v>-120</v>
      </c>
      <c r="D18" s="63">
        <v>0</v>
      </c>
      <c r="E18" s="64"/>
      <c r="F18" s="233" t="s">
        <v>58</v>
      </c>
      <c r="G18" s="143"/>
      <c r="H18" s="10"/>
      <c r="I18" s="10"/>
      <c r="K18" s="193"/>
    </row>
    <row r="19" spans="2:12">
      <c r="B19" s="229" t="s">
        <v>1098</v>
      </c>
      <c r="C19" s="96">
        <v>-151.37</v>
      </c>
      <c r="D19" s="63">
        <v>0</v>
      </c>
      <c r="E19" s="64"/>
      <c r="F19" s="233" t="s">
        <v>58</v>
      </c>
      <c r="H19" s="10"/>
      <c r="I19" s="10"/>
      <c r="K19" s="193"/>
    </row>
    <row r="20" spans="2:12">
      <c r="B20" s="229" t="s">
        <v>65</v>
      </c>
      <c r="C20" s="96">
        <v>-600</v>
      </c>
      <c r="D20" s="63">
        <v>0</v>
      </c>
      <c r="E20" s="64"/>
      <c r="F20" s="233" t="s">
        <v>58</v>
      </c>
      <c r="H20" s="10">
        <v>9756.2900000000009</v>
      </c>
      <c r="I20" s="10" t="s">
        <v>1438</v>
      </c>
      <c r="K20" s="193"/>
    </row>
    <row r="21" spans="2:12">
      <c r="B21" s="229" t="s">
        <v>1069</v>
      </c>
      <c r="C21" s="96">
        <v>-885.4</v>
      </c>
      <c r="D21" s="63">
        <v>0</v>
      </c>
      <c r="E21" s="64"/>
      <c r="F21" s="233" t="s">
        <v>58</v>
      </c>
      <c r="H21" s="10">
        <v>0</v>
      </c>
      <c r="I21" s="10" t="s">
        <v>1439</v>
      </c>
      <c r="K21" s="193"/>
    </row>
    <row r="22" spans="2:12">
      <c r="B22" s="229" t="s">
        <v>1242</v>
      </c>
      <c r="C22" s="96">
        <v>-650</v>
      </c>
      <c r="D22" s="63">
        <v>0</v>
      </c>
      <c r="E22" s="64"/>
      <c r="F22" s="233" t="s">
        <v>58</v>
      </c>
      <c r="H22" s="10"/>
      <c r="I22" s="10"/>
      <c r="K22" s="193"/>
    </row>
    <row r="23" spans="2:12">
      <c r="B23" s="229" t="s">
        <v>1266</v>
      </c>
      <c r="C23" s="96">
        <v>-1615.86</v>
      </c>
      <c r="D23" s="63">
        <v>0</v>
      </c>
      <c r="E23" s="64"/>
      <c r="F23" s="233" t="s">
        <v>58</v>
      </c>
      <c r="H23" s="10"/>
      <c r="I23" s="10"/>
      <c r="K23" s="193"/>
    </row>
    <row r="24" spans="2:12">
      <c r="B24" s="229" t="s">
        <v>1287</v>
      </c>
      <c r="C24" s="243">
        <v>-60</v>
      </c>
      <c r="D24" s="63">
        <v>0</v>
      </c>
      <c r="E24" s="64"/>
      <c r="F24" s="233" t="s">
        <v>58</v>
      </c>
      <c r="H24" s="10">
        <v>0</v>
      </c>
      <c r="I24" s="10"/>
      <c r="K24" s="193"/>
    </row>
    <row r="25" spans="2:12">
      <c r="B25" s="229" t="s">
        <v>610</v>
      </c>
      <c r="C25" s="243">
        <v>-39.68</v>
      </c>
      <c r="D25" s="63">
        <v>0</v>
      </c>
      <c r="E25" s="64"/>
      <c r="F25" s="233" t="s">
        <v>58</v>
      </c>
      <c r="H25" s="10"/>
      <c r="I25" s="10"/>
      <c r="K25" s="193"/>
      <c r="L25" t="s">
        <v>1022</v>
      </c>
    </row>
    <row r="26" spans="2:12">
      <c r="B26" s="229" t="s">
        <v>103</v>
      </c>
      <c r="C26" s="96">
        <v>-4095.25</v>
      </c>
      <c r="D26" s="63">
        <v>0</v>
      </c>
      <c r="E26" s="64"/>
      <c r="F26" s="233" t="s">
        <v>58</v>
      </c>
      <c r="H26" s="10">
        <v>0</v>
      </c>
      <c r="I26" s="10" t="s">
        <v>1165</v>
      </c>
      <c r="K26" s="193"/>
    </row>
    <row r="27" spans="2:12">
      <c r="B27" s="229" t="s">
        <v>621</v>
      </c>
      <c r="C27" s="243">
        <v>-526.73</v>
      </c>
      <c r="D27" s="63">
        <v>0</v>
      </c>
      <c r="E27" s="64"/>
      <c r="F27" s="233" t="s">
        <v>58</v>
      </c>
      <c r="H27" s="144">
        <f>SUM(H13:H26)</f>
        <v>9756.2900000000009</v>
      </c>
      <c r="I27" s="144" t="s">
        <v>1031</v>
      </c>
      <c r="K27" s="193"/>
    </row>
    <row r="28" spans="2:12">
      <c r="B28" s="229" t="s">
        <v>1441</v>
      </c>
      <c r="C28" s="243">
        <f>-16.53-6.09</f>
        <v>-22.62</v>
      </c>
      <c r="D28" s="63">
        <v>0</v>
      </c>
      <c r="E28" s="64"/>
      <c r="F28" s="233" t="s">
        <v>58</v>
      </c>
      <c r="K28" s="193"/>
    </row>
    <row r="29" spans="2:12">
      <c r="B29" s="229" t="s">
        <v>125</v>
      </c>
      <c r="C29" s="96">
        <v>-4100</v>
      </c>
      <c r="D29" s="63">
        <v>0</v>
      </c>
      <c r="E29" s="64"/>
      <c r="F29" s="233" t="s">
        <v>58</v>
      </c>
      <c r="H29" s="199"/>
      <c r="K29" s="193"/>
    </row>
    <row r="30" spans="2:12" ht="18">
      <c r="B30" s="229" t="s">
        <v>73</v>
      </c>
      <c r="C30" s="96">
        <v>-263.63</v>
      </c>
      <c r="D30" s="63">
        <v>0</v>
      </c>
      <c r="E30" s="64"/>
      <c r="F30" s="233" t="s">
        <v>58</v>
      </c>
      <c r="H30" s="211"/>
    </row>
    <row r="31" spans="2:12">
      <c r="B31" s="229" t="s">
        <v>1283</v>
      </c>
      <c r="C31" s="96">
        <v>-74.010000000000005</v>
      </c>
      <c r="D31" s="190">
        <f>C31</f>
        <v>-74.010000000000005</v>
      </c>
      <c r="E31" s="191"/>
      <c r="F31" s="235"/>
    </row>
    <row r="32" spans="2:12" ht="18">
      <c r="B32" s="242" t="s">
        <v>1353</v>
      </c>
      <c r="C32" s="243">
        <v>-59.9</v>
      </c>
      <c r="D32" s="63">
        <v>0</v>
      </c>
      <c r="E32" s="64"/>
      <c r="F32" s="233" t="s">
        <v>58</v>
      </c>
      <c r="G32" s="211"/>
      <c r="H32" s="199"/>
    </row>
    <row r="33" spans="2:8">
      <c r="B33" s="229" t="s">
        <v>1249</v>
      </c>
      <c r="C33" s="96">
        <v>-767</v>
      </c>
      <c r="D33" s="63">
        <v>0</v>
      </c>
      <c r="E33" s="64"/>
      <c r="F33" s="233" t="s">
        <v>58</v>
      </c>
    </row>
    <row r="34" spans="2:8" ht="18">
      <c r="B34" s="74" t="s">
        <v>1432</v>
      </c>
      <c r="C34" s="188"/>
      <c r="D34" s="241">
        <f>SUM(D4:D33)</f>
        <v>686.99</v>
      </c>
      <c r="E34" s="75"/>
      <c r="H34" s="199"/>
    </row>
    <row r="35" spans="2:8" ht="18">
      <c r="B35" s="249" t="s">
        <v>1431</v>
      </c>
      <c r="C35" s="250"/>
      <c r="D35" s="251">
        <f>H20</f>
        <v>9756.2900000000009</v>
      </c>
      <c r="E35" s="252"/>
    </row>
    <row r="36" spans="2:8">
      <c r="C36" t="s">
        <v>1440</v>
      </c>
      <c r="D36" s="261">
        <f>D34+D35</f>
        <v>10443.280000000001</v>
      </c>
    </row>
    <row r="37" spans="2:8" ht="18">
      <c r="E37" s="211"/>
    </row>
  </sheetData>
  <conditionalFormatting sqref="D4:D8">
    <cfRule type="cellIs" dxfId="95" priority="6" stopIfTrue="1" operator="lessThan">
      <formula>0</formula>
    </cfRule>
  </conditionalFormatting>
  <conditionalFormatting sqref="D9">
    <cfRule type="cellIs" dxfId="94" priority="5" stopIfTrue="1" operator="lessThan">
      <formula>0</formula>
    </cfRule>
  </conditionalFormatting>
  <conditionalFormatting sqref="D31">
    <cfRule type="cellIs" dxfId="93" priority="4" stopIfTrue="1" operator="greater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dimension ref="B1:J48"/>
  <sheetViews>
    <sheetView workbookViewId="0">
      <selection activeCell="B7" sqref="B7"/>
    </sheetView>
  </sheetViews>
  <sheetFormatPr defaultRowHeight="15"/>
  <cols>
    <col min="1" max="1" width="1" style="266" customWidth="1"/>
    <col min="2" max="2" width="41.140625" style="266" bestFit="1" customWidth="1"/>
    <col min="3" max="3" width="13.5703125" style="266" bestFit="1" customWidth="1"/>
    <col min="4" max="4" width="17.7109375" style="266" bestFit="1" customWidth="1"/>
    <col min="5" max="5" width="16.42578125" style="266" bestFit="1" customWidth="1"/>
    <col min="6" max="6" width="1.42578125" style="266" customWidth="1"/>
    <col min="7" max="7" width="13.28515625" style="266" bestFit="1" customWidth="1"/>
    <col min="8" max="8" width="11.7109375" style="266" bestFit="1" customWidth="1"/>
    <col min="9" max="9" width="17.7109375" style="266" bestFit="1" customWidth="1"/>
    <col min="10" max="10" width="16.42578125" style="266" bestFit="1" customWidth="1"/>
    <col min="11" max="16384" width="9.140625" style="266"/>
  </cols>
  <sheetData>
    <row r="1" spans="2:10" ht="26.25">
      <c r="B1" s="588" t="s">
        <v>1517</v>
      </c>
      <c r="C1" s="588"/>
      <c r="D1" s="588"/>
      <c r="E1" s="588"/>
      <c r="G1" s="588" t="s">
        <v>1445</v>
      </c>
      <c r="H1" s="588"/>
      <c r="I1" s="588"/>
      <c r="J1" s="588"/>
    </row>
    <row r="2" spans="2:10" ht="20.25" thickBot="1">
      <c r="B2" s="277" t="s">
        <v>1516</v>
      </c>
      <c r="C2" s="277" t="s">
        <v>219</v>
      </c>
      <c r="D2" s="276" t="s">
        <v>1515</v>
      </c>
      <c r="E2" s="276" t="s">
        <v>1514</v>
      </c>
      <c r="G2" s="277" t="s">
        <v>1516</v>
      </c>
      <c r="H2" s="277" t="s">
        <v>219</v>
      </c>
      <c r="I2" s="276" t="s">
        <v>1515</v>
      </c>
      <c r="J2" s="276" t="s">
        <v>1514</v>
      </c>
    </row>
    <row r="3" spans="2:10" ht="16.5" thickTop="1" thickBot="1">
      <c r="B3" s="274" t="s">
        <v>21</v>
      </c>
      <c r="C3" s="275">
        <v>2800</v>
      </c>
      <c r="D3" s="274" t="s">
        <v>1513</v>
      </c>
      <c r="E3" s="274" t="s">
        <v>1513</v>
      </c>
      <c r="G3" s="274" t="s">
        <v>21</v>
      </c>
      <c r="H3" s="275">
        <f>C38</f>
        <v>137.61000000000001</v>
      </c>
      <c r="I3" s="274" t="s">
        <v>1513</v>
      </c>
      <c r="J3" s="274" t="s">
        <v>1513</v>
      </c>
    </row>
    <row r="4" spans="2:10" ht="15.75" thickBot="1">
      <c r="B4" s="284" t="s">
        <v>1543</v>
      </c>
      <c r="C4" s="283">
        <v>451.83</v>
      </c>
      <c r="D4" s="266" t="s">
        <v>1452</v>
      </c>
      <c r="E4" s="269" t="s">
        <v>1457</v>
      </c>
      <c r="G4" s="284" t="s">
        <v>1542</v>
      </c>
      <c r="H4" s="283">
        <v>76</v>
      </c>
      <c r="I4" s="266" t="s">
        <v>1458</v>
      </c>
      <c r="J4" s="269" t="s">
        <v>1455</v>
      </c>
    </row>
    <row r="5" spans="2:10" ht="15.75" thickBot="1">
      <c r="B5" s="281" t="s">
        <v>1541</v>
      </c>
      <c r="C5" s="278">
        <v>188</v>
      </c>
      <c r="D5" s="266" t="s">
        <v>1453</v>
      </c>
      <c r="E5" s="269" t="s">
        <v>1455</v>
      </c>
      <c r="G5" s="266" t="s">
        <v>1540</v>
      </c>
      <c r="H5" s="283">
        <v>75</v>
      </c>
      <c r="I5" s="266" t="s">
        <v>1458</v>
      </c>
      <c r="J5" s="269" t="s">
        <v>1454</v>
      </c>
    </row>
    <row r="6" spans="2:10" ht="15.75" thickBot="1">
      <c r="B6" s="279" t="s">
        <v>1539</v>
      </c>
      <c r="C6" s="282">
        <v>132.66</v>
      </c>
      <c r="D6" s="266" t="s">
        <v>17</v>
      </c>
      <c r="E6" s="269" t="s">
        <v>1455</v>
      </c>
      <c r="G6" s="266" t="s">
        <v>1538</v>
      </c>
      <c r="H6" s="283">
        <v>48</v>
      </c>
      <c r="I6" s="266" t="s">
        <v>1458</v>
      </c>
      <c r="J6" s="269" t="s">
        <v>1454</v>
      </c>
    </row>
    <row r="7" spans="2:10" ht="15.75" thickBot="1">
      <c r="B7" s="281" t="s">
        <v>1500</v>
      </c>
      <c r="C7" s="278">
        <v>14.9</v>
      </c>
      <c r="D7" s="266" t="s">
        <v>1456</v>
      </c>
      <c r="E7" s="269" t="s">
        <v>1454</v>
      </c>
    </row>
    <row r="8" spans="2:10" ht="15.75" thickBot="1">
      <c r="B8" s="279" t="s">
        <v>1537</v>
      </c>
      <c r="C8" s="282">
        <v>23.4</v>
      </c>
      <c r="D8" s="266" t="s">
        <v>1458</v>
      </c>
      <c r="E8" s="269" t="s">
        <v>1455</v>
      </c>
    </row>
    <row r="9" spans="2:10" ht="15.75" thickBot="1">
      <c r="B9" s="281" t="s">
        <v>1536</v>
      </c>
      <c r="C9" s="278">
        <v>38.76</v>
      </c>
      <c r="D9" s="266" t="s">
        <v>1458</v>
      </c>
      <c r="E9" s="269" t="s">
        <v>1455</v>
      </c>
    </row>
    <row r="10" spans="2:10" ht="16.5" thickBot="1">
      <c r="B10" s="279" t="s">
        <v>1535</v>
      </c>
      <c r="C10" s="282">
        <v>16</v>
      </c>
      <c r="D10" s="266" t="s">
        <v>1458</v>
      </c>
      <c r="E10" s="269" t="s">
        <v>1455</v>
      </c>
      <c r="G10" s="271" t="s">
        <v>1534</v>
      </c>
      <c r="H10" s="272">
        <f>H3-SUM(H4:H9)</f>
        <v>-61.389999999999986</v>
      </c>
      <c r="I10" s="271"/>
      <c r="J10" s="271"/>
    </row>
    <row r="11" spans="2:10" ht="15.75" thickBot="1">
      <c r="B11" s="281" t="s">
        <v>1496</v>
      </c>
      <c r="C11" s="278">
        <v>46.08</v>
      </c>
      <c r="D11" s="266" t="s">
        <v>1451</v>
      </c>
      <c r="E11" s="269" t="s">
        <v>1455</v>
      </c>
    </row>
    <row r="12" spans="2:10" ht="15.75" thickBot="1">
      <c r="B12" s="279" t="s">
        <v>1533</v>
      </c>
      <c r="C12" s="278">
        <v>74.95</v>
      </c>
      <c r="D12" s="266" t="s">
        <v>17</v>
      </c>
      <c r="E12" s="269" t="s">
        <v>1454</v>
      </c>
    </row>
    <row r="13" spans="2:10" ht="15.75" thickBot="1">
      <c r="B13" s="281" t="s">
        <v>1482</v>
      </c>
      <c r="C13" s="282">
        <v>44.86</v>
      </c>
      <c r="D13" s="266" t="s">
        <v>1451</v>
      </c>
      <c r="E13" s="269" t="s">
        <v>1455</v>
      </c>
    </row>
    <row r="14" spans="2:10" ht="15.75" thickBot="1">
      <c r="B14" s="279" t="s">
        <v>1482</v>
      </c>
      <c r="C14" s="278">
        <v>20.28</v>
      </c>
      <c r="D14" s="266" t="s">
        <v>1458</v>
      </c>
      <c r="E14" s="269" t="s">
        <v>1454</v>
      </c>
    </row>
    <row r="15" spans="2:10" ht="15.75" thickBot="1">
      <c r="B15" s="281" t="s">
        <v>1532</v>
      </c>
      <c r="C15" s="282">
        <v>176.66</v>
      </c>
      <c r="D15" s="266" t="s">
        <v>1458</v>
      </c>
      <c r="E15" s="269" t="s">
        <v>1454</v>
      </c>
    </row>
    <row r="16" spans="2:10" ht="15.75" thickBot="1">
      <c r="B16" s="279" t="s">
        <v>1503</v>
      </c>
      <c r="C16" s="278">
        <v>55.3</v>
      </c>
      <c r="D16" s="266" t="s">
        <v>38</v>
      </c>
      <c r="E16" s="269" t="s">
        <v>1455</v>
      </c>
    </row>
    <row r="17" spans="2:5" ht="15.75" thickBot="1">
      <c r="B17" s="281" t="s">
        <v>1531</v>
      </c>
      <c r="C17" s="278">
        <v>161.69999999999999</v>
      </c>
      <c r="D17" s="266" t="s">
        <v>1456</v>
      </c>
      <c r="E17" s="269" t="s">
        <v>1454</v>
      </c>
    </row>
    <row r="18" spans="2:5" ht="15.75" thickBot="1">
      <c r="B18" s="279" t="s">
        <v>1529</v>
      </c>
      <c r="C18" s="278">
        <v>36.130000000000003</v>
      </c>
      <c r="D18" s="266" t="s">
        <v>1458</v>
      </c>
      <c r="E18" s="269" t="s">
        <v>1455</v>
      </c>
    </row>
    <row r="19" spans="2:5" ht="15.75" thickBot="1">
      <c r="B19" s="281" t="s">
        <v>1530</v>
      </c>
      <c r="C19" s="278">
        <v>88</v>
      </c>
      <c r="D19" s="266" t="s">
        <v>1456</v>
      </c>
      <c r="E19" s="269" t="s">
        <v>1454</v>
      </c>
    </row>
    <row r="20" spans="2:5" ht="15.75" thickBot="1">
      <c r="B20" s="279" t="s">
        <v>1529</v>
      </c>
      <c r="C20" s="282">
        <v>31.73</v>
      </c>
      <c r="D20" s="266" t="s">
        <v>1458</v>
      </c>
      <c r="E20" s="269" t="s">
        <v>1455</v>
      </c>
    </row>
    <row r="21" spans="2:5" ht="15.75" thickBot="1">
      <c r="B21" s="281" t="s">
        <v>1474</v>
      </c>
      <c r="C21" s="282">
        <v>56.15</v>
      </c>
      <c r="D21" s="266" t="s">
        <v>38</v>
      </c>
      <c r="E21" s="269" t="s">
        <v>1455</v>
      </c>
    </row>
    <row r="22" spans="2:5" ht="15.75" thickBot="1">
      <c r="B22" s="279" t="s">
        <v>1474</v>
      </c>
      <c r="C22" s="282">
        <v>21.5</v>
      </c>
      <c r="D22" s="266" t="s">
        <v>38</v>
      </c>
      <c r="E22" s="269" t="s">
        <v>1455</v>
      </c>
    </row>
    <row r="23" spans="2:5" ht="15.75" thickBot="1">
      <c r="B23" s="281" t="s">
        <v>1498</v>
      </c>
      <c r="C23" s="282">
        <v>35.21</v>
      </c>
      <c r="D23" s="266" t="s">
        <v>1458</v>
      </c>
      <c r="E23" s="269" t="s">
        <v>1455</v>
      </c>
    </row>
    <row r="24" spans="2:5" ht="15.75" thickBot="1">
      <c r="B24" s="279" t="s">
        <v>1475</v>
      </c>
      <c r="C24" s="282">
        <v>43</v>
      </c>
      <c r="D24" s="266" t="s">
        <v>1458</v>
      </c>
      <c r="E24" s="269" t="s">
        <v>1454</v>
      </c>
    </row>
    <row r="25" spans="2:5" ht="15.75" thickBot="1">
      <c r="B25" s="281" t="s">
        <v>1474</v>
      </c>
      <c r="C25" s="282">
        <v>33.380000000000003</v>
      </c>
      <c r="D25" s="266" t="s">
        <v>38</v>
      </c>
      <c r="E25" s="269" t="s">
        <v>1455</v>
      </c>
    </row>
    <row r="26" spans="2:5" ht="15.75" thickBot="1">
      <c r="B26" s="279" t="s">
        <v>1528</v>
      </c>
      <c r="C26" s="282">
        <v>50</v>
      </c>
      <c r="D26" s="266" t="s">
        <v>1458</v>
      </c>
      <c r="E26" s="269" t="s">
        <v>1454</v>
      </c>
    </row>
    <row r="27" spans="2:5" ht="15.75" thickBot="1">
      <c r="B27" s="279" t="s">
        <v>1527</v>
      </c>
      <c r="C27" s="282">
        <v>21.34</v>
      </c>
      <c r="D27" s="266" t="s">
        <v>1451</v>
      </c>
      <c r="E27" s="269" t="s">
        <v>1455</v>
      </c>
    </row>
    <row r="28" spans="2:5" ht="15.75" thickBot="1">
      <c r="B28" s="281" t="s">
        <v>1526</v>
      </c>
      <c r="C28" s="282">
        <v>85.89</v>
      </c>
      <c r="D28" s="266" t="s">
        <v>1451</v>
      </c>
      <c r="E28" s="269" t="s">
        <v>1454</v>
      </c>
    </row>
    <row r="29" spans="2:5" ht="15.75" thickBot="1">
      <c r="B29" s="279" t="s">
        <v>1525</v>
      </c>
      <c r="C29" s="282">
        <v>139.6</v>
      </c>
      <c r="D29" s="266" t="s">
        <v>1458</v>
      </c>
      <c r="E29" s="269" t="s">
        <v>1454</v>
      </c>
    </row>
    <row r="30" spans="2:5" ht="15.75" thickBot="1">
      <c r="B30" s="281" t="s">
        <v>1524</v>
      </c>
      <c r="C30" s="282">
        <v>200</v>
      </c>
      <c r="D30" s="266" t="s">
        <v>1458</v>
      </c>
      <c r="E30" s="269" t="s">
        <v>1454</v>
      </c>
    </row>
    <row r="31" spans="2:5" ht="15.75" thickBot="1">
      <c r="B31" s="279" t="s">
        <v>1523</v>
      </c>
      <c r="C31" s="282">
        <v>246.61</v>
      </c>
      <c r="D31" s="266" t="s">
        <v>1451</v>
      </c>
      <c r="E31" s="269" t="s">
        <v>1455</v>
      </c>
    </row>
    <row r="32" spans="2:5" ht="15.75" thickBot="1">
      <c r="B32" s="281" t="s">
        <v>1502</v>
      </c>
      <c r="C32" s="278">
        <v>10.73</v>
      </c>
      <c r="D32" s="266" t="s">
        <v>1458</v>
      </c>
      <c r="E32" s="269" t="s">
        <v>1455</v>
      </c>
    </row>
    <row r="33" spans="2:5" ht="15.75" thickBot="1">
      <c r="B33" s="279" t="s">
        <v>1485</v>
      </c>
      <c r="C33" s="278">
        <v>22.9</v>
      </c>
      <c r="D33" s="266" t="s">
        <v>1456</v>
      </c>
      <c r="E33" s="269" t="s">
        <v>1454</v>
      </c>
    </row>
    <row r="34" spans="2:5" ht="15.75" thickBot="1">
      <c r="B34" s="281" t="s">
        <v>1522</v>
      </c>
      <c r="C34" s="278">
        <v>45</v>
      </c>
      <c r="D34" s="266" t="s">
        <v>1456</v>
      </c>
      <c r="E34" s="269" t="s">
        <v>1454</v>
      </c>
    </row>
    <row r="35" spans="2:5" ht="15.75" thickBot="1">
      <c r="B35" s="279" t="s">
        <v>1521</v>
      </c>
      <c r="C35" s="278">
        <v>70.5</v>
      </c>
      <c r="D35" s="266" t="s">
        <v>38</v>
      </c>
      <c r="E35" s="269" t="s">
        <v>1455</v>
      </c>
    </row>
    <row r="36" spans="2:5" ht="15.75" thickBot="1">
      <c r="B36" s="281" t="s">
        <v>1520</v>
      </c>
      <c r="C36" s="278">
        <v>45.94</v>
      </c>
      <c r="D36" s="266" t="s">
        <v>1450</v>
      </c>
      <c r="E36" s="269" t="s">
        <v>1457</v>
      </c>
    </row>
    <row r="37" spans="2:5" ht="15.75" thickBot="1">
      <c r="B37" s="280" t="s">
        <v>1519</v>
      </c>
      <c r="C37" s="278">
        <v>28.57</v>
      </c>
      <c r="D37" s="266" t="s">
        <v>38</v>
      </c>
      <c r="E37" s="269" t="s">
        <v>1455</v>
      </c>
    </row>
    <row r="38" spans="2:5" ht="15.75" thickBot="1">
      <c r="B38" s="279" t="s">
        <v>1518</v>
      </c>
      <c r="C38" s="278">
        <v>137.61000000000001</v>
      </c>
      <c r="D38" s="266" t="s">
        <v>1458</v>
      </c>
      <c r="E38" s="269" t="s">
        <v>1454</v>
      </c>
    </row>
    <row r="39" spans="2:5" ht="16.5" thickBot="1">
      <c r="B39" s="271" t="s">
        <v>1459</v>
      </c>
      <c r="C39" s="272">
        <f>C3-SUM(C4:C38)</f>
        <v>-95.170000000000982</v>
      </c>
      <c r="D39" s="271"/>
      <c r="E39" s="271"/>
    </row>
    <row r="40" spans="2:5" ht="15.75" thickTop="1">
      <c r="C40" s="270"/>
    </row>
    <row r="41" spans="2:5">
      <c r="D41" s="266" t="s">
        <v>1458</v>
      </c>
      <c r="E41" s="269" t="s">
        <v>1457</v>
      </c>
    </row>
    <row r="42" spans="2:5">
      <c r="D42" s="266" t="s">
        <v>1456</v>
      </c>
      <c r="E42" s="268" t="s">
        <v>1455</v>
      </c>
    </row>
    <row r="43" spans="2:5">
      <c r="D43" s="266" t="s">
        <v>38</v>
      </c>
      <c r="E43" s="267" t="s">
        <v>1454</v>
      </c>
    </row>
    <row r="44" spans="2:5">
      <c r="D44" s="266" t="s">
        <v>1453</v>
      </c>
    </row>
    <row r="45" spans="2:5">
      <c r="D45" s="266" t="s">
        <v>1452</v>
      </c>
    </row>
    <row r="46" spans="2:5">
      <c r="D46" s="266" t="s">
        <v>17</v>
      </c>
    </row>
    <row r="47" spans="2:5">
      <c r="D47" s="266" t="s">
        <v>1451</v>
      </c>
    </row>
    <row r="48" spans="2:5">
      <c r="D48" s="266" t="s">
        <v>1450</v>
      </c>
    </row>
  </sheetData>
  <mergeCells count="2">
    <mergeCell ref="B1:E1"/>
    <mergeCell ref="G1:J1"/>
  </mergeCells>
  <conditionalFormatting sqref="J4:J6 E5:E38">
    <cfRule type="containsText" dxfId="86" priority="3" stopIfTrue="1" operator="containsText" text="Necessário">
      <formula>NOT(ISERROR(SEARCH("Necessário",E4)))</formula>
    </cfRule>
  </conditionalFormatting>
  <conditionalFormatting sqref="J4:J6 E5:E38">
    <cfRule type="containsText" dxfId="85" priority="2" stopIfTrue="1" operator="containsText" text="Frívolo">
      <formula>NOT(ISERROR(SEARCH("Frívolo",E4)))</formula>
    </cfRule>
  </conditionalFormatting>
  <conditionalFormatting sqref="C40">
    <cfRule type="dataBar" priority="1">
      <dataBar>
        <cfvo type="min" val="0"/>
        <cfvo type="max" val="0"/>
        <color rgb="FF638EC6"/>
      </dataBar>
    </cfRule>
  </conditionalFormatting>
  <dataValidations count="2">
    <dataValidation type="list" allowBlank="1" showInputMessage="1" showErrorMessage="1" sqref="J4:J6 E37:E38 E4:E35">
      <formula1>$E$41:$E$43</formula1>
    </dataValidation>
    <dataValidation type="list" allowBlank="1" showInputMessage="1" showErrorMessage="1" sqref="I4:I6 D37:D38 D4:D35">
      <formula1>$D$41:$D$48</formula1>
    </dataValidation>
  </dataValidations>
  <pageMargins left="0.511811024" right="0.511811024" top="0.78740157499999996" bottom="0.78740157499999996" header="0.31496062000000002" footer="0.31496062000000002"/>
  <pageSetup paperSize="9" orientation="portrait" r:id="rId1"/>
</worksheet>
</file>

<file path=xl/worksheets/sheet127.xml><?xml version="1.0" encoding="utf-8"?>
<worksheet xmlns="http://schemas.openxmlformats.org/spreadsheetml/2006/main" xmlns:r="http://schemas.openxmlformats.org/officeDocument/2006/relationships">
  <dimension ref="B2:AA42"/>
  <sheetViews>
    <sheetView topLeftCell="A4" zoomScale="85" zoomScaleNormal="85" workbookViewId="0">
      <selection activeCell="C32" sqref="C32"/>
    </sheetView>
  </sheetViews>
  <sheetFormatPr defaultColWidth="8.85546875" defaultRowHeight="12.75"/>
  <cols>
    <col min="1" max="1" width="1.42578125" customWidth="1"/>
    <col min="2" max="2" width="27.7109375" customWidth="1"/>
    <col min="3" max="3" width="22.42578125" customWidth="1"/>
    <col min="4" max="4" width="20.28515625" bestFit="1" customWidth="1"/>
    <col min="5" max="5" width="15.140625" customWidth="1"/>
    <col min="6" max="6" width="9.85546875" customWidth="1"/>
    <col min="7" max="7" width="1.28515625" customWidth="1"/>
    <col min="8" max="9" width="15.28515625" customWidth="1"/>
    <col min="10" max="10" width="11.85546875" customWidth="1"/>
    <col min="11" max="11" width="1.140625" customWidth="1"/>
    <col min="12" max="12" width="13.140625" customWidth="1"/>
    <col min="13" max="13" width="16" bestFit="1" customWidth="1"/>
    <col min="14" max="14" width="0.85546875" customWidth="1"/>
    <col min="15" max="15" width="9.5703125" customWidth="1"/>
    <col min="16" max="16" width="17.7109375" bestFit="1" customWidth="1"/>
    <col min="17" max="17" width="0.7109375" customWidth="1"/>
    <col min="18" max="18" width="16.140625" bestFit="1" customWidth="1"/>
    <col min="19" max="19" width="17.28515625" bestFit="1" customWidth="1"/>
    <col min="20" max="20" width="14.85546875" bestFit="1" customWidth="1"/>
    <col min="21" max="21" width="1.5703125" customWidth="1"/>
    <col min="22" max="22" width="13.42578125" bestFit="1" customWidth="1"/>
    <col min="23" max="24" width="12.28515625" bestFit="1" customWidth="1"/>
    <col min="25" max="25" width="6.85546875" bestFit="1" customWidth="1"/>
    <col min="26" max="26" width="9.5703125" bestFit="1" customWidth="1"/>
    <col min="27" max="27" width="12.28515625" bestFit="1" customWidth="1"/>
    <col min="28" max="28" width="9.85546875" customWidth="1"/>
    <col min="29" max="29" width="12.28515625" bestFit="1" customWidth="1"/>
    <col min="31" max="32" width="12.28515625" bestFit="1" customWidth="1"/>
  </cols>
  <sheetData>
    <row r="2" spans="2:27" ht="18">
      <c r="B2" s="236" t="s">
        <v>1401</v>
      </c>
      <c r="C2" s="237" t="s">
        <v>1402</v>
      </c>
      <c r="D2" s="238" t="s">
        <v>1554</v>
      </c>
      <c r="E2" s="239" t="s">
        <v>1403</v>
      </c>
      <c r="F2" s="240" t="s">
        <v>1404</v>
      </c>
      <c r="H2" s="593" t="s">
        <v>1557</v>
      </c>
      <c r="I2" s="593"/>
      <c r="J2" s="593"/>
      <c r="L2" s="594" t="s">
        <v>1553</v>
      </c>
      <c r="M2" s="594"/>
      <c r="O2" s="597" t="s">
        <v>1162</v>
      </c>
      <c r="P2" s="598"/>
      <c r="R2" s="595" t="s">
        <v>1558</v>
      </c>
      <c r="S2" s="595"/>
      <c r="T2" s="595"/>
      <c r="V2" s="602" t="s">
        <v>1073</v>
      </c>
      <c r="W2" s="602"/>
      <c r="X2" s="602"/>
      <c r="Y2" s="602"/>
    </row>
    <row r="3" spans="2:27" ht="18">
      <c r="B3" s="227" t="s">
        <v>135</v>
      </c>
      <c r="C3" s="224"/>
      <c r="D3" s="264" t="s">
        <v>0</v>
      </c>
      <c r="E3" s="82" t="s">
        <v>1</v>
      </c>
      <c r="F3" s="231" t="s">
        <v>57</v>
      </c>
      <c r="H3" s="330" t="s">
        <v>1577</v>
      </c>
      <c r="I3" s="313" t="s">
        <v>1143</v>
      </c>
      <c r="J3" s="345" t="s">
        <v>1631</v>
      </c>
      <c r="L3" s="314" t="s">
        <v>1577</v>
      </c>
      <c r="M3" s="314" t="s">
        <v>1143</v>
      </c>
      <c r="O3" t="s">
        <v>1169</v>
      </c>
      <c r="P3" s="299">
        <v>1726</v>
      </c>
      <c r="R3" s="322" t="s">
        <v>1249</v>
      </c>
      <c r="S3" s="322" t="s">
        <v>646</v>
      </c>
      <c r="T3" s="322" t="s">
        <v>1559</v>
      </c>
      <c r="V3" s="591" t="s">
        <v>1591</v>
      </c>
      <c r="W3" s="591"/>
      <c r="X3" s="295">
        <v>60</v>
      </c>
      <c r="Y3" s="295"/>
    </row>
    <row r="4" spans="2:27" ht="18" customHeight="1">
      <c r="B4" s="228" t="s">
        <v>48</v>
      </c>
      <c r="C4" s="191"/>
      <c r="D4" s="95">
        <v>0</v>
      </c>
      <c r="E4" s="72"/>
      <c r="F4" s="232"/>
      <c r="H4" s="111" t="s">
        <v>1438</v>
      </c>
      <c r="I4" s="111">
        <v>9549.08</v>
      </c>
      <c r="J4" s="83">
        <v>42510</v>
      </c>
      <c r="L4" s="305" t="s">
        <v>1613</v>
      </c>
      <c r="M4" s="306">
        <v>0</v>
      </c>
      <c r="O4" t="s">
        <v>1319</v>
      </c>
      <c r="P4" s="302">
        <v>467</v>
      </c>
      <c r="R4" s="295" t="s">
        <v>1308</v>
      </c>
      <c r="S4" s="298">
        <v>14535.11</v>
      </c>
      <c r="T4" s="297">
        <f>S4*(1-27.5%)</f>
        <v>10537.954750000001</v>
      </c>
      <c r="V4" s="591" t="s">
        <v>1592</v>
      </c>
      <c r="W4" s="591"/>
      <c r="X4" s="295">
        <f>X3/12</f>
        <v>5</v>
      </c>
      <c r="Y4" s="295"/>
    </row>
    <row r="5" spans="2:27" ht="17.25" customHeight="1">
      <c r="B5" s="228" t="s">
        <v>7</v>
      </c>
      <c r="C5" s="191"/>
      <c r="D5" s="95">
        <v>-501.29</v>
      </c>
      <c r="E5" s="72"/>
      <c r="F5" s="232"/>
      <c r="H5" s="111" t="s">
        <v>1438</v>
      </c>
      <c r="I5" s="111">
        <v>9553.68</v>
      </c>
      <c r="J5" s="83">
        <v>42513</v>
      </c>
      <c r="L5" s="305" t="s">
        <v>927</v>
      </c>
      <c r="M5" s="306">
        <v>36.299999999999997</v>
      </c>
      <c r="O5" t="s">
        <v>1172</v>
      </c>
      <c r="P5" s="301">
        <v>1.1610000000000001E-5</v>
      </c>
      <c r="R5" s="295" t="s">
        <v>1309</v>
      </c>
      <c r="S5" s="298">
        <v>46377.440000000002</v>
      </c>
      <c r="T5" s="297">
        <f>S5*(1-27.5%)</f>
        <v>33623.644</v>
      </c>
      <c r="V5" s="295"/>
      <c r="W5" s="295" t="s">
        <v>1588</v>
      </c>
      <c r="X5" s="295" t="s">
        <v>1589</v>
      </c>
      <c r="Y5" s="295" t="s">
        <v>21</v>
      </c>
    </row>
    <row r="6" spans="2:27" ht="15.75" thickBot="1">
      <c r="B6" s="228" t="s">
        <v>1555</v>
      </c>
      <c r="C6" s="91">
        <v>250</v>
      </c>
      <c r="D6" s="95">
        <v>0</v>
      </c>
      <c r="E6" s="72"/>
      <c r="F6" s="232"/>
      <c r="H6" s="111"/>
      <c r="I6" s="111"/>
      <c r="J6" s="111"/>
      <c r="L6" s="305" t="s">
        <v>65</v>
      </c>
      <c r="M6" s="306">
        <v>0</v>
      </c>
      <c r="O6" t="s">
        <v>1173</v>
      </c>
      <c r="P6" s="300">
        <f>P4*P5</f>
        <v>5.4218700000000005E-3</v>
      </c>
      <c r="R6" s="215" t="s">
        <v>45</v>
      </c>
      <c r="S6" s="265"/>
      <c r="T6" s="215">
        <f>SUM(T4:T5)</f>
        <v>44161.598750000005</v>
      </c>
      <c r="V6" s="295" t="s">
        <v>1126</v>
      </c>
      <c r="W6" s="332">
        <v>40885</v>
      </c>
      <c r="X6" s="333">
        <f ca="1">TODAY()</f>
        <v>42744</v>
      </c>
      <c r="Y6" s="295">
        <f ca="1">((YEAR(W6)-YEAR(X6))*12+MONTH(W6)-MONTH(X6))*-1</f>
        <v>61</v>
      </c>
    </row>
    <row r="7" spans="2:27" ht="16.5" thickTop="1" thickBot="1">
      <c r="B7" s="228" t="s">
        <v>927</v>
      </c>
      <c r="C7" s="91">
        <v>0</v>
      </c>
      <c r="D7" s="95">
        <f>Tabela134567[[#This Row],[Colunas2]]</f>
        <v>0</v>
      </c>
      <c r="E7" s="72"/>
      <c r="F7" s="232"/>
      <c r="H7" s="111"/>
      <c r="I7" s="111"/>
      <c r="J7" s="83"/>
      <c r="L7" s="305" t="s">
        <v>1614</v>
      </c>
      <c r="M7" s="306">
        <v>0</v>
      </c>
      <c r="O7" s="328" t="s">
        <v>1174</v>
      </c>
      <c r="P7" s="329">
        <f>P3*P6</f>
        <v>9.3581476200000004</v>
      </c>
      <c r="V7" s="295" t="s">
        <v>1590</v>
      </c>
      <c r="W7" s="332">
        <v>41578</v>
      </c>
      <c r="X7" s="333">
        <f ca="1">TODAY()</f>
        <v>42744</v>
      </c>
      <c r="Y7" s="295">
        <f ca="1">((YEAR(W7)-YEAR(X7))*12+MONTH(W7)-MONTH(X7))*-1</f>
        <v>39</v>
      </c>
    </row>
    <row r="8" spans="2:27" ht="15.75" thickTop="1">
      <c r="B8" s="228" t="s">
        <v>1606</v>
      </c>
      <c r="C8" s="91">
        <v>55</v>
      </c>
      <c r="D8" s="95">
        <v>0</v>
      </c>
      <c r="E8" s="72"/>
      <c r="F8" s="232"/>
      <c r="H8" s="111"/>
      <c r="I8" s="111"/>
      <c r="J8" s="111"/>
      <c r="L8" s="307" t="s">
        <v>1448</v>
      </c>
      <c r="M8" s="308">
        <v>0</v>
      </c>
      <c r="R8" s="596" t="s">
        <v>1560</v>
      </c>
      <c r="S8" s="596"/>
    </row>
    <row r="9" spans="2:27" ht="15.75" thickBot="1">
      <c r="B9" s="228" t="s">
        <v>1239</v>
      </c>
      <c r="C9" s="91">
        <v>75</v>
      </c>
      <c r="D9" s="95">
        <v>0</v>
      </c>
      <c r="E9" s="72"/>
      <c r="F9" s="232"/>
      <c r="H9" s="111"/>
      <c r="I9" s="111"/>
      <c r="J9" s="83"/>
      <c r="L9" s="328" t="s">
        <v>1449</v>
      </c>
      <c r="M9" s="329">
        <f>SUM(M4:M8)</f>
        <v>36.299999999999997</v>
      </c>
      <c r="Q9" s="219"/>
      <c r="R9" s="295" t="s">
        <v>1561</v>
      </c>
      <c r="S9" s="309">
        <v>11.94</v>
      </c>
      <c r="V9" s="589" t="s">
        <v>117</v>
      </c>
      <c r="W9" s="589"/>
      <c r="X9" s="589"/>
      <c r="Z9" s="589" t="s">
        <v>1625</v>
      </c>
      <c r="AA9" s="589"/>
    </row>
    <row r="10" spans="2:27" ht="14.25" customHeight="1" thickTop="1">
      <c r="B10" s="228" t="s">
        <v>5</v>
      </c>
      <c r="C10" s="91">
        <v>14109.05</v>
      </c>
      <c r="D10" s="95">
        <v>0</v>
      </c>
      <c r="E10" s="72"/>
      <c r="F10" s="232"/>
      <c r="H10" s="111"/>
      <c r="I10" s="111"/>
      <c r="J10" s="111"/>
      <c r="R10" s="295" t="s">
        <v>1562</v>
      </c>
      <c r="S10" s="295">
        <v>40</v>
      </c>
      <c r="V10" s="591" t="s">
        <v>1593</v>
      </c>
      <c r="W10" s="591"/>
      <c r="X10" s="298">
        <f>AA10*AA12</f>
        <v>1675.5059999999999</v>
      </c>
      <c r="Z10" s="341" t="s">
        <v>1618</v>
      </c>
      <c r="AA10" s="342">
        <v>0.82</v>
      </c>
    </row>
    <row r="11" spans="2:27">
      <c r="B11" s="229" t="s">
        <v>122</v>
      </c>
      <c r="C11" s="96">
        <v>-141.82</v>
      </c>
      <c r="D11" s="63">
        <v>0</v>
      </c>
      <c r="E11" s="64"/>
      <c r="F11" s="233" t="s">
        <v>58</v>
      </c>
      <c r="H11" s="111"/>
      <c r="I11" s="111"/>
      <c r="J11" s="83"/>
      <c r="R11" s="295" t="s">
        <v>45</v>
      </c>
      <c r="S11" s="310">
        <f>S9*S10</f>
        <v>477.59999999999997</v>
      </c>
      <c r="V11" s="591" t="s">
        <v>1617</v>
      </c>
      <c r="W11" s="591"/>
      <c r="X11" s="298">
        <f>AA11*AA12</f>
        <v>367.79399999999998</v>
      </c>
      <c r="Z11" s="341" t="s">
        <v>1619</v>
      </c>
      <c r="AA11" s="342">
        <v>0.18</v>
      </c>
    </row>
    <row r="12" spans="2:27">
      <c r="B12" s="242" t="s">
        <v>1446</v>
      </c>
      <c r="C12" s="243">
        <v>-55</v>
      </c>
      <c r="D12" s="63">
        <v>0</v>
      </c>
      <c r="E12" s="64"/>
      <c r="F12" s="233" t="s">
        <v>58</v>
      </c>
      <c r="H12" s="111"/>
      <c r="I12" s="111"/>
      <c r="J12" s="111"/>
      <c r="R12" s="295" t="s">
        <v>1033</v>
      </c>
      <c r="S12" s="309">
        <v>3.52</v>
      </c>
      <c r="V12" s="591" t="s">
        <v>1594</v>
      </c>
      <c r="W12" s="591"/>
      <c r="X12" s="298">
        <f>AA10*AA13</f>
        <v>1843.0319999999999</v>
      </c>
      <c r="Z12" s="295">
        <v>2015</v>
      </c>
      <c r="AA12" s="297">
        <v>2043.3</v>
      </c>
    </row>
    <row r="13" spans="2:27">
      <c r="B13" s="242" t="s">
        <v>1447</v>
      </c>
      <c r="C13" s="243">
        <v>-155</v>
      </c>
      <c r="D13" s="63">
        <v>0</v>
      </c>
      <c r="E13" s="64"/>
      <c r="F13" s="233" t="s">
        <v>58</v>
      </c>
      <c r="H13" s="111"/>
      <c r="I13" s="111"/>
      <c r="J13" s="83"/>
      <c r="R13" s="311" t="s">
        <v>1563</v>
      </c>
      <c r="S13" s="312">
        <v>0.15</v>
      </c>
      <c r="V13" s="591" t="s">
        <v>1595</v>
      </c>
      <c r="W13" s="591"/>
      <c r="X13" s="298">
        <f>AA11*AA13</f>
        <v>404.56799999999998</v>
      </c>
      <c r="Z13" s="295">
        <v>2016</v>
      </c>
      <c r="AA13" s="297">
        <v>2247.6</v>
      </c>
    </row>
    <row r="14" spans="2:27" ht="15.75" thickBot="1">
      <c r="B14" s="229" t="s">
        <v>1597</v>
      </c>
      <c r="C14" s="96">
        <v>-60</v>
      </c>
      <c r="D14" s="63">
        <v>0</v>
      </c>
      <c r="E14" s="64"/>
      <c r="F14" s="233" t="s">
        <v>58</v>
      </c>
      <c r="H14" s="111"/>
      <c r="I14" s="111"/>
      <c r="J14" s="111"/>
      <c r="R14" s="328" t="s">
        <v>45</v>
      </c>
      <c r="S14" s="329">
        <f>(S11*S12)*(1-S13)</f>
        <v>1428.9791999999998</v>
      </c>
    </row>
    <row r="15" spans="2:27" ht="13.5" thickTop="1">
      <c r="B15" s="242" t="s">
        <v>1609</v>
      </c>
      <c r="C15" s="243">
        <v>-35</v>
      </c>
      <c r="D15" s="63">
        <v>0</v>
      </c>
      <c r="E15" s="64"/>
      <c r="F15" s="233" t="s">
        <v>58</v>
      </c>
      <c r="H15" s="111"/>
      <c r="I15" s="111"/>
      <c r="J15" s="83"/>
      <c r="V15" s="589">
        <v>2015</v>
      </c>
      <c r="W15" s="589"/>
      <c r="X15" s="589"/>
    </row>
    <row r="16" spans="2:27" ht="15">
      <c r="B16" s="229" t="s">
        <v>1339</v>
      </c>
      <c r="C16" s="96">
        <v>-866.64</v>
      </c>
      <c r="D16" s="63">
        <v>0</v>
      </c>
      <c r="E16" s="64"/>
      <c r="F16" s="233" t="s">
        <v>58</v>
      </c>
      <c r="H16" s="111"/>
      <c r="I16" s="111"/>
      <c r="J16" s="111"/>
      <c r="R16" s="600" t="s">
        <v>1564</v>
      </c>
      <c r="S16" s="601"/>
      <c r="V16" s="591" t="s">
        <v>1622</v>
      </c>
      <c r="W16" s="591"/>
      <c r="X16" s="297">
        <f>X10/12</f>
        <v>139.62549999999999</v>
      </c>
    </row>
    <row r="17" spans="2:24">
      <c r="B17" s="242" t="s">
        <v>1415</v>
      </c>
      <c r="C17" s="243">
        <v>-1353.61</v>
      </c>
      <c r="D17" s="63">
        <v>0</v>
      </c>
      <c r="E17" s="64"/>
      <c r="F17" s="233" t="s">
        <v>58</v>
      </c>
      <c r="H17" s="111"/>
      <c r="I17" s="111"/>
      <c r="J17" s="83"/>
      <c r="O17" s="193"/>
      <c r="R17" s="295" t="s">
        <v>1578</v>
      </c>
      <c r="S17" s="320">
        <v>75676.479999999996</v>
      </c>
      <c r="V17" s="591" t="s">
        <v>1620</v>
      </c>
      <c r="W17" s="591"/>
      <c r="X17" s="295">
        <v>8</v>
      </c>
    </row>
    <row r="18" spans="2:24">
      <c r="B18" s="229" t="s">
        <v>586</v>
      </c>
      <c r="C18" s="96">
        <v>-199.78</v>
      </c>
      <c r="D18" s="63">
        <v>0</v>
      </c>
      <c r="E18" s="64"/>
      <c r="F18" s="233" t="s">
        <v>58</v>
      </c>
      <c r="G18" s="143"/>
      <c r="H18" s="111"/>
      <c r="I18" s="111"/>
      <c r="J18" s="111"/>
      <c r="O18" s="193"/>
      <c r="R18" s="295" t="s">
        <v>1579</v>
      </c>
      <c r="S18" s="321">
        <f>13074.86*0.4</f>
        <v>5229.9440000000004</v>
      </c>
      <c r="V18" s="591" t="s">
        <v>1621</v>
      </c>
      <c r="W18" s="591"/>
      <c r="X18" s="295">
        <v>2</v>
      </c>
    </row>
    <row r="19" spans="2:24">
      <c r="B19" s="229" t="s">
        <v>1397</v>
      </c>
      <c r="C19" s="96">
        <v>-4.59</v>
      </c>
      <c r="D19" s="63">
        <v>0</v>
      </c>
      <c r="E19" s="64"/>
      <c r="F19" s="233" t="s">
        <v>58</v>
      </c>
      <c r="H19" s="111"/>
      <c r="I19" s="111"/>
      <c r="J19" s="83"/>
      <c r="O19" s="193"/>
    </row>
    <row r="20" spans="2:24" ht="15">
      <c r="B20" s="229" t="s">
        <v>1419</v>
      </c>
      <c r="C20" s="243">
        <v>-120</v>
      </c>
      <c r="D20" s="63">
        <v>0</v>
      </c>
      <c r="E20" s="64"/>
      <c r="F20" s="233" t="s">
        <v>58</v>
      </c>
      <c r="H20" s="111"/>
      <c r="I20" s="111"/>
      <c r="J20" s="111"/>
      <c r="O20" s="193"/>
      <c r="R20" s="599" t="s">
        <v>1574</v>
      </c>
      <c r="S20" s="599"/>
      <c r="T20" s="599"/>
      <c r="V20" s="589">
        <v>2016</v>
      </c>
      <c r="W20" s="589"/>
      <c r="X20" s="589"/>
    </row>
    <row r="21" spans="2:24" ht="15.75" thickBot="1">
      <c r="B21" s="229" t="s">
        <v>1098</v>
      </c>
      <c r="C21" s="96">
        <v>-207.07</v>
      </c>
      <c r="D21" s="63">
        <v>0</v>
      </c>
      <c r="E21" s="64"/>
      <c r="F21" s="233" t="s">
        <v>58</v>
      </c>
      <c r="H21" s="328"/>
      <c r="I21" s="328"/>
      <c r="J21" s="329" t="s">
        <v>1031</v>
      </c>
      <c r="R21" t="s">
        <v>1575</v>
      </c>
      <c r="S21" s="193">
        <v>18767.79</v>
      </c>
      <c r="T21" s="77">
        <v>8.5000000000000006E-2</v>
      </c>
      <c r="V21" s="591" t="s">
        <v>1623</v>
      </c>
      <c r="W21" s="591"/>
      <c r="X21" s="193">
        <f>X13/10</f>
        <v>40.456800000000001</v>
      </c>
    </row>
    <row r="22" spans="2:24" ht="13.5" thickTop="1">
      <c r="B22" s="229" t="s">
        <v>65</v>
      </c>
      <c r="C22" s="96">
        <v>-600</v>
      </c>
      <c r="D22" s="63">
        <v>0</v>
      </c>
      <c r="E22" s="64"/>
      <c r="F22" s="233" t="s">
        <v>58</v>
      </c>
      <c r="R22" t="s">
        <v>1576</v>
      </c>
      <c r="S22" s="193">
        <v>19143.14</v>
      </c>
      <c r="T22" s="77">
        <v>2.1700000000000001E-2</v>
      </c>
      <c r="V22" s="591" t="s">
        <v>1624</v>
      </c>
      <c r="W22" s="591"/>
      <c r="X22" s="295">
        <v>3</v>
      </c>
    </row>
    <row r="23" spans="2:24">
      <c r="B23" s="229" t="s">
        <v>1069</v>
      </c>
      <c r="C23" s="96">
        <v>-980.08</v>
      </c>
      <c r="D23" s="63">
        <v>0</v>
      </c>
      <c r="E23" s="64"/>
      <c r="F23" s="233" t="s">
        <v>58</v>
      </c>
      <c r="H23" s="199"/>
      <c r="I23" s="199"/>
      <c r="S23" s="193"/>
      <c r="V23" s="591" t="s">
        <v>1621</v>
      </c>
      <c r="W23" s="591"/>
      <c r="X23" s="295">
        <v>7</v>
      </c>
    </row>
    <row r="24" spans="2:24" ht="18">
      <c r="B24" s="229" t="s">
        <v>1242</v>
      </c>
      <c r="C24" s="96">
        <v>-650</v>
      </c>
      <c r="D24" s="63">
        <v>0</v>
      </c>
      <c r="E24" s="64"/>
      <c r="F24" s="233" t="s">
        <v>58</v>
      </c>
      <c r="H24" s="211"/>
      <c r="I24" s="211"/>
      <c r="R24" s="295" t="s">
        <v>102</v>
      </c>
      <c r="S24" s="318" t="e">
        <f>#REF!</f>
        <v>#REF!</v>
      </c>
      <c r="T24" t="s">
        <v>1586</v>
      </c>
    </row>
    <row r="25" spans="2:24" ht="15.75" thickBot="1">
      <c r="B25" s="229" t="s">
        <v>1266</v>
      </c>
      <c r="C25" s="96">
        <v>-1535.07</v>
      </c>
      <c r="D25" s="63">
        <v>0</v>
      </c>
      <c r="E25" s="64"/>
      <c r="F25" s="233" t="s">
        <v>58</v>
      </c>
      <c r="R25" s="295" t="s">
        <v>1565</v>
      </c>
      <c r="S25" s="319">
        <v>0</v>
      </c>
      <c r="V25" s="590" t="s">
        <v>1626</v>
      </c>
      <c r="W25" s="590"/>
      <c r="X25" s="590"/>
    </row>
    <row r="26" spans="2:24" ht="13.5" thickTop="1">
      <c r="B26" s="229" t="s">
        <v>1445</v>
      </c>
      <c r="C26" s="243">
        <v>-199</v>
      </c>
      <c r="D26" s="63">
        <v>0</v>
      </c>
      <c r="E26" s="64"/>
      <c r="F26" s="233" t="s">
        <v>58</v>
      </c>
      <c r="H26" s="199"/>
      <c r="I26" s="199"/>
      <c r="R26" s="295" t="s">
        <v>1566</v>
      </c>
      <c r="S26" s="296">
        <f>S21*1/3</f>
        <v>6255.93</v>
      </c>
      <c r="V26" s="591">
        <v>2015</v>
      </c>
      <c r="W26" s="591"/>
      <c r="X26" s="297">
        <f>2*232.05</f>
        <v>464.1</v>
      </c>
    </row>
    <row r="27" spans="2:24">
      <c r="B27" s="229" t="s">
        <v>103</v>
      </c>
      <c r="C27" s="96">
        <v>-2895.17</v>
      </c>
      <c r="D27" s="63">
        <v>0</v>
      </c>
      <c r="E27" s="64"/>
      <c r="F27" s="233" t="s">
        <v>58</v>
      </c>
      <c r="R27" s="295" t="s">
        <v>1567</v>
      </c>
      <c r="S27" s="296">
        <v>0</v>
      </c>
      <c r="V27" s="591">
        <v>2016</v>
      </c>
      <c r="W27" s="591"/>
      <c r="X27" s="297">
        <v>2135.2199999999998</v>
      </c>
    </row>
    <row r="28" spans="2:24">
      <c r="B28" s="229" t="s">
        <v>125</v>
      </c>
      <c r="C28" s="96">
        <v>-3300</v>
      </c>
      <c r="D28" s="63">
        <v>0</v>
      </c>
      <c r="E28" s="64"/>
      <c r="F28" s="233" t="s">
        <v>58</v>
      </c>
      <c r="H28" s="199"/>
      <c r="I28" s="199"/>
      <c r="R28" s="295" t="s">
        <v>1630</v>
      </c>
      <c r="S28" s="321">
        <f>-X27</f>
        <v>-2135.2199999999998</v>
      </c>
    </row>
    <row r="29" spans="2:24">
      <c r="B29" s="242" t="s">
        <v>755</v>
      </c>
      <c r="C29" s="243">
        <v>1268.08</v>
      </c>
      <c r="D29" s="63">
        <v>0</v>
      </c>
      <c r="E29" s="64"/>
      <c r="F29" s="233" t="s">
        <v>58</v>
      </c>
      <c r="R29" s="295" t="s">
        <v>602</v>
      </c>
      <c r="S29" s="296">
        <v>0</v>
      </c>
      <c r="V29" s="592" t="s">
        <v>1605</v>
      </c>
      <c r="W29" s="592"/>
    </row>
    <row r="30" spans="2:24">
      <c r="B30" s="229" t="s">
        <v>73</v>
      </c>
      <c r="C30" s="96">
        <v>-261</v>
      </c>
      <c r="D30" s="63">
        <v>0</v>
      </c>
      <c r="E30" s="64"/>
      <c r="F30" s="233" t="s">
        <v>58</v>
      </c>
      <c r="R30" s="295" t="s">
        <v>641</v>
      </c>
      <c r="S30" s="296">
        <f>S21/2</f>
        <v>9383.8950000000004</v>
      </c>
      <c r="V30" s="193">
        <v>20000</v>
      </c>
      <c r="W30" s="193">
        <v>1256.8699999999999</v>
      </c>
    </row>
    <row r="31" spans="2:24" ht="15.75" thickBot="1">
      <c r="B31" s="229" t="s">
        <v>1284</v>
      </c>
      <c r="C31" s="96">
        <v>-66.72</v>
      </c>
      <c r="D31" s="63">
        <v>0</v>
      </c>
      <c r="E31" s="64"/>
      <c r="F31" s="233" t="s">
        <v>58</v>
      </c>
      <c r="R31" s="328" t="s">
        <v>1449</v>
      </c>
      <c r="S31" s="329" t="e">
        <f>SUM(S24:S30)</f>
        <v>#REF!</v>
      </c>
      <c r="V31" s="193">
        <v>25000</v>
      </c>
      <c r="W31" s="193">
        <v>1189.6099999999999</v>
      </c>
    </row>
    <row r="32" spans="2:24" ht="18.75" thickTop="1">
      <c r="B32" s="229" t="s">
        <v>102</v>
      </c>
      <c r="C32" s="243">
        <v>-1000</v>
      </c>
      <c r="D32" s="63">
        <v>0</v>
      </c>
      <c r="E32" s="64"/>
      <c r="F32" s="233" t="s">
        <v>58</v>
      </c>
      <c r="G32" s="211"/>
      <c r="V32" s="193">
        <v>40000</v>
      </c>
      <c r="W32" s="193">
        <v>1093.52</v>
      </c>
    </row>
    <row r="33" spans="2:20" ht="15.75">
      <c r="B33" s="242" t="s">
        <v>1353</v>
      </c>
      <c r="C33" s="243">
        <v>-59.9</v>
      </c>
      <c r="D33" s="63">
        <v>0</v>
      </c>
      <c r="E33" s="64"/>
      <c r="F33" s="233" t="s">
        <v>58</v>
      </c>
      <c r="R33" s="315" t="s">
        <v>1568</v>
      </c>
      <c r="S33" s="316">
        <v>55000</v>
      </c>
    </row>
    <row r="34" spans="2:20">
      <c r="B34" s="229" t="s">
        <v>1249</v>
      </c>
      <c r="C34" s="96">
        <v>-769.78</v>
      </c>
      <c r="D34" s="63">
        <v>0</v>
      </c>
      <c r="E34" s="64"/>
      <c r="F34" s="233" t="s">
        <v>58</v>
      </c>
      <c r="R34" t="s">
        <v>1569</v>
      </c>
      <c r="S34" s="303" t="e">
        <f>S31-S33</f>
        <v>#REF!</v>
      </c>
    </row>
    <row r="35" spans="2:20" ht="18">
      <c r="B35" s="74" t="s">
        <v>1580</v>
      </c>
      <c r="C35" s="188"/>
      <c r="D35" s="241">
        <f>SUM(D4:D34)</f>
        <v>-501.29</v>
      </c>
      <c r="E35" s="75"/>
      <c r="F35" s="75"/>
    </row>
    <row r="36" spans="2:20" ht="18">
      <c r="B36" s="249" t="s">
        <v>1581</v>
      </c>
      <c r="C36" s="250"/>
      <c r="D36" s="251">
        <f>I5</f>
        <v>9553.68</v>
      </c>
      <c r="E36" s="252"/>
      <c r="F36" s="252"/>
      <c r="R36" t="s">
        <v>602</v>
      </c>
      <c r="S36" s="303">
        <v>6500</v>
      </c>
    </row>
    <row r="37" spans="2:20" ht="18">
      <c r="B37" s="324" t="s">
        <v>1440</v>
      </c>
      <c r="C37" s="325"/>
      <c r="D37" s="326">
        <f>D35+D36</f>
        <v>9052.39</v>
      </c>
      <c r="E37" s="327"/>
      <c r="F37" s="327"/>
      <c r="R37" t="s">
        <v>429</v>
      </c>
      <c r="S37" s="303">
        <v>6500</v>
      </c>
    </row>
    <row r="38" spans="2:20" ht="18">
      <c r="E38" s="211"/>
      <c r="R38" t="s">
        <v>1570</v>
      </c>
      <c r="S38" s="303">
        <f>(S22-S21)*2</f>
        <v>750.69999999999709</v>
      </c>
    </row>
    <row r="39" spans="2:20" ht="15.75">
      <c r="R39" t="s">
        <v>1571</v>
      </c>
      <c r="S39" s="304">
        <f>S14</f>
        <v>1428.9791999999998</v>
      </c>
      <c r="T39" s="315" t="s">
        <v>1572</v>
      </c>
    </row>
    <row r="40" spans="2:20">
      <c r="R40" t="s">
        <v>1573</v>
      </c>
      <c r="S40" s="304">
        <f>T40*(W31--C17)*-1</f>
        <v>820</v>
      </c>
      <c r="T40" s="317">
        <v>5</v>
      </c>
    </row>
    <row r="41" spans="2:20" ht="15.75" thickBot="1">
      <c r="R41" s="328" t="s">
        <v>1449</v>
      </c>
      <c r="S41" s="329" t="e">
        <f>SUM(S34:S40)</f>
        <v>#REF!</v>
      </c>
    </row>
    <row r="42" spans="2:20" ht="13.5" thickTop="1"/>
  </sheetData>
  <mergeCells count="28">
    <mergeCell ref="V13:W13"/>
    <mergeCell ref="V29:W29"/>
    <mergeCell ref="H2:J2"/>
    <mergeCell ref="L2:M2"/>
    <mergeCell ref="R2:T2"/>
    <mergeCell ref="R8:S8"/>
    <mergeCell ref="O2:P2"/>
    <mergeCell ref="R20:T20"/>
    <mergeCell ref="R16:S16"/>
    <mergeCell ref="V3:W3"/>
    <mergeCell ref="V4:W4"/>
    <mergeCell ref="V2:Y2"/>
    <mergeCell ref="Z9:AA9"/>
    <mergeCell ref="V25:X25"/>
    <mergeCell ref="V26:W26"/>
    <mergeCell ref="V27:W27"/>
    <mergeCell ref="V23:W23"/>
    <mergeCell ref="V11:W11"/>
    <mergeCell ref="V17:W17"/>
    <mergeCell ref="V18:W18"/>
    <mergeCell ref="V15:X15"/>
    <mergeCell ref="V20:X20"/>
    <mergeCell ref="V21:W21"/>
    <mergeCell ref="V22:W22"/>
    <mergeCell ref="V16:W16"/>
    <mergeCell ref="V9:X9"/>
    <mergeCell ref="V10:W10"/>
    <mergeCell ref="V12:W12"/>
  </mergeCells>
  <conditionalFormatting sqref="D4:D10">
    <cfRule type="cellIs" dxfId="84" priority="9"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dimension ref="B1:Q48"/>
  <sheetViews>
    <sheetView zoomScale="75" zoomScaleNormal="75" workbookViewId="0">
      <selection activeCell="N11" sqref="N11:Q11"/>
    </sheetView>
  </sheetViews>
  <sheetFormatPr defaultRowHeight="15"/>
  <cols>
    <col min="1" max="1" width="1" style="266" customWidth="1"/>
    <col min="2" max="2" width="41.140625" style="266" bestFit="1" customWidth="1"/>
    <col min="3" max="3" width="13.5703125" style="266" bestFit="1" customWidth="1"/>
    <col min="4" max="4" width="17.7109375" style="266" bestFit="1" customWidth="1"/>
    <col min="5" max="5" width="16.42578125" style="266" bestFit="1" customWidth="1"/>
    <col min="6" max="13" width="2.140625" style="266" customWidth="1"/>
    <col min="14" max="14" width="13.28515625" style="266" bestFit="1" customWidth="1"/>
    <col min="15" max="15" width="13.570312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6.5" thickTop="1" thickBot="1">
      <c r="B3" s="274" t="s">
        <v>21</v>
      </c>
      <c r="C3" s="275">
        <v>2800</v>
      </c>
      <c r="D3" s="274" t="s">
        <v>1513</v>
      </c>
      <c r="E3" s="274" t="s">
        <v>1513</v>
      </c>
      <c r="N3" s="274" t="s">
        <v>21</v>
      </c>
      <c r="O3" s="275">
        <f>C38</f>
        <v>1120.8500000000001</v>
      </c>
      <c r="P3" s="274" t="s">
        <v>1513</v>
      </c>
      <c r="Q3" s="274" t="s">
        <v>1513</v>
      </c>
    </row>
    <row r="4" spans="2:17" ht="15.75" thickBot="1">
      <c r="B4" s="294" t="s">
        <v>1633</v>
      </c>
      <c r="C4" s="278">
        <v>188</v>
      </c>
      <c r="D4" s="266" t="s">
        <v>1453</v>
      </c>
      <c r="E4" s="269" t="s">
        <v>1455</v>
      </c>
      <c r="N4" s="331" t="s">
        <v>1585</v>
      </c>
      <c r="O4" s="278">
        <v>199</v>
      </c>
      <c r="P4" s="266" t="s">
        <v>17</v>
      </c>
      <c r="Q4" s="269" t="s">
        <v>1454</v>
      </c>
    </row>
    <row r="5" spans="2:17" ht="15.75" thickBot="1">
      <c r="B5" s="293" t="s">
        <v>1634</v>
      </c>
      <c r="C5" s="278">
        <v>132.66</v>
      </c>
      <c r="D5" s="266" t="s">
        <v>17</v>
      </c>
      <c r="E5" s="269" t="s">
        <v>1455</v>
      </c>
      <c r="N5" s="334" t="s">
        <v>1596</v>
      </c>
      <c r="O5" s="278">
        <v>16.88</v>
      </c>
      <c r="P5" s="334" t="s">
        <v>1456</v>
      </c>
      <c r="Q5" s="269" t="s">
        <v>1454</v>
      </c>
    </row>
    <row r="6" spans="2:17" ht="15.75" thickBot="1">
      <c r="B6" s="292" t="s">
        <v>1635</v>
      </c>
      <c r="C6" s="278">
        <v>74.95</v>
      </c>
      <c r="D6" s="266" t="s">
        <v>17</v>
      </c>
      <c r="E6" s="269" t="s">
        <v>1454</v>
      </c>
      <c r="N6" s="334" t="s">
        <v>1598</v>
      </c>
      <c r="O6" s="278">
        <v>10.06</v>
      </c>
      <c r="P6" s="334" t="s">
        <v>1600</v>
      </c>
      <c r="Q6" s="334" t="s">
        <v>1455</v>
      </c>
    </row>
    <row r="7" spans="2:17" ht="15.75" thickBot="1">
      <c r="B7" s="284" t="s">
        <v>1477</v>
      </c>
      <c r="C7" s="278">
        <v>13.23</v>
      </c>
      <c r="D7" s="266" t="s">
        <v>1450</v>
      </c>
      <c r="E7" s="269" t="s">
        <v>1455</v>
      </c>
      <c r="N7" s="334" t="s">
        <v>1599</v>
      </c>
      <c r="O7" s="278">
        <v>22.9</v>
      </c>
      <c r="P7" s="334" t="s">
        <v>1600</v>
      </c>
      <c r="Q7" s="334" t="s">
        <v>1455</v>
      </c>
    </row>
    <row r="8" spans="2:17" ht="15.75" thickBot="1">
      <c r="B8" s="281" t="s">
        <v>1474</v>
      </c>
      <c r="C8" s="278">
        <v>14.96</v>
      </c>
      <c r="D8" s="266" t="s">
        <v>38</v>
      </c>
      <c r="E8" s="269" t="s">
        <v>1455</v>
      </c>
      <c r="N8" s="335" t="s">
        <v>1601</v>
      </c>
      <c r="O8" s="278">
        <v>60</v>
      </c>
      <c r="P8" s="266" t="s">
        <v>17</v>
      </c>
      <c r="Q8" s="334" t="s">
        <v>1455</v>
      </c>
    </row>
    <row r="9" spans="2:17" ht="15.75" thickBot="1">
      <c r="B9" s="279" t="s">
        <v>1474</v>
      </c>
      <c r="C9" s="278">
        <v>28.27</v>
      </c>
      <c r="D9" s="266" t="s">
        <v>38</v>
      </c>
      <c r="E9" s="269" t="s">
        <v>1455</v>
      </c>
      <c r="N9" s="335" t="s">
        <v>1602</v>
      </c>
      <c r="O9" s="278">
        <v>69</v>
      </c>
      <c r="P9" s="266" t="s">
        <v>1458</v>
      </c>
      <c r="Q9" s="269" t="s">
        <v>1455</v>
      </c>
    </row>
    <row r="10" spans="2:17" ht="15.75" thickBot="1">
      <c r="B10" s="281" t="s">
        <v>1474</v>
      </c>
      <c r="C10" s="278">
        <v>35.64</v>
      </c>
      <c r="D10" s="266" t="s">
        <v>38</v>
      </c>
      <c r="E10" s="269" t="s">
        <v>1455</v>
      </c>
      <c r="N10" s="335" t="s">
        <v>1603</v>
      </c>
      <c r="O10" s="278">
        <v>183.92</v>
      </c>
      <c r="P10" s="266" t="s">
        <v>1458</v>
      </c>
      <c r="Q10" s="269" t="s">
        <v>1454</v>
      </c>
    </row>
    <row r="11" spans="2:17" ht="15.75" thickBot="1">
      <c r="B11" s="279" t="s">
        <v>1552</v>
      </c>
      <c r="C11" s="278">
        <v>50.76</v>
      </c>
      <c r="D11" s="266" t="s">
        <v>1450</v>
      </c>
      <c r="E11" s="269" t="s">
        <v>1457</v>
      </c>
      <c r="N11" s="335" t="s">
        <v>1478</v>
      </c>
      <c r="O11" s="278">
        <v>29.04</v>
      </c>
      <c r="P11" s="266" t="s">
        <v>38</v>
      </c>
      <c r="Q11" s="269" t="s">
        <v>1455</v>
      </c>
    </row>
    <row r="12" spans="2:17" ht="15.75" thickBot="1">
      <c r="B12" s="281" t="s">
        <v>1551</v>
      </c>
      <c r="C12" s="278">
        <v>91.91</v>
      </c>
      <c r="D12" s="266" t="s">
        <v>1451</v>
      </c>
      <c r="E12" s="269" t="s">
        <v>1454</v>
      </c>
      <c r="N12" s="336" t="s">
        <v>1467</v>
      </c>
      <c r="O12" s="278">
        <v>61</v>
      </c>
      <c r="P12" s="266" t="s">
        <v>1458</v>
      </c>
      <c r="Q12" s="269" t="s">
        <v>1455</v>
      </c>
    </row>
    <row r="13" spans="2:17" ht="15.75" thickBot="1">
      <c r="B13" s="279" t="s">
        <v>1550</v>
      </c>
      <c r="C13" s="278">
        <v>100.67</v>
      </c>
      <c r="D13" s="266" t="s">
        <v>1458</v>
      </c>
      <c r="E13" s="269" t="s">
        <v>1455</v>
      </c>
      <c r="N13" s="337" t="s">
        <v>1607</v>
      </c>
      <c r="O13" s="278">
        <v>20.88</v>
      </c>
      <c r="P13" s="266" t="s">
        <v>1458</v>
      </c>
      <c r="Q13" s="269" t="s">
        <v>1454</v>
      </c>
    </row>
    <row r="14" spans="2:17" ht="15.75" thickBot="1">
      <c r="B14" s="281" t="s">
        <v>1549</v>
      </c>
      <c r="C14" s="278">
        <v>10.4</v>
      </c>
      <c r="D14" s="266" t="s">
        <v>1456</v>
      </c>
      <c r="E14" s="269" t="s">
        <v>1455</v>
      </c>
      <c r="N14" s="338" t="s">
        <v>1610</v>
      </c>
      <c r="O14" s="278">
        <v>40</v>
      </c>
      <c r="P14" s="266" t="s">
        <v>38</v>
      </c>
      <c r="Q14" s="269" t="s">
        <v>1455</v>
      </c>
    </row>
    <row r="15" spans="2:17" ht="15.75" thickBot="1">
      <c r="B15" s="279" t="s">
        <v>1500</v>
      </c>
      <c r="C15" s="278">
        <v>14.9</v>
      </c>
      <c r="D15" s="266" t="s">
        <v>1456</v>
      </c>
      <c r="E15" s="269" t="s">
        <v>1455</v>
      </c>
      <c r="N15" s="340" t="s">
        <v>1478</v>
      </c>
      <c r="O15" s="278">
        <v>6.06</v>
      </c>
      <c r="P15" s="266" t="s">
        <v>38</v>
      </c>
      <c r="Q15" s="269" t="s">
        <v>1455</v>
      </c>
    </row>
    <row r="16" spans="2:17" ht="15.75" thickBot="1">
      <c r="B16" s="281" t="s">
        <v>1549</v>
      </c>
      <c r="C16" s="278">
        <v>33.979999999999997</v>
      </c>
      <c r="D16" s="266" t="s">
        <v>1458</v>
      </c>
      <c r="E16" s="269" t="s">
        <v>1455</v>
      </c>
      <c r="N16" s="340" t="s">
        <v>1616</v>
      </c>
      <c r="O16" s="278">
        <v>23.7</v>
      </c>
      <c r="P16" s="334" t="s">
        <v>1456</v>
      </c>
      <c r="Q16" s="269" t="s">
        <v>1454</v>
      </c>
    </row>
    <row r="17" spans="2:17" ht="15.75" thickBot="1">
      <c r="B17" s="279" t="s">
        <v>1474</v>
      </c>
      <c r="C17" s="278">
        <v>29.82</v>
      </c>
      <c r="D17" s="266" t="s">
        <v>38</v>
      </c>
      <c r="E17" s="269" t="s">
        <v>1455</v>
      </c>
      <c r="N17" s="343" t="s">
        <v>1627</v>
      </c>
      <c r="O17" s="278">
        <v>12.4</v>
      </c>
      <c r="P17" s="266" t="s">
        <v>1458</v>
      </c>
      <c r="Q17" s="269" t="s">
        <v>1454</v>
      </c>
    </row>
    <row r="18" spans="2:17" ht="15.75" thickBot="1">
      <c r="B18" s="281" t="s">
        <v>1548</v>
      </c>
      <c r="C18" s="278">
        <v>39.799999999999997</v>
      </c>
      <c r="D18" s="266" t="s">
        <v>38</v>
      </c>
      <c r="E18" s="269" t="s">
        <v>1455</v>
      </c>
      <c r="N18" s="343" t="s">
        <v>1628</v>
      </c>
      <c r="O18" s="278">
        <v>11.9</v>
      </c>
      <c r="P18" s="266" t="s">
        <v>1458</v>
      </c>
      <c r="Q18" s="269" t="s">
        <v>1454</v>
      </c>
    </row>
    <row r="19" spans="2:17" ht="15.75" thickBot="1">
      <c r="B19" s="279" t="s">
        <v>1475</v>
      </c>
      <c r="C19" s="278">
        <v>43</v>
      </c>
      <c r="D19" s="266" t="s">
        <v>1458</v>
      </c>
      <c r="E19" s="269" t="s">
        <v>1455</v>
      </c>
      <c r="N19" s="347" t="s">
        <v>1632</v>
      </c>
      <c r="O19" s="278">
        <v>14.9</v>
      </c>
      <c r="P19" s="266" t="s">
        <v>1458</v>
      </c>
      <c r="Q19" s="269" t="s">
        <v>1454</v>
      </c>
    </row>
    <row r="20" spans="2:17" ht="16.5" thickBot="1">
      <c r="B20" s="281" t="s">
        <v>1547</v>
      </c>
      <c r="C20" s="278">
        <v>45.55</v>
      </c>
      <c r="D20" s="266" t="s">
        <v>1451</v>
      </c>
      <c r="E20" s="269" t="s">
        <v>1454</v>
      </c>
      <c r="N20" s="271" t="s">
        <v>1534</v>
      </c>
      <c r="O20" s="272">
        <f>O3-SUM(O4:O19)</f>
        <v>339.21000000000026</v>
      </c>
      <c r="P20" s="271"/>
      <c r="Q20" s="271"/>
    </row>
    <row r="21" spans="2:17" ht="15.75" thickBot="1">
      <c r="B21" s="279" t="s">
        <v>1546</v>
      </c>
      <c r="C21" s="278">
        <v>62.95</v>
      </c>
      <c r="D21" s="266" t="s">
        <v>38</v>
      </c>
      <c r="E21" s="269" t="s">
        <v>1455</v>
      </c>
    </row>
    <row r="22" spans="2:17" ht="15.75" thickBot="1">
      <c r="B22" s="281" t="s">
        <v>1545</v>
      </c>
      <c r="C22" s="278">
        <v>240</v>
      </c>
      <c r="D22" s="266" t="s">
        <v>1450</v>
      </c>
      <c r="E22" s="269" t="s">
        <v>1457</v>
      </c>
    </row>
    <row r="23" spans="2:17" ht="15.75" thickBot="1">
      <c r="B23" s="279" t="s">
        <v>1544</v>
      </c>
      <c r="C23" s="278">
        <v>75.430000000000007</v>
      </c>
      <c r="D23" s="266" t="s">
        <v>1451</v>
      </c>
      <c r="E23" s="269" t="s">
        <v>1455</v>
      </c>
    </row>
    <row r="24" spans="2:17" ht="15.75" thickBot="1">
      <c r="B24" s="285" t="s">
        <v>1482</v>
      </c>
      <c r="C24" s="278">
        <v>150.02000000000001</v>
      </c>
      <c r="D24" s="266" t="s">
        <v>1451</v>
      </c>
      <c r="E24" s="269" t="s">
        <v>1455</v>
      </c>
    </row>
    <row r="25" spans="2:17" ht="15.75" thickBot="1">
      <c r="B25" s="294" t="s">
        <v>1498</v>
      </c>
      <c r="C25" s="278">
        <v>28.72</v>
      </c>
      <c r="D25" s="266" t="s">
        <v>1458</v>
      </c>
      <c r="E25" s="269" t="s">
        <v>1455</v>
      </c>
      <c r="N25" s="590" t="s">
        <v>1629</v>
      </c>
      <c r="O25" s="590"/>
      <c r="P25" s="323">
        <f>SUM(C4:C33)+SUM(O4:O19)</f>
        <v>2504.6899999999996</v>
      </c>
    </row>
    <row r="26" spans="2:17" ht="15.75" thickBot="1">
      <c r="B26" s="293" t="s">
        <v>1476</v>
      </c>
      <c r="C26" s="278">
        <v>5.98</v>
      </c>
      <c r="D26" s="266" t="s">
        <v>1451</v>
      </c>
      <c r="E26" s="269" t="s">
        <v>1454</v>
      </c>
    </row>
    <row r="27" spans="2:17" ht="15.75" thickBot="1">
      <c r="B27" s="292" t="s">
        <v>1556</v>
      </c>
      <c r="C27" s="278">
        <v>28.76</v>
      </c>
      <c r="D27" s="266" t="s">
        <v>1458</v>
      </c>
      <c r="E27" s="269" t="s">
        <v>1455</v>
      </c>
    </row>
    <row r="28" spans="2:17" ht="15.75" thickBot="1">
      <c r="B28" s="293" t="s">
        <v>1498</v>
      </c>
      <c r="C28" s="278">
        <v>30.46</v>
      </c>
      <c r="D28" s="266" t="s">
        <v>1458</v>
      </c>
      <c r="E28" s="269" t="s">
        <v>1455</v>
      </c>
    </row>
    <row r="29" spans="2:17" ht="15.75" thickBot="1">
      <c r="B29" s="292" t="s">
        <v>1582</v>
      </c>
      <c r="C29" s="278">
        <v>82.78</v>
      </c>
      <c r="D29" s="266" t="s">
        <v>1458</v>
      </c>
      <c r="E29" s="269" t="s">
        <v>1455</v>
      </c>
    </row>
    <row r="30" spans="2:17" ht="15.75" thickBot="1">
      <c r="B30" s="293" t="s">
        <v>1583</v>
      </c>
      <c r="C30" s="278">
        <v>12.83</v>
      </c>
      <c r="D30" s="266" t="s">
        <v>1451</v>
      </c>
      <c r="E30" s="269" t="s">
        <v>1455</v>
      </c>
    </row>
    <row r="31" spans="2:17" ht="15.75" thickBot="1">
      <c r="B31" s="292" t="s">
        <v>1482</v>
      </c>
      <c r="C31" s="278">
        <v>16.27</v>
      </c>
      <c r="D31" s="266" t="s">
        <v>1451</v>
      </c>
      <c r="E31" s="269" t="s">
        <v>1455</v>
      </c>
    </row>
    <row r="32" spans="2:17" ht="15.75" thickBot="1">
      <c r="B32" s="292" t="s">
        <v>1587</v>
      </c>
      <c r="C32" s="278">
        <v>10</v>
      </c>
      <c r="D32" s="266" t="s">
        <v>1453</v>
      </c>
      <c r="E32" s="269" t="s">
        <v>1455</v>
      </c>
    </row>
    <row r="33" spans="2:15" ht="15.75" thickBot="1">
      <c r="B33" s="339" t="s">
        <v>1615</v>
      </c>
      <c r="C33" s="278">
        <v>30.35</v>
      </c>
      <c r="D33" s="266" t="s">
        <v>1450</v>
      </c>
      <c r="E33" s="269" t="s">
        <v>1455</v>
      </c>
    </row>
    <row r="34" spans="2:15" ht="15.75" thickBot="1">
      <c r="B34" s="293" t="s">
        <v>1611</v>
      </c>
      <c r="C34" s="278">
        <v>80</v>
      </c>
      <c r="D34" s="266" t="s">
        <v>1456</v>
      </c>
      <c r="E34" s="269" t="s">
        <v>1455</v>
      </c>
      <c r="O34" s="343"/>
    </row>
    <row r="35" spans="2:15" ht="15.75" thickBot="1">
      <c r="B35" s="292" t="s">
        <v>284</v>
      </c>
      <c r="C35" s="278">
        <v>122</v>
      </c>
      <c r="D35" s="266" t="s">
        <v>38</v>
      </c>
      <c r="E35" s="269" t="s">
        <v>1455</v>
      </c>
    </row>
    <row r="36" spans="2:15" ht="15.75" thickBot="1">
      <c r="B36" s="292" t="s">
        <v>1612</v>
      </c>
      <c r="C36" s="278">
        <v>149.71</v>
      </c>
      <c r="D36" s="266" t="s">
        <v>38</v>
      </c>
      <c r="E36" s="269" t="s">
        <v>1454</v>
      </c>
    </row>
    <row r="37" spans="2:15" ht="15.75" thickBot="1">
      <c r="B37" s="288" t="s">
        <v>1608</v>
      </c>
      <c r="C37" s="289">
        <v>0</v>
      </c>
      <c r="D37" s="290" t="s">
        <v>1456</v>
      </c>
      <c r="E37" s="291" t="s">
        <v>1454</v>
      </c>
    </row>
    <row r="38" spans="2:15" ht="16.5" thickBot="1">
      <c r="B38" s="286" t="s">
        <v>1459</v>
      </c>
      <c r="C38" s="287">
        <f>C3-SUM(C7:C37)</f>
        <v>1120.8500000000001</v>
      </c>
      <c r="D38" s="286"/>
      <c r="E38" s="286"/>
    </row>
    <row r="39" spans="2:15" ht="15.75" thickTop="1">
      <c r="B39" s="266" t="s">
        <v>1584</v>
      </c>
      <c r="C39" s="270">
        <f>AVERAGE(C7:C37)</f>
        <v>54.166129032258063</v>
      </c>
    </row>
    <row r="40" spans="2:15">
      <c r="C40" s="270"/>
    </row>
    <row r="41" spans="2:15">
      <c r="D41" s="266" t="s">
        <v>1458</v>
      </c>
      <c r="E41" s="269" t="s">
        <v>1457</v>
      </c>
    </row>
    <row r="42" spans="2:15">
      <c r="D42" s="266" t="s">
        <v>1456</v>
      </c>
      <c r="E42" s="268" t="s">
        <v>1455</v>
      </c>
    </row>
    <row r="43" spans="2:15">
      <c r="D43" s="266" t="s">
        <v>38</v>
      </c>
      <c r="E43" s="267" t="s">
        <v>1454</v>
      </c>
    </row>
    <row r="44" spans="2:15">
      <c r="D44" s="266" t="s">
        <v>1453</v>
      </c>
    </row>
    <row r="45" spans="2:15">
      <c r="D45" s="266" t="s">
        <v>1452</v>
      </c>
    </row>
    <row r="46" spans="2:15">
      <c r="D46" s="266" t="s">
        <v>17</v>
      </c>
    </row>
    <row r="47" spans="2:15">
      <c r="D47" s="266" t="s">
        <v>1451</v>
      </c>
    </row>
    <row r="48" spans="2:15">
      <c r="D48" s="266" t="s">
        <v>1450</v>
      </c>
    </row>
  </sheetData>
  <mergeCells count="3">
    <mergeCell ref="B1:E1"/>
    <mergeCell ref="N1:Q1"/>
    <mergeCell ref="N25:O25"/>
  </mergeCells>
  <conditionalFormatting sqref="Q4:Q19 E4:E37">
    <cfRule type="containsText" dxfId="77" priority="122" stopIfTrue="1" operator="containsText" text="Necessário">
      <formula>NOT(ISERROR(SEARCH("Necessário",E4)))</formula>
    </cfRule>
  </conditionalFormatting>
  <conditionalFormatting sqref="Q4:Q19 E4:E37">
    <cfRule type="containsText" dxfId="76" priority="121" stopIfTrue="1" operator="containsText" text="Frívolo">
      <formula>NOT(ISERROR(SEARCH("Frívolo",E4)))</formula>
    </cfRule>
  </conditionalFormatting>
  <conditionalFormatting sqref="C40">
    <cfRule type="dataBar" priority="120">
      <dataBar>
        <cfvo type="min" val="0"/>
        <cfvo type="max" val="0"/>
        <color rgb="FF638EC6"/>
      </dataBar>
    </cfRule>
  </conditionalFormatting>
  <conditionalFormatting sqref="C39">
    <cfRule type="dataBar" priority="33">
      <dataBar>
        <cfvo type="min" val="0"/>
        <cfvo type="max" val="0"/>
        <color rgb="FF638EC6"/>
      </dataBar>
    </cfRule>
  </conditionalFormatting>
  <dataValidations count="2">
    <dataValidation type="list" allowBlank="1" showInputMessage="1" showErrorMessage="1" sqref="P4 P9:P15 D4:D37 P17:P19">
      <formula1>$D$41:$D$48</formula1>
    </dataValidation>
    <dataValidation type="list" allowBlank="1" showInputMessage="1" showErrorMessage="1" sqref="K5:L6 Q4:Q5 F5:F6 Q9:Q19 E4:E37">
      <formula1>$E$41:$E$43</formula1>
    </dataValidation>
  </dataValidations>
  <pageMargins left="0.511811024" right="0.511811024" top="0.78740157499999996" bottom="0.78740157499999996" header="0.31496062000000002" footer="0.31496062000000002"/>
  <pageSetup paperSize="9" orientation="portrait" r:id="rId1"/>
</worksheet>
</file>

<file path=xl/worksheets/sheet129.xml><?xml version="1.0" encoding="utf-8"?>
<worksheet xmlns="http://schemas.openxmlformats.org/spreadsheetml/2006/main" xmlns:r="http://schemas.openxmlformats.org/officeDocument/2006/relationships">
  <dimension ref="B2:Y41"/>
  <sheetViews>
    <sheetView topLeftCell="A10" zoomScale="85" zoomScaleNormal="85" workbookViewId="0">
      <selection activeCell="C11" activeCellId="1" sqref="C37 C11"/>
    </sheetView>
  </sheetViews>
  <sheetFormatPr defaultColWidth="8.85546875" defaultRowHeight="12.75"/>
  <cols>
    <col min="1" max="1" width="1.42578125" customWidth="1"/>
    <col min="2" max="2" width="27.7109375" customWidth="1"/>
    <col min="3" max="3" width="22.42578125" customWidth="1"/>
    <col min="4" max="4" width="20.28515625" bestFit="1" customWidth="1"/>
    <col min="5" max="5" width="1.28515625" customWidth="1"/>
    <col min="6" max="6" width="11.140625" customWidth="1"/>
    <col min="7" max="7" width="15.28515625" customWidth="1"/>
    <col min="8" max="8" width="11" bestFit="1" customWidth="1"/>
    <col min="9" max="9" width="1.140625" customWidth="1"/>
    <col min="10" max="10" width="13.140625" customWidth="1"/>
    <col min="11" max="11" width="16" bestFit="1" customWidth="1"/>
    <col min="12" max="12" width="0.85546875" customWidth="1"/>
    <col min="13" max="13" width="9.5703125" customWidth="1"/>
    <col min="14" max="14" width="14.140625" bestFit="1" customWidth="1"/>
    <col min="15" max="15" width="0.7109375" customWidth="1"/>
    <col min="16" max="16" width="16.140625" bestFit="1" customWidth="1"/>
    <col min="17" max="17" width="17.28515625" bestFit="1" customWidth="1"/>
    <col min="18" max="18" width="14.85546875" bestFit="1" customWidth="1"/>
    <col min="19" max="19" width="1.5703125" customWidth="1"/>
    <col min="20" max="20" width="13.42578125" bestFit="1" customWidth="1"/>
    <col min="21" max="25" width="12.28515625" bestFit="1" customWidth="1"/>
    <col min="26" max="26" width="9.85546875" customWidth="1"/>
    <col min="27" max="27" width="12.28515625" bestFit="1" customWidth="1"/>
    <col min="29" max="30" width="12.28515625" bestFit="1" customWidth="1"/>
  </cols>
  <sheetData>
    <row r="2" spans="2:25" ht="18">
      <c r="B2" s="236" t="s">
        <v>1401</v>
      </c>
      <c r="C2" s="237" t="s">
        <v>1402</v>
      </c>
      <c r="D2" s="238" t="s">
        <v>1554</v>
      </c>
      <c r="F2" s="593" t="s">
        <v>1557</v>
      </c>
      <c r="G2" s="593"/>
      <c r="H2" s="593"/>
      <c r="J2" s="594" t="s">
        <v>1667</v>
      </c>
      <c r="K2" s="594"/>
      <c r="M2" s="597" t="s">
        <v>1162</v>
      </c>
      <c r="N2" s="598"/>
      <c r="P2" s="595" t="s">
        <v>1558</v>
      </c>
      <c r="Q2" s="595"/>
      <c r="R2" s="595"/>
      <c r="T2" s="602" t="s">
        <v>1073</v>
      </c>
      <c r="U2" s="602"/>
      <c r="V2" s="602"/>
      <c r="W2" s="602"/>
    </row>
    <row r="3" spans="2:25" ht="18">
      <c r="B3" s="227" t="s">
        <v>135</v>
      </c>
      <c r="C3" s="224"/>
      <c r="D3" s="344" t="s">
        <v>0</v>
      </c>
      <c r="F3" s="345" t="s">
        <v>1577</v>
      </c>
      <c r="G3" s="345" t="s">
        <v>1143</v>
      </c>
      <c r="H3" s="345" t="s">
        <v>1631</v>
      </c>
      <c r="J3" s="346" t="s">
        <v>1577</v>
      </c>
      <c r="K3" s="346" t="s">
        <v>1143</v>
      </c>
      <c r="M3" t="s">
        <v>1169</v>
      </c>
      <c r="N3" s="299">
        <v>2527</v>
      </c>
      <c r="P3" s="322" t="s">
        <v>1249</v>
      </c>
      <c r="Q3" s="322" t="s">
        <v>646</v>
      </c>
      <c r="R3" s="322" t="s">
        <v>1559</v>
      </c>
      <c r="T3" s="591" t="s">
        <v>1591</v>
      </c>
      <c r="U3" s="591"/>
      <c r="V3" s="295">
        <v>60</v>
      </c>
      <c r="W3" s="295"/>
    </row>
    <row r="4" spans="2:25" ht="18" customHeight="1">
      <c r="B4" s="228" t="s">
        <v>48</v>
      </c>
      <c r="C4" s="191"/>
      <c r="D4" s="95">
        <v>0</v>
      </c>
      <c r="F4" s="111" t="s">
        <v>1438</v>
      </c>
      <c r="G4" s="111">
        <v>9549.08</v>
      </c>
      <c r="H4" s="83">
        <v>42510</v>
      </c>
      <c r="J4" s="305" t="s">
        <v>1613</v>
      </c>
      <c r="K4" s="306">
        <v>0</v>
      </c>
      <c r="M4" t="s">
        <v>1319</v>
      </c>
      <c r="N4" s="302">
        <v>521</v>
      </c>
      <c r="P4" s="295" t="s">
        <v>1308</v>
      </c>
      <c r="Q4" s="298">
        <v>15993.42</v>
      </c>
      <c r="R4" s="297">
        <f>Q4*(1-27.5%)</f>
        <v>11595.229499999999</v>
      </c>
      <c r="T4" s="591" t="s">
        <v>1592</v>
      </c>
      <c r="U4" s="591"/>
      <c r="V4" s="295">
        <f>V3/12</f>
        <v>5</v>
      </c>
      <c r="W4" s="295"/>
    </row>
    <row r="5" spans="2:25" ht="17.25" customHeight="1">
      <c r="B5" s="228" t="s">
        <v>7</v>
      </c>
      <c r="C5" s="191"/>
      <c r="D5" s="95">
        <v>-75.459999999999994</v>
      </c>
      <c r="F5" s="111" t="s">
        <v>1438</v>
      </c>
      <c r="G5" s="111">
        <v>9553.68</v>
      </c>
      <c r="H5" s="83">
        <v>42513</v>
      </c>
      <c r="J5" s="305" t="s">
        <v>927</v>
      </c>
      <c r="K5" s="306">
        <v>33</v>
      </c>
      <c r="M5" t="s">
        <v>1172</v>
      </c>
      <c r="N5" s="301">
        <v>4.8600000000000001E-6</v>
      </c>
      <c r="P5" s="295" t="s">
        <v>1309</v>
      </c>
      <c r="Q5" s="298">
        <v>47165.26</v>
      </c>
      <c r="R5" s="297">
        <f>Q5*(1-27.5%)</f>
        <v>34194.813500000004</v>
      </c>
      <c r="T5" s="295"/>
      <c r="U5" s="295" t="s">
        <v>1588</v>
      </c>
      <c r="V5" s="295" t="s">
        <v>1589</v>
      </c>
      <c r="W5" s="295" t="s">
        <v>21</v>
      </c>
    </row>
    <row r="6" spans="2:25" ht="15.75" thickBot="1">
      <c r="B6" s="228" t="s">
        <v>927</v>
      </c>
      <c r="C6" s="91">
        <v>33.299999999999997</v>
      </c>
      <c r="D6" s="95">
        <v>0</v>
      </c>
      <c r="F6" s="111" t="s">
        <v>1438</v>
      </c>
      <c r="G6" s="111">
        <v>9557.91</v>
      </c>
      <c r="H6" s="83">
        <v>42514</v>
      </c>
      <c r="J6" s="305" t="s">
        <v>65</v>
      </c>
      <c r="K6" s="306">
        <v>250</v>
      </c>
      <c r="M6" t="s">
        <v>1173</v>
      </c>
      <c r="N6" s="300">
        <f>N4*N5</f>
        <v>2.53206E-3</v>
      </c>
      <c r="P6" s="215" t="s">
        <v>45</v>
      </c>
      <c r="Q6" s="329">
        <f>SUM(Q4:Q5)</f>
        <v>63158.68</v>
      </c>
      <c r="R6" s="215">
        <f>SUM(R4:R5)</f>
        <v>45790.043000000005</v>
      </c>
      <c r="T6" s="295" t="s">
        <v>1126</v>
      </c>
      <c r="U6" s="332">
        <v>40885</v>
      </c>
      <c r="V6" s="333">
        <f ca="1">TODAY()</f>
        <v>42744</v>
      </c>
      <c r="W6" s="295">
        <f ca="1">((YEAR(U6)-YEAR(V6))*12+MONTH(U6)-MONTH(V6))*-1</f>
        <v>61</v>
      </c>
    </row>
    <row r="7" spans="2:25" ht="16.5" thickTop="1" thickBot="1">
      <c r="B7" s="228" t="s">
        <v>5</v>
      </c>
      <c r="C7" s="91">
        <v>14066.98</v>
      </c>
      <c r="D7" s="95">
        <v>0</v>
      </c>
      <c r="F7" s="111" t="s">
        <v>1438</v>
      </c>
      <c r="G7" s="111">
        <v>9562.09</v>
      </c>
      <c r="H7" s="83">
        <v>42515</v>
      </c>
      <c r="J7" s="305" t="s">
        <v>1614</v>
      </c>
      <c r="K7" s="306">
        <v>0</v>
      </c>
      <c r="M7" s="328" t="s">
        <v>1174</v>
      </c>
      <c r="N7" s="329">
        <f>N3*N6</f>
        <v>6.3985156200000004</v>
      </c>
      <c r="T7" s="295" t="s">
        <v>1590</v>
      </c>
      <c r="U7" s="332">
        <v>41578</v>
      </c>
      <c r="V7" s="333">
        <f ca="1">TODAY()</f>
        <v>42744</v>
      </c>
      <c r="W7" s="295">
        <f ca="1">((YEAR(U7)-YEAR(V7))*12+MONTH(U7)-MONTH(V7))*-1</f>
        <v>39</v>
      </c>
    </row>
    <row r="8" spans="2:25" ht="15.75" thickTop="1">
      <c r="B8" s="228" t="s">
        <v>1643</v>
      </c>
      <c r="C8" s="91">
        <v>400</v>
      </c>
      <c r="D8" s="95">
        <v>0</v>
      </c>
      <c r="F8" s="111" t="s">
        <v>1438</v>
      </c>
      <c r="G8" s="111">
        <v>11366.28</v>
      </c>
      <c r="H8" s="83">
        <v>42517</v>
      </c>
      <c r="J8" s="307" t="s">
        <v>1448</v>
      </c>
      <c r="K8" s="308">
        <v>0</v>
      </c>
      <c r="P8" s="596" t="s">
        <v>1560</v>
      </c>
      <c r="Q8" s="596"/>
    </row>
    <row r="9" spans="2:25" ht="15.75" thickBot="1">
      <c r="B9" s="228" t="s">
        <v>298</v>
      </c>
      <c r="C9" s="91">
        <v>80</v>
      </c>
      <c r="D9" s="95">
        <v>0</v>
      </c>
      <c r="F9" s="111" t="s">
        <v>1438</v>
      </c>
      <c r="G9" s="111">
        <v>11370.34</v>
      </c>
      <c r="H9" s="83">
        <v>42520</v>
      </c>
      <c r="J9" s="328" t="s">
        <v>1449</v>
      </c>
      <c r="K9" s="329">
        <f>SUM(K4:K8)</f>
        <v>283</v>
      </c>
      <c r="O9" s="219"/>
      <c r="P9" s="295" t="s">
        <v>1561</v>
      </c>
      <c r="Q9" s="309">
        <v>12.21</v>
      </c>
      <c r="T9" s="592" t="s">
        <v>1605</v>
      </c>
      <c r="U9" s="592"/>
      <c r="V9" s="368">
        <v>42531</v>
      </c>
      <c r="W9" s="368">
        <v>42534</v>
      </c>
      <c r="X9" s="368">
        <v>42536</v>
      </c>
      <c r="Y9" s="368">
        <v>42543</v>
      </c>
    </row>
    <row r="10" spans="2:25" ht="14.25" customHeight="1" thickTop="1">
      <c r="B10" s="228" t="s">
        <v>1636</v>
      </c>
      <c r="C10" s="91">
        <v>250</v>
      </c>
      <c r="D10" s="95">
        <v>0</v>
      </c>
      <c r="F10" s="111" t="s">
        <v>1438</v>
      </c>
      <c r="G10" s="111">
        <v>11374.55</v>
      </c>
      <c r="H10" s="348">
        <v>42521</v>
      </c>
      <c r="P10" s="295" t="s">
        <v>1562</v>
      </c>
      <c r="Q10" s="295">
        <v>40</v>
      </c>
      <c r="T10" s="193">
        <v>20000</v>
      </c>
      <c r="U10" s="193">
        <v>1119.81</v>
      </c>
      <c r="V10" s="193">
        <v>1168.17</v>
      </c>
      <c r="W10" s="219">
        <v>1196.06</v>
      </c>
      <c r="X10" s="219">
        <v>1207.25</v>
      </c>
      <c r="Y10" s="219">
        <v>1246.0999999999999</v>
      </c>
    </row>
    <row r="11" spans="2:25">
      <c r="B11" s="228" t="s">
        <v>755</v>
      </c>
      <c r="C11" s="91">
        <v>1486.21</v>
      </c>
      <c r="D11" s="95">
        <v>0</v>
      </c>
      <c r="F11" s="111" t="s">
        <v>1438</v>
      </c>
      <c r="G11" s="111">
        <v>11378.78</v>
      </c>
      <c r="H11" s="348">
        <v>42522</v>
      </c>
      <c r="P11" s="295" t="s">
        <v>45</v>
      </c>
      <c r="Q11" s="310">
        <f>Q9*Q10</f>
        <v>488.40000000000003</v>
      </c>
      <c r="T11" s="193">
        <v>25000</v>
      </c>
      <c r="U11" s="193">
        <v>1063.0999999999999</v>
      </c>
      <c r="V11" s="193">
        <v>1122.3900000000001</v>
      </c>
      <c r="W11" s="219">
        <v>1157.1099999999999</v>
      </c>
      <c r="X11" s="219">
        <v>1171.04</v>
      </c>
      <c r="Y11" s="219">
        <v>1219.47</v>
      </c>
    </row>
    <row r="12" spans="2:25">
      <c r="B12" s="228" t="s">
        <v>1669</v>
      </c>
      <c r="C12" s="91">
        <v>126.92</v>
      </c>
      <c r="D12" s="95">
        <v>0</v>
      </c>
      <c r="F12" s="111" t="s">
        <v>1438</v>
      </c>
      <c r="G12" s="111">
        <v>11382.81</v>
      </c>
      <c r="H12" s="348">
        <v>42523</v>
      </c>
      <c r="P12" s="295" t="s">
        <v>1033</v>
      </c>
      <c r="Q12" s="309">
        <v>3.53</v>
      </c>
      <c r="T12" s="193">
        <v>30000</v>
      </c>
      <c r="U12" s="193">
        <v>1006.38</v>
      </c>
      <c r="V12" s="193">
        <v>1076.5999999999999</v>
      </c>
      <c r="W12" s="219">
        <v>1118.17</v>
      </c>
      <c r="X12" s="219">
        <v>1134.83</v>
      </c>
      <c r="Y12" s="219">
        <v>1192.82</v>
      </c>
    </row>
    <row r="13" spans="2:25">
      <c r="B13" s="228" t="s">
        <v>1604</v>
      </c>
      <c r="C13" s="91">
        <v>350</v>
      </c>
      <c r="D13" s="95">
        <v>0</v>
      </c>
      <c r="F13" s="111" t="s">
        <v>1438</v>
      </c>
      <c r="G13" s="111">
        <v>11390.08</v>
      </c>
      <c r="H13" s="348">
        <v>42524</v>
      </c>
      <c r="P13" s="311" t="s">
        <v>1563</v>
      </c>
      <c r="Q13" s="312">
        <v>0.12</v>
      </c>
      <c r="T13" s="193">
        <v>35000</v>
      </c>
      <c r="U13" s="193">
        <v>949.68</v>
      </c>
      <c r="V13" t="s">
        <v>596</v>
      </c>
      <c r="W13" t="s">
        <v>596</v>
      </c>
      <c r="X13" t="s">
        <v>596</v>
      </c>
      <c r="Y13" t="s">
        <v>596</v>
      </c>
    </row>
    <row r="14" spans="2:25" ht="15.75" thickBot="1">
      <c r="B14" s="353" t="s">
        <v>1644</v>
      </c>
      <c r="C14" s="354">
        <v>-131.6</v>
      </c>
      <c r="D14" s="63">
        <v>0</v>
      </c>
      <c r="F14" s="111" t="s">
        <v>1438</v>
      </c>
      <c r="G14" s="111">
        <v>11394.69</v>
      </c>
      <c r="H14" s="348">
        <v>42527</v>
      </c>
      <c r="P14" s="328" t="s">
        <v>45</v>
      </c>
      <c r="Q14" s="329">
        <f>(Q11*Q12)*(1-Q13)</f>
        <v>1517.1657600000001</v>
      </c>
      <c r="T14" s="193">
        <v>40000</v>
      </c>
      <c r="U14" s="193">
        <v>892.69</v>
      </c>
      <c r="V14" t="s">
        <v>596</v>
      </c>
      <c r="W14" t="s">
        <v>596</v>
      </c>
      <c r="X14" t="s">
        <v>596</v>
      </c>
      <c r="Y14" t="s">
        <v>596</v>
      </c>
    </row>
    <row r="15" spans="2:25" ht="13.5" thickTop="1">
      <c r="B15" s="369" t="s">
        <v>1670</v>
      </c>
      <c r="C15" s="370">
        <v>-126.92</v>
      </c>
      <c r="D15" s="63">
        <v>0</v>
      </c>
      <c r="F15" s="111" t="s">
        <v>1438</v>
      </c>
      <c r="G15" s="111">
        <v>11399.06</v>
      </c>
      <c r="H15" s="348">
        <v>42528</v>
      </c>
    </row>
    <row r="16" spans="2:25" ht="15">
      <c r="B16" s="353" t="s">
        <v>1646</v>
      </c>
      <c r="C16" s="354">
        <v>54.5</v>
      </c>
      <c r="D16" s="63">
        <v>0</v>
      </c>
      <c r="F16" s="111" t="s">
        <v>1438</v>
      </c>
      <c r="G16" s="111">
        <v>11403.52</v>
      </c>
      <c r="H16" s="348">
        <v>42529</v>
      </c>
      <c r="P16" s="600" t="s">
        <v>1564</v>
      </c>
      <c r="Q16" s="601"/>
    </row>
    <row r="17" spans="2:18">
      <c r="B17" s="229" t="s">
        <v>122</v>
      </c>
      <c r="C17" s="96">
        <v>-227.72</v>
      </c>
      <c r="D17" s="63">
        <v>0</v>
      </c>
      <c r="F17" s="111" t="s">
        <v>1438</v>
      </c>
      <c r="G17" s="111">
        <v>11408.04</v>
      </c>
      <c r="H17" s="348">
        <v>42530</v>
      </c>
      <c r="M17" s="193"/>
      <c r="P17" s="295" t="s">
        <v>1578</v>
      </c>
      <c r="Q17" s="320">
        <v>79773.36</v>
      </c>
    </row>
    <row r="18" spans="2:18">
      <c r="B18" s="364" t="s">
        <v>1666</v>
      </c>
      <c r="C18" s="365">
        <v>-65</v>
      </c>
      <c r="D18" s="63">
        <v>0</v>
      </c>
      <c r="E18" s="143"/>
      <c r="F18" s="111" t="s">
        <v>1438</v>
      </c>
      <c r="G18" s="111">
        <v>11412.56</v>
      </c>
      <c r="H18" s="348">
        <v>42531</v>
      </c>
      <c r="M18" s="193"/>
      <c r="P18" s="295" t="s">
        <v>1579</v>
      </c>
      <c r="Q18" s="321">
        <f>14628.61</f>
        <v>14628.61</v>
      </c>
    </row>
    <row r="19" spans="2:18">
      <c r="B19" s="229" t="s">
        <v>1645</v>
      </c>
      <c r="C19" s="96">
        <v>-70</v>
      </c>
      <c r="D19" s="63">
        <v>0</v>
      </c>
      <c r="F19" s="111" t="s">
        <v>1438</v>
      </c>
      <c r="G19" s="111">
        <v>11417.81</v>
      </c>
      <c r="H19" s="348">
        <v>42534</v>
      </c>
      <c r="M19" s="193"/>
    </row>
    <row r="20" spans="2:18" ht="15">
      <c r="B20" s="229" t="s">
        <v>1339</v>
      </c>
      <c r="C20" s="96">
        <v>-800.27</v>
      </c>
      <c r="D20" s="63">
        <v>0</v>
      </c>
      <c r="F20" s="111" t="s">
        <v>1438</v>
      </c>
      <c r="G20" s="111">
        <v>11422.47</v>
      </c>
      <c r="H20" s="348">
        <v>42535</v>
      </c>
      <c r="M20" s="193"/>
      <c r="P20" s="599" t="s">
        <v>1574</v>
      </c>
      <c r="Q20" s="599"/>
      <c r="R20" s="599"/>
    </row>
    <row r="21" spans="2:18">
      <c r="B21" s="242" t="s">
        <v>1415</v>
      </c>
      <c r="C21" s="243">
        <v>-1352.1</v>
      </c>
      <c r="D21" s="63">
        <v>0</v>
      </c>
      <c r="F21" s="111" t="s">
        <v>1438</v>
      </c>
      <c r="G21" s="111">
        <v>11427.29</v>
      </c>
      <c r="H21" s="348">
        <v>42536</v>
      </c>
      <c r="P21" t="s">
        <v>1575</v>
      </c>
      <c r="Q21" s="193">
        <v>18767.79</v>
      </c>
      <c r="R21" s="77">
        <v>8.5000000000000006E-2</v>
      </c>
    </row>
    <row r="22" spans="2:18">
      <c r="B22" s="229" t="s">
        <v>586</v>
      </c>
      <c r="C22" s="96">
        <v>-199.78</v>
      </c>
      <c r="D22" s="63">
        <v>0</v>
      </c>
      <c r="F22" s="111" t="s">
        <v>1438</v>
      </c>
      <c r="G22" s="111">
        <v>9936.98</v>
      </c>
      <c r="H22" s="348">
        <v>42537</v>
      </c>
      <c r="P22" t="s">
        <v>1576</v>
      </c>
      <c r="Q22" s="193">
        <v>19143.14</v>
      </c>
      <c r="R22" s="77">
        <v>2.1700000000000001E-2</v>
      </c>
    </row>
    <row r="23" spans="2:18">
      <c r="B23" s="229" t="s">
        <v>1397</v>
      </c>
      <c r="C23" s="96">
        <f>-17.1-4.45</f>
        <v>-21.55</v>
      </c>
      <c r="D23" s="63">
        <v>0</v>
      </c>
      <c r="F23" s="111" t="s">
        <v>1438</v>
      </c>
      <c r="G23" s="111">
        <v>9941.26</v>
      </c>
      <c r="H23" s="348">
        <v>42538</v>
      </c>
      <c r="Q23" s="193"/>
    </row>
    <row r="24" spans="2:18">
      <c r="B24" s="361" t="s">
        <v>1660</v>
      </c>
      <c r="C24" s="362">
        <v>-9</v>
      </c>
      <c r="D24" s="63">
        <v>0</v>
      </c>
      <c r="F24" s="111" t="s">
        <v>1438</v>
      </c>
      <c r="G24" s="111">
        <v>9946.59</v>
      </c>
      <c r="H24" s="348">
        <v>42541</v>
      </c>
      <c r="P24" s="295" t="s">
        <v>102</v>
      </c>
      <c r="Q24" s="318" t="e">
        <f>#REF!</f>
        <v>#REF!</v>
      </c>
      <c r="R24" t="s">
        <v>1586</v>
      </c>
    </row>
    <row r="25" spans="2:18">
      <c r="B25" s="229" t="s">
        <v>1419</v>
      </c>
      <c r="C25" s="243">
        <v>-160</v>
      </c>
      <c r="D25" s="63">
        <v>0</v>
      </c>
      <c r="F25" s="111" t="s">
        <v>1438</v>
      </c>
      <c r="G25" s="111">
        <v>9951.1</v>
      </c>
      <c r="H25" s="348">
        <v>42542</v>
      </c>
      <c r="P25" s="295" t="s">
        <v>1565</v>
      </c>
      <c r="Q25" s="319">
        <v>0</v>
      </c>
    </row>
    <row r="26" spans="2:18">
      <c r="B26" s="229" t="s">
        <v>1098</v>
      </c>
      <c r="C26" s="96">
        <v>-152.63</v>
      </c>
      <c r="D26" s="63">
        <v>0</v>
      </c>
      <c r="F26" s="111" t="s">
        <v>1438</v>
      </c>
      <c r="G26" s="111">
        <v>9955.6</v>
      </c>
      <c r="H26" s="348">
        <v>42543</v>
      </c>
      <c r="N26" s="318">
        <v>20995.78</v>
      </c>
      <c r="P26" s="295" t="s">
        <v>1566</v>
      </c>
      <c r="Q26" s="296">
        <f>N26-10000</f>
        <v>10995.779999999999</v>
      </c>
    </row>
    <row r="27" spans="2:18">
      <c r="B27" s="229" t="s">
        <v>65</v>
      </c>
      <c r="C27" s="96">
        <v>-350</v>
      </c>
      <c r="D27" s="63">
        <v>0</v>
      </c>
      <c r="F27" s="111"/>
      <c r="G27" s="111"/>
      <c r="H27" s="348"/>
      <c r="P27" s="295" t="s">
        <v>1567</v>
      </c>
      <c r="Q27" s="296">
        <v>0</v>
      </c>
    </row>
    <row r="28" spans="2:18">
      <c r="B28" s="229" t="s">
        <v>1069</v>
      </c>
      <c r="C28" s="96">
        <v>-980.08</v>
      </c>
      <c r="D28" s="63">
        <v>0</v>
      </c>
      <c r="F28" s="111"/>
      <c r="G28" s="111"/>
      <c r="H28" s="348"/>
      <c r="P28" s="295" t="s">
        <v>1630</v>
      </c>
      <c r="Q28" s="321">
        <v>-2135.2199999999998</v>
      </c>
    </row>
    <row r="29" spans="2:18">
      <c r="B29" s="229" t="s">
        <v>1242</v>
      </c>
      <c r="C29" s="96">
        <v>-650</v>
      </c>
      <c r="D29" s="63">
        <v>0</v>
      </c>
      <c r="F29" s="111"/>
      <c r="G29" s="111"/>
      <c r="H29" s="348"/>
      <c r="P29" s="295" t="s">
        <v>602</v>
      </c>
      <c r="Q29" s="296">
        <v>0</v>
      </c>
    </row>
    <row r="30" spans="2:18">
      <c r="B30" s="229" t="s">
        <v>1266</v>
      </c>
      <c r="C30" s="96">
        <v>-1534.17</v>
      </c>
      <c r="D30" s="63">
        <v>0</v>
      </c>
      <c r="F30" s="111"/>
      <c r="G30" s="111"/>
      <c r="H30" s="348"/>
      <c r="P30" s="295" t="s">
        <v>641</v>
      </c>
      <c r="Q30" s="296">
        <f>Q21/2</f>
        <v>9383.8950000000004</v>
      </c>
    </row>
    <row r="31" spans="2:18" ht="15.75" thickBot="1">
      <c r="B31" s="229" t="s">
        <v>1445</v>
      </c>
      <c r="C31" s="243">
        <v>-781.64</v>
      </c>
      <c r="D31" s="63">
        <v>0</v>
      </c>
      <c r="F31" s="111"/>
      <c r="G31" s="111"/>
      <c r="H31" s="348"/>
      <c r="P31" s="328" t="s">
        <v>1449</v>
      </c>
      <c r="Q31" s="329" t="e">
        <f>SUM(Q24:Q30)</f>
        <v>#REF!</v>
      </c>
    </row>
    <row r="32" spans="2:18" ht="19.5" thickTop="1" thickBot="1">
      <c r="B32" s="364" t="s">
        <v>1662</v>
      </c>
      <c r="C32" s="365">
        <v>-10</v>
      </c>
      <c r="D32" s="63">
        <v>0</v>
      </c>
      <c r="E32" s="211"/>
      <c r="F32" s="215" t="s">
        <v>1031</v>
      </c>
      <c r="G32" s="215">
        <f ca="1">OFFSET(G3,COUNTA(G4:G30),0)+G31</f>
        <v>9955.6</v>
      </c>
      <c r="H32" s="215"/>
    </row>
    <row r="33" spans="2:17" ht="16.5" thickTop="1">
      <c r="B33" s="229" t="s">
        <v>103</v>
      </c>
      <c r="C33" s="96">
        <v>-2074.7600000000002</v>
      </c>
      <c r="D33" s="63">
        <v>0</v>
      </c>
      <c r="F33" t="s">
        <v>1653</v>
      </c>
      <c r="G33" s="193">
        <f ca="1">OFFSET(G3,COUNTA(G4:G31),0)-(G4+1800)+(1500)</f>
        <v>106.52000000000044</v>
      </c>
      <c r="P33" s="315" t="s">
        <v>1568</v>
      </c>
      <c r="Q33" s="316">
        <v>55000</v>
      </c>
    </row>
    <row r="34" spans="2:17">
      <c r="B34" s="229" t="s">
        <v>125</v>
      </c>
      <c r="C34" s="96">
        <v>-3330</v>
      </c>
      <c r="D34" s="63">
        <v>0</v>
      </c>
      <c r="F34" s="199"/>
      <c r="G34" s="199"/>
      <c r="P34" s="295" t="s">
        <v>1569</v>
      </c>
      <c r="Q34" s="319" t="e">
        <f>Q31-Q33</f>
        <v>#REF!</v>
      </c>
    </row>
    <row r="35" spans="2:17" ht="18">
      <c r="B35" s="229" t="s">
        <v>73</v>
      </c>
      <c r="C35" s="96">
        <v>-267.29000000000002</v>
      </c>
      <c r="D35" s="63">
        <v>0</v>
      </c>
      <c r="F35" s="211"/>
      <c r="G35" s="355"/>
      <c r="P35" s="295" t="s">
        <v>1647</v>
      </c>
      <c r="Q35" s="318" t="e">
        <f>#REF!-Q24</f>
        <v>#REF!</v>
      </c>
    </row>
    <row r="36" spans="2:17">
      <c r="B36" s="229" t="s">
        <v>1297</v>
      </c>
      <c r="C36" s="96">
        <v>-68.38</v>
      </c>
      <c r="D36" s="63">
        <v>0</v>
      </c>
      <c r="P36" s="295" t="s">
        <v>602</v>
      </c>
      <c r="Q36" s="319">
        <v>6500</v>
      </c>
    </row>
    <row r="37" spans="2:17">
      <c r="B37" s="229" t="s">
        <v>102</v>
      </c>
      <c r="C37" s="243">
        <v>-1800</v>
      </c>
      <c r="D37" s="63">
        <v>0</v>
      </c>
      <c r="F37" s="199"/>
      <c r="G37" s="199"/>
      <c r="P37" s="295" t="s">
        <v>429</v>
      </c>
      <c r="Q37" s="319">
        <v>6500</v>
      </c>
    </row>
    <row r="38" spans="2:17">
      <c r="B38" s="359" t="s">
        <v>1659</v>
      </c>
      <c r="C38" s="360">
        <v>-9</v>
      </c>
      <c r="D38" s="63">
        <v>0</v>
      </c>
      <c r="P38" s="295" t="s">
        <v>1571</v>
      </c>
      <c r="Q38" s="296">
        <v>0</v>
      </c>
    </row>
    <row r="39" spans="2:17">
      <c r="B39" s="242" t="s">
        <v>1353</v>
      </c>
      <c r="C39" s="243">
        <v>-59.9</v>
      </c>
      <c r="D39" s="63">
        <v>0</v>
      </c>
      <c r="F39" s="199"/>
      <c r="G39" s="199"/>
      <c r="P39" s="295" t="s">
        <v>1573</v>
      </c>
      <c r="Q39" s="296">
        <v>0</v>
      </c>
    </row>
    <row r="40" spans="2:17" ht="15.75" thickBot="1">
      <c r="B40" s="229" t="s">
        <v>1249</v>
      </c>
      <c r="C40" s="96">
        <v>-624.94000000000005</v>
      </c>
      <c r="D40" s="63">
        <v>0</v>
      </c>
      <c r="P40" s="357" t="s">
        <v>1449</v>
      </c>
      <c r="Q40" s="358" t="e">
        <f>SUM(Q34:Q39)</f>
        <v>#REF!</v>
      </c>
    </row>
    <row r="41" spans="2:17" ht="18.75" thickTop="1">
      <c r="B41" s="74" t="s">
        <v>1580</v>
      </c>
      <c r="C41" s="188"/>
      <c r="D41" s="241">
        <f>SUM(D4:D40)</f>
        <v>-75.459999999999994</v>
      </c>
    </row>
  </sheetData>
  <mergeCells count="11">
    <mergeCell ref="T3:U3"/>
    <mergeCell ref="F2:H2"/>
    <mergeCell ref="J2:K2"/>
    <mergeCell ref="M2:N2"/>
    <mergeCell ref="P2:R2"/>
    <mergeCell ref="T2:W2"/>
    <mergeCell ref="T9:U9"/>
    <mergeCell ref="P20:R20"/>
    <mergeCell ref="T4:U4"/>
    <mergeCell ref="P8:Q8"/>
    <mergeCell ref="P16:Q16"/>
  </mergeCells>
  <conditionalFormatting sqref="D4:D13">
    <cfRule type="cellIs" dxfId="75" priority="8"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sheetPr>
    <pageSetUpPr autoPageBreaks="0"/>
  </sheetPr>
  <dimension ref="B2:H26"/>
  <sheetViews>
    <sheetView showGridLines="0" workbookViewId="0">
      <selection activeCell="C26" activeCellId="1" sqref="G13 C26"/>
    </sheetView>
  </sheetViews>
  <sheetFormatPr defaultColWidth="8.85546875" defaultRowHeight="12.75"/>
  <cols>
    <col min="2" max="2" width="21.85546875" customWidth="1"/>
    <col min="3" max="3" width="21.42578125" customWidth="1"/>
    <col min="4" max="4" width="14.140625" customWidth="1"/>
    <col min="7" max="9" width="18" customWidth="1"/>
  </cols>
  <sheetData>
    <row r="2" spans="2:8" ht="18">
      <c r="B2" s="579" t="s">
        <v>0</v>
      </c>
      <c r="C2" s="579"/>
      <c r="D2" s="82" t="s">
        <v>1</v>
      </c>
      <c r="E2" s="82" t="s">
        <v>57</v>
      </c>
    </row>
    <row r="3" spans="2:8">
      <c r="B3" s="71" t="s">
        <v>7</v>
      </c>
      <c r="C3" s="71">
        <v>0.64</v>
      </c>
      <c r="D3" s="72"/>
      <c r="E3" s="72"/>
      <c r="F3" s="78" t="s">
        <v>112</v>
      </c>
      <c r="G3" s="79">
        <v>11166.74</v>
      </c>
      <c r="H3" s="83">
        <v>39118</v>
      </c>
    </row>
    <row r="4" spans="2:8">
      <c r="B4" s="62" t="s">
        <v>11</v>
      </c>
      <c r="C4" s="62">
        <v>-649.94000000000005</v>
      </c>
      <c r="D4" s="61"/>
      <c r="E4" s="61"/>
      <c r="F4" s="78" t="s">
        <v>112</v>
      </c>
      <c r="G4" s="79">
        <v>11171.46</v>
      </c>
      <c r="H4" s="83">
        <v>39120</v>
      </c>
    </row>
    <row r="5" spans="2:8" ht="12" customHeight="1">
      <c r="B5" s="71" t="s">
        <v>56</v>
      </c>
      <c r="C5" s="71">
        <v>2.96</v>
      </c>
      <c r="D5" s="72"/>
      <c r="E5" s="72"/>
      <c r="F5" s="78" t="s">
        <v>112</v>
      </c>
      <c r="G5" s="79">
        <v>11174.71</v>
      </c>
      <c r="H5" s="83">
        <v>39121</v>
      </c>
    </row>
    <row r="6" spans="2:8">
      <c r="B6" s="63" t="s">
        <v>14</v>
      </c>
      <c r="C6" s="63">
        <v>0</v>
      </c>
      <c r="D6" s="64">
        <v>39111</v>
      </c>
      <c r="E6" s="64" t="s">
        <v>58</v>
      </c>
      <c r="F6" s="78" t="s">
        <v>112</v>
      </c>
      <c r="G6" s="79">
        <v>11176.69</v>
      </c>
      <c r="H6" s="83">
        <v>39122</v>
      </c>
    </row>
    <row r="7" spans="2:8">
      <c r="B7" s="63" t="s">
        <v>108</v>
      </c>
      <c r="C7" s="63">
        <v>0</v>
      </c>
      <c r="D7" s="64">
        <v>39114</v>
      </c>
      <c r="E7" s="64" t="s">
        <v>58</v>
      </c>
      <c r="F7" s="78" t="s">
        <v>112</v>
      </c>
      <c r="G7" s="79">
        <v>11184.72</v>
      </c>
      <c r="H7" s="83">
        <v>39127</v>
      </c>
    </row>
    <row r="8" spans="2:8">
      <c r="B8" s="63" t="s">
        <v>110</v>
      </c>
      <c r="C8" s="63">
        <v>0</v>
      </c>
      <c r="D8" s="64">
        <v>39114</v>
      </c>
      <c r="E8" s="64" t="s">
        <v>58</v>
      </c>
      <c r="F8" s="78" t="s">
        <v>112</v>
      </c>
      <c r="G8" s="79">
        <v>11187.28</v>
      </c>
      <c r="H8" s="83">
        <v>39128</v>
      </c>
    </row>
    <row r="9" spans="2:8">
      <c r="B9" s="63" t="s">
        <v>28</v>
      </c>
      <c r="C9" s="63">
        <v>0</v>
      </c>
      <c r="D9" s="64">
        <v>39117</v>
      </c>
      <c r="E9" s="64" t="s">
        <v>58</v>
      </c>
      <c r="F9" s="78" t="s">
        <v>112</v>
      </c>
      <c r="G9" s="79">
        <v>11188.64</v>
      </c>
      <c r="H9" s="83">
        <v>39129</v>
      </c>
    </row>
    <row r="10" spans="2:8">
      <c r="B10" s="63" t="s">
        <v>109</v>
      </c>
      <c r="C10" s="63">
        <v>0</v>
      </c>
      <c r="D10" s="64">
        <v>39114</v>
      </c>
      <c r="E10" s="64" t="s">
        <v>58</v>
      </c>
      <c r="F10" s="78" t="s">
        <v>112</v>
      </c>
      <c r="G10" s="79">
        <v>11194.67</v>
      </c>
      <c r="H10" s="83">
        <v>39134</v>
      </c>
    </row>
    <row r="11" spans="2:8">
      <c r="B11" s="63" t="s">
        <v>96</v>
      </c>
      <c r="C11" s="63">
        <v>0</v>
      </c>
      <c r="D11" s="64">
        <v>39117</v>
      </c>
      <c r="E11" s="64" t="s">
        <v>58</v>
      </c>
      <c r="F11" s="78" t="s">
        <v>112</v>
      </c>
      <c r="G11" s="79">
        <v>11196.91</v>
      </c>
      <c r="H11" s="83">
        <v>39135</v>
      </c>
    </row>
    <row r="12" spans="2:8">
      <c r="B12" s="63" t="s">
        <v>29</v>
      </c>
      <c r="C12" s="63">
        <v>0</v>
      </c>
      <c r="D12" s="64">
        <v>39120</v>
      </c>
      <c r="E12" s="64" t="s">
        <v>58</v>
      </c>
      <c r="F12" s="78" t="s">
        <v>112</v>
      </c>
      <c r="G12" s="79">
        <v>11200.01</v>
      </c>
      <c r="H12" s="83">
        <v>39136</v>
      </c>
    </row>
    <row r="13" spans="2:8">
      <c r="B13" s="63" t="s">
        <v>41</v>
      </c>
      <c r="C13" s="63">
        <v>0</v>
      </c>
      <c r="D13" s="64">
        <v>39125</v>
      </c>
      <c r="E13" s="64" t="s">
        <v>58</v>
      </c>
      <c r="F13" s="78" t="s">
        <v>112</v>
      </c>
      <c r="G13" s="79">
        <v>11204.41</v>
      </c>
      <c r="H13" s="83">
        <v>39139</v>
      </c>
    </row>
    <row r="14" spans="2:8">
      <c r="B14" s="63" t="s">
        <v>98</v>
      </c>
      <c r="C14" s="63">
        <v>0</v>
      </c>
      <c r="D14" s="64">
        <v>39125</v>
      </c>
      <c r="E14" s="64" t="s">
        <v>58</v>
      </c>
      <c r="F14" s="78" t="s">
        <v>112</v>
      </c>
      <c r="G14" s="79">
        <v>11207.76</v>
      </c>
      <c r="H14" s="83">
        <v>39140</v>
      </c>
    </row>
    <row r="15" spans="2:8">
      <c r="B15" s="63" t="s">
        <v>69</v>
      </c>
      <c r="C15" s="63">
        <v>0</v>
      </c>
      <c r="D15" s="64">
        <v>39124</v>
      </c>
      <c r="E15" s="64" t="s">
        <v>58</v>
      </c>
    </row>
    <row r="16" spans="2:8">
      <c r="B16" s="71" t="s">
        <v>9</v>
      </c>
      <c r="C16" s="71">
        <v>0</v>
      </c>
      <c r="D16" s="72">
        <v>39126</v>
      </c>
      <c r="E16" s="72"/>
      <c r="G16" s="52"/>
    </row>
    <row r="17" spans="2:5">
      <c r="B17" s="63" t="s">
        <v>69</v>
      </c>
      <c r="C17" s="63">
        <v>0</v>
      </c>
      <c r="D17" s="64">
        <v>39105</v>
      </c>
      <c r="E17" s="64" t="s">
        <v>58</v>
      </c>
    </row>
    <row r="18" spans="2:5">
      <c r="B18" s="63" t="s">
        <v>91</v>
      </c>
      <c r="C18" s="63">
        <v>0</v>
      </c>
      <c r="D18" s="64">
        <v>39128</v>
      </c>
      <c r="E18" s="64" t="s">
        <v>58</v>
      </c>
    </row>
    <row r="19" spans="2:5">
      <c r="B19" s="63" t="s">
        <v>77</v>
      </c>
      <c r="C19" s="63">
        <v>0</v>
      </c>
      <c r="D19" s="64">
        <v>39133</v>
      </c>
      <c r="E19" s="64" t="s">
        <v>58</v>
      </c>
    </row>
    <row r="20" spans="2:5">
      <c r="B20" s="63" t="s">
        <v>118</v>
      </c>
      <c r="C20" s="63">
        <v>0</v>
      </c>
      <c r="D20" s="64"/>
      <c r="E20" s="64" t="s">
        <v>58</v>
      </c>
    </row>
    <row r="21" spans="2:5">
      <c r="B21" s="63" t="s">
        <v>119</v>
      </c>
      <c r="C21" s="63">
        <v>0</v>
      </c>
      <c r="D21" s="64"/>
      <c r="E21" s="64" t="s">
        <v>58</v>
      </c>
    </row>
    <row r="22" spans="2:5">
      <c r="B22" s="63" t="s">
        <v>120</v>
      </c>
      <c r="C22" s="63">
        <v>0</v>
      </c>
      <c r="D22" s="64"/>
      <c r="E22" s="64" t="s">
        <v>58</v>
      </c>
    </row>
    <row r="23" spans="2:5">
      <c r="B23" s="63" t="s">
        <v>121</v>
      </c>
      <c r="C23" s="63">
        <v>0</v>
      </c>
      <c r="D23" s="64"/>
      <c r="E23" s="64" t="s">
        <v>58</v>
      </c>
    </row>
    <row r="24" spans="2:5">
      <c r="B24" s="63" t="s">
        <v>122</v>
      </c>
      <c r="C24" s="63">
        <v>0</v>
      </c>
      <c r="D24" s="64"/>
      <c r="E24" s="64" t="s">
        <v>58</v>
      </c>
    </row>
    <row r="25" spans="2:5" ht="18">
      <c r="B25" s="74" t="s">
        <v>21</v>
      </c>
      <c r="C25" s="74">
        <f>SUM(C3:C24)</f>
        <v>-646.34</v>
      </c>
      <c r="D25" s="75"/>
      <c r="E25" s="75"/>
    </row>
    <row r="26" spans="2:5">
      <c r="B26" t="s">
        <v>5</v>
      </c>
      <c r="C26" s="1">
        <v>3134.32</v>
      </c>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30.xml><?xml version="1.0" encoding="utf-8"?>
<worksheet xmlns="http://schemas.openxmlformats.org/spreadsheetml/2006/main" xmlns:r="http://schemas.openxmlformats.org/officeDocument/2006/relationships">
  <dimension ref="B1:Q54"/>
  <sheetViews>
    <sheetView zoomScale="75" zoomScaleNormal="75" workbookViewId="0">
      <selection activeCell="N21" sqref="N21:Q21"/>
    </sheetView>
  </sheetViews>
  <sheetFormatPr defaultRowHeight="15"/>
  <cols>
    <col min="1" max="1" width="1" style="266" customWidth="1"/>
    <col min="2" max="2" width="41.140625" style="266" bestFit="1" customWidth="1"/>
    <col min="3" max="3" width="13.85546875" style="266" bestFit="1" customWidth="1"/>
    <col min="4" max="4" width="17.7109375" style="266" bestFit="1" customWidth="1"/>
    <col min="5" max="5" width="16.42578125" style="266" bestFit="1" customWidth="1"/>
    <col min="6" max="13" width="2.140625" style="266" customWidth="1"/>
    <col min="14" max="14" width="13.28515625" style="266" bestFit="1" customWidth="1"/>
    <col min="15" max="15" width="13.570312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6.5" thickTop="1" thickBot="1">
      <c r="B3" s="351" t="s">
        <v>21</v>
      </c>
      <c r="C3" s="352">
        <v>2800</v>
      </c>
      <c r="D3" s="351" t="s">
        <v>1513</v>
      </c>
      <c r="E3" s="351" t="s">
        <v>1513</v>
      </c>
      <c r="N3" s="351" t="s">
        <v>21</v>
      </c>
      <c r="O3" s="352">
        <f>C44</f>
        <v>-19.739999999999782</v>
      </c>
      <c r="P3" s="351" t="s">
        <v>1513</v>
      </c>
      <c r="Q3" s="351" t="s">
        <v>1513</v>
      </c>
    </row>
    <row r="4" spans="2:17" ht="16.5" thickTop="1" thickBot="1">
      <c r="B4" s="292" t="s">
        <v>1637</v>
      </c>
      <c r="C4" s="278">
        <v>251.9</v>
      </c>
      <c r="D4" s="266" t="s">
        <v>1458</v>
      </c>
      <c r="E4" s="269" t="s">
        <v>1454</v>
      </c>
      <c r="N4" s="335" t="s">
        <v>1478</v>
      </c>
      <c r="O4" s="278">
        <v>47.34</v>
      </c>
      <c r="P4" s="266" t="s">
        <v>38</v>
      </c>
      <c r="Q4" s="269" t="s">
        <v>1455</v>
      </c>
    </row>
    <row r="5" spans="2:17" ht="15.75" thickBot="1">
      <c r="B5" s="293" t="s">
        <v>1552</v>
      </c>
      <c r="C5" s="278">
        <v>11.57</v>
      </c>
      <c r="D5" s="266" t="s">
        <v>1450</v>
      </c>
      <c r="E5" s="269" t="s">
        <v>1455</v>
      </c>
      <c r="N5" s="335" t="s">
        <v>1478</v>
      </c>
      <c r="O5" s="278">
        <v>25.68</v>
      </c>
      <c r="P5" s="266" t="s">
        <v>38</v>
      </c>
      <c r="Q5" s="269" t="s">
        <v>1455</v>
      </c>
    </row>
    <row r="6" spans="2:17" ht="15.75" thickBot="1">
      <c r="B6" s="292" t="s">
        <v>1638</v>
      </c>
      <c r="C6" s="278">
        <v>13.59</v>
      </c>
      <c r="D6" s="266" t="s">
        <v>1450</v>
      </c>
      <c r="E6" s="269" t="s">
        <v>1455</v>
      </c>
      <c r="N6" s="335" t="s">
        <v>1478</v>
      </c>
      <c r="O6" s="278">
        <v>33.94</v>
      </c>
      <c r="P6" s="266" t="s">
        <v>38</v>
      </c>
      <c r="Q6" s="269" t="s">
        <v>1455</v>
      </c>
    </row>
    <row r="7" spans="2:17" ht="15.75" thickBot="1">
      <c r="B7" s="293" t="s">
        <v>1552</v>
      </c>
      <c r="C7" s="278">
        <v>19.760000000000002</v>
      </c>
      <c r="D7" s="266" t="s">
        <v>1450</v>
      </c>
      <c r="E7" s="269" t="s">
        <v>1455</v>
      </c>
      <c r="N7" s="335" t="s">
        <v>1656</v>
      </c>
      <c r="O7" s="278">
        <v>10.5</v>
      </c>
      <c r="P7" s="266" t="s">
        <v>1456</v>
      </c>
      <c r="Q7" s="269" t="s">
        <v>1454</v>
      </c>
    </row>
    <row r="8" spans="2:17" ht="15.75" thickBot="1">
      <c r="B8" s="292" t="s">
        <v>1639</v>
      </c>
      <c r="C8" s="278">
        <v>57.8</v>
      </c>
      <c r="D8" s="266" t="s">
        <v>1456</v>
      </c>
      <c r="E8" s="269" t="s">
        <v>1455</v>
      </c>
      <c r="N8" s="335" t="s">
        <v>1656</v>
      </c>
      <c r="O8" s="278">
        <v>6.36</v>
      </c>
      <c r="P8" s="266" t="s">
        <v>1456</v>
      </c>
      <c r="Q8" s="269" t="s">
        <v>1454</v>
      </c>
    </row>
    <row r="9" spans="2:17" ht="15.75" thickBot="1">
      <c r="B9" s="293" t="s">
        <v>1640</v>
      </c>
      <c r="C9" s="278">
        <v>96.1</v>
      </c>
      <c r="D9" s="266" t="s">
        <v>1450</v>
      </c>
      <c r="E9" s="269" t="s">
        <v>1455</v>
      </c>
      <c r="N9" s="335" t="s">
        <v>1656</v>
      </c>
      <c r="O9" s="278">
        <v>9.99</v>
      </c>
      <c r="P9" s="266" t="s">
        <v>1456</v>
      </c>
      <c r="Q9" s="269" t="s">
        <v>1454</v>
      </c>
    </row>
    <row r="10" spans="2:17" ht="15.75" thickBot="1">
      <c r="B10" s="292" t="s">
        <v>1480</v>
      </c>
      <c r="C10" s="278">
        <v>184.5</v>
      </c>
      <c r="D10" s="266" t="s">
        <v>1458</v>
      </c>
      <c r="E10" s="269" t="s">
        <v>1454</v>
      </c>
      <c r="N10" s="335" t="s">
        <v>1656</v>
      </c>
      <c r="O10" s="278">
        <v>15.04</v>
      </c>
      <c r="P10" s="266" t="s">
        <v>1456</v>
      </c>
      <c r="Q10" s="269" t="s">
        <v>1454</v>
      </c>
    </row>
    <row r="11" spans="2:17" ht="15.75" thickBot="1">
      <c r="B11" s="350" t="s">
        <v>1641</v>
      </c>
      <c r="C11" s="278">
        <v>20.71</v>
      </c>
      <c r="D11" s="266" t="s">
        <v>1458</v>
      </c>
      <c r="E11" s="269" t="s">
        <v>1454</v>
      </c>
      <c r="N11" s="335" t="s">
        <v>1656</v>
      </c>
      <c r="O11" s="278">
        <v>19.82</v>
      </c>
      <c r="P11" s="266" t="s">
        <v>1456</v>
      </c>
      <c r="Q11" s="269" t="s">
        <v>1454</v>
      </c>
    </row>
    <row r="12" spans="2:17" ht="15.75" thickBot="1">
      <c r="B12" s="281" t="s">
        <v>1642</v>
      </c>
      <c r="C12" s="278">
        <v>44.47</v>
      </c>
      <c r="D12" s="266" t="s">
        <v>1458</v>
      </c>
      <c r="E12" s="269" t="s">
        <v>1454</v>
      </c>
      <c r="N12" s="335" t="s">
        <v>1656</v>
      </c>
      <c r="O12" s="278">
        <v>20.25</v>
      </c>
      <c r="P12" s="266" t="s">
        <v>1456</v>
      </c>
      <c r="Q12" s="269" t="s">
        <v>1454</v>
      </c>
    </row>
    <row r="13" spans="2:17" ht="15.75" thickBot="1">
      <c r="B13" s="293" t="s">
        <v>1556</v>
      </c>
      <c r="C13" s="278">
        <v>38.799999999999997</v>
      </c>
      <c r="D13" s="266" t="s">
        <v>1458</v>
      </c>
      <c r="E13" s="269" t="s">
        <v>1454</v>
      </c>
      <c r="N13" s="335" t="s">
        <v>1656</v>
      </c>
      <c r="O13" s="278">
        <v>8.39</v>
      </c>
      <c r="P13" s="266" t="s">
        <v>1456</v>
      </c>
      <c r="Q13" s="269" t="s">
        <v>1454</v>
      </c>
    </row>
    <row r="14" spans="2:17" ht="15.75" thickBot="1">
      <c r="B14" s="292" t="s">
        <v>1544</v>
      </c>
      <c r="C14" s="278">
        <v>68.88</v>
      </c>
      <c r="D14" s="266" t="s">
        <v>1458</v>
      </c>
      <c r="E14" s="269" t="s">
        <v>1455</v>
      </c>
      <c r="N14" s="335" t="s">
        <v>1656</v>
      </c>
      <c r="O14" s="278">
        <v>11.41</v>
      </c>
      <c r="P14" s="266" t="s">
        <v>1456</v>
      </c>
      <c r="Q14" s="269" t="s">
        <v>1454</v>
      </c>
    </row>
    <row r="15" spans="2:17" ht="15.75" thickBot="1">
      <c r="B15" s="356" t="s">
        <v>1547</v>
      </c>
      <c r="C15" s="278">
        <v>115.55</v>
      </c>
      <c r="D15" s="266" t="s">
        <v>1458</v>
      </c>
      <c r="E15" s="269" t="s">
        <v>1455</v>
      </c>
      <c r="N15" s="363" t="s">
        <v>1599</v>
      </c>
      <c r="O15" s="278">
        <v>22.9</v>
      </c>
      <c r="P15" s="266" t="s">
        <v>1456</v>
      </c>
      <c r="Q15" s="269" t="s">
        <v>1455</v>
      </c>
    </row>
    <row r="16" spans="2:17" ht="15.75" thickBot="1">
      <c r="B16" s="292" t="s">
        <v>1648</v>
      </c>
      <c r="C16" s="278">
        <v>27</v>
      </c>
      <c r="D16" s="266" t="s">
        <v>1456</v>
      </c>
      <c r="E16" s="269" t="s">
        <v>1455</v>
      </c>
      <c r="N16" s="335" t="s">
        <v>1478</v>
      </c>
      <c r="O16" s="278">
        <v>31.72</v>
      </c>
      <c r="P16" s="266" t="s">
        <v>38</v>
      </c>
      <c r="Q16" s="269" t="s">
        <v>1455</v>
      </c>
    </row>
    <row r="17" spans="2:17" ht="15.75" thickBot="1">
      <c r="B17" s="293" t="s">
        <v>1649</v>
      </c>
      <c r="C17" s="278">
        <v>31</v>
      </c>
      <c r="D17" s="266" t="s">
        <v>1458</v>
      </c>
      <c r="E17" s="269" t="s">
        <v>1454</v>
      </c>
      <c r="N17" s="335" t="s">
        <v>1478</v>
      </c>
      <c r="O17" s="278">
        <v>19.239999999999998</v>
      </c>
      <c r="P17" s="266" t="s">
        <v>38</v>
      </c>
      <c r="Q17" s="269" t="s">
        <v>1455</v>
      </c>
    </row>
    <row r="18" spans="2:17" ht="15.75" thickBot="1">
      <c r="B18" s="292" t="s">
        <v>1650</v>
      </c>
      <c r="C18" s="278">
        <v>39.9</v>
      </c>
      <c r="D18" s="266" t="s">
        <v>17</v>
      </c>
      <c r="E18" s="269" t="s">
        <v>1454</v>
      </c>
      <c r="N18" s="371" t="s">
        <v>1628</v>
      </c>
      <c r="O18" s="278">
        <v>9.27</v>
      </c>
      <c r="P18" s="266" t="s">
        <v>1458</v>
      </c>
      <c r="Q18" s="269" t="s">
        <v>1455</v>
      </c>
    </row>
    <row r="19" spans="2:17" ht="15.75" thickBot="1">
      <c r="B19" s="293" t="s">
        <v>1482</v>
      </c>
      <c r="C19" s="278">
        <v>65.59</v>
      </c>
      <c r="D19" s="266" t="s">
        <v>1458</v>
      </c>
      <c r="E19" s="269" t="s">
        <v>1455</v>
      </c>
      <c r="N19" s="371" t="s">
        <v>1672</v>
      </c>
      <c r="O19" s="278">
        <v>14.5</v>
      </c>
      <c r="P19" s="266" t="s">
        <v>1458</v>
      </c>
      <c r="Q19" s="269" t="s">
        <v>1455</v>
      </c>
    </row>
    <row r="20" spans="2:17" ht="15.75" thickBot="1">
      <c r="B20" s="292" t="s">
        <v>1651</v>
      </c>
      <c r="C20" s="278">
        <v>100.02</v>
      </c>
      <c r="D20" s="266" t="s">
        <v>1458</v>
      </c>
      <c r="E20" s="269" t="s">
        <v>1455</v>
      </c>
      <c r="N20" s="372" t="s">
        <v>1628</v>
      </c>
      <c r="O20" s="278">
        <v>26.5</v>
      </c>
      <c r="P20" s="266" t="s">
        <v>1458</v>
      </c>
      <c r="Q20" s="269" t="s">
        <v>1455</v>
      </c>
    </row>
    <row r="21" spans="2:17" ht="15.75" thickBot="1">
      <c r="B21" s="293" t="s">
        <v>1652</v>
      </c>
      <c r="C21" s="278">
        <v>107</v>
      </c>
      <c r="D21" s="266" t="s">
        <v>1458</v>
      </c>
      <c r="E21" s="269" t="s">
        <v>1454</v>
      </c>
      <c r="N21" s="376" t="s">
        <v>1632</v>
      </c>
      <c r="O21" s="278">
        <v>14.9</v>
      </c>
      <c r="P21" s="266" t="s">
        <v>1456</v>
      </c>
      <c r="Q21" s="269" t="s">
        <v>1455</v>
      </c>
    </row>
    <row r="22" spans="2:17" ht="16.5" thickBot="1">
      <c r="B22" s="292" t="s">
        <v>1651</v>
      </c>
      <c r="C22" s="278">
        <v>174.53</v>
      </c>
      <c r="D22" s="266" t="s">
        <v>1458</v>
      </c>
      <c r="E22" s="269" t="s">
        <v>1455</v>
      </c>
      <c r="N22" s="271" t="s">
        <v>1534</v>
      </c>
      <c r="O22" s="272">
        <f>O3-SUM(O4:O21)</f>
        <v>-367.48999999999978</v>
      </c>
      <c r="P22" s="271"/>
      <c r="Q22" s="271"/>
    </row>
    <row r="23" spans="2:17" ht="15.75" thickBot="1">
      <c r="B23" s="293" t="s">
        <v>1583</v>
      </c>
      <c r="C23" s="278">
        <v>21.55</v>
      </c>
      <c r="D23" s="266" t="s">
        <v>1458</v>
      </c>
      <c r="E23" s="269" t="s">
        <v>1455</v>
      </c>
    </row>
    <row r="24" spans="2:17" ht="15.75" thickBot="1">
      <c r="B24" s="293" t="s">
        <v>1654</v>
      </c>
      <c r="C24" s="278">
        <v>333.34</v>
      </c>
      <c r="D24" s="266" t="s">
        <v>1456</v>
      </c>
      <c r="E24" s="269" t="s">
        <v>1454</v>
      </c>
    </row>
    <row r="25" spans="2:17" ht="15.75" thickBot="1">
      <c r="B25" s="293" t="s">
        <v>1655</v>
      </c>
      <c r="C25" s="278">
        <v>32.56</v>
      </c>
      <c r="D25" s="266" t="s">
        <v>1458</v>
      </c>
      <c r="E25" s="269" t="s">
        <v>1455</v>
      </c>
      <c r="N25" s="603" t="s">
        <v>704</v>
      </c>
      <c r="O25" s="603"/>
      <c r="P25" s="349">
        <f>SUM(C4:C42)</f>
        <v>2819.74</v>
      </c>
    </row>
    <row r="26" spans="2:17" ht="15.75" thickBot="1">
      <c r="B26" s="293" t="s">
        <v>1657</v>
      </c>
      <c r="C26" s="278">
        <v>50</v>
      </c>
      <c r="D26" s="266" t="s">
        <v>1458</v>
      </c>
      <c r="E26" s="269" t="s">
        <v>1454</v>
      </c>
      <c r="N26" s="604" t="s">
        <v>1445</v>
      </c>
      <c r="O26" s="604"/>
      <c r="P26" s="349">
        <f>SUM(O4:O21)</f>
        <v>347.75</v>
      </c>
    </row>
    <row r="27" spans="2:17" ht="15.75" thickBot="1">
      <c r="B27" s="294" t="s">
        <v>1658</v>
      </c>
      <c r="C27" s="278">
        <v>39</v>
      </c>
      <c r="D27" s="266" t="s">
        <v>1458</v>
      </c>
      <c r="E27" s="269" t="s">
        <v>1455</v>
      </c>
      <c r="N27" s="590" t="s">
        <v>1629</v>
      </c>
      <c r="O27" s="590"/>
      <c r="P27" s="323">
        <f>SUM(P25:P26)</f>
        <v>3167.49</v>
      </c>
    </row>
    <row r="28" spans="2:17" ht="15.75" thickBot="1">
      <c r="B28" s="293" t="s">
        <v>1661</v>
      </c>
      <c r="C28" s="278">
        <v>80</v>
      </c>
      <c r="D28" s="266" t="s">
        <v>1458</v>
      </c>
      <c r="E28" s="269" t="s">
        <v>1455</v>
      </c>
    </row>
    <row r="29" spans="2:17" ht="15.75" thickBot="1">
      <c r="B29" s="366" t="s">
        <v>1663</v>
      </c>
      <c r="C29" s="278">
        <v>72</v>
      </c>
      <c r="D29" s="266" t="s">
        <v>38</v>
      </c>
      <c r="E29" s="269" t="s">
        <v>1455</v>
      </c>
    </row>
    <row r="30" spans="2:17" ht="15.75" thickBot="1">
      <c r="B30" s="366" t="s">
        <v>1668</v>
      </c>
      <c r="C30" s="278">
        <v>23.96</v>
      </c>
      <c r="D30" s="266" t="s">
        <v>1456</v>
      </c>
      <c r="E30" s="269" t="s">
        <v>1455</v>
      </c>
    </row>
    <row r="31" spans="2:17" ht="15.75" thickBot="1">
      <c r="B31" s="294" t="s">
        <v>1671</v>
      </c>
      <c r="C31" s="278">
        <v>24</v>
      </c>
      <c r="D31" s="266" t="s">
        <v>1458</v>
      </c>
      <c r="E31" s="269" t="s">
        <v>1455</v>
      </c>
    </row>
    <row r="32" spans="2:17" ht="15.75" thickBot="1">
      <c r="B32" s="293" t="s">
        <v>1544</v>
      </c>
      <c r="C32" s="278">
        <v>82.49</v>
      </c>
      <c r="D32" s="266" t="s">
        <v>1458</v>
      </c>
      <c r="E32" s="269" t="s">
        <v>1455</v>
      </c>
    </row>
    <row r="33" spans="2:5" ht="15.75" thickBot="1">
      <c r="B33" s="292" t="s">
        <v>1503</v>
      </c>
      <c r="C33" s="278">
        <v>46.4</v>
      </c>
      <c r="D33" s="266" t="s">
        <v>38</v>
      </c>
      <c r="E33" s="269" t="s">
        <v>1455</v>
      </c>
    </row>
    <row r="34" spans="2:5" ht="15.75" thickBot="1">
      <c r="B34" s="293" t="s">
        <v>1552</v>
      </c>
      <c r="C34" s="278">
        <v>64.540000000000006</v>
      </c>
      <c r="D34" s="266" t="s">
        <v>1450</v>
      </c>
      <c r="E34" s="269" t="s">
        <v>1457</v>
      </c>
    </row>
    <row r="35" spans="2:5" ht="15.75" thickBot="1">
      <c r="B35" s="293" t="s">
        <v>1673</v>
      </c>
      <c r="C35" s="278">
        <v>30</v>
      </c>
      <c r="D35" s="266" t="s">
        <v>17</v>
      </c>
      <c r="E35" s="269" t="s">
        <v>1455</v>
      </c>
    </row>
    <row r="36" spans="2:5" ht="15.75" thickBot="1">
      <c r="B36" s="292" t="s">
        <v>1674</v>
      </c>
      <c r="C36" s="278">
        <v>75</v>
      </c>
      <c r="D36" s="266" t="s">
        <v>1458</v>
      </c>
      <c r="E36" s="269" t="s">
        <v>1455</v>
      </c>
    </row>
    <row r="37" spans="2:5" ht="15.75" thickBot="1">
      <c r="B37" s="293" t="s">
        <v>1675</v>
      </c>
      <c r="C37" s="278">
        <v>76.97</v>
      </c>
      <c r="D37" s="266" t="s">
        <v>1451</v>
      </c>
      <c r="E37" s="269" t="s">
        <v>1454</v>
      </c>
    </row>
    <row r="38" spans="2:5" ht="15.75" thickBot="1">
      <c r="B38" s="292" t="s">
        <v>1676</v>
      </c>
      <c r="C38" s="278">
        <v>150.41999999999999</v>
      </c>
      <c r="D38" s="266" t="s">
        <v>1458</v>
      </c>
      <c r="E38" s="269" t="s">
        <v>1455</v>
      </c>
    </row>
    <row r="39" spans="2:5" ht="15.75" thickBot="1">
      <c r="B39" s="293" t="s">
        <v>1677</v>
      </c>
      <c r="C39" s="278">
        <v>45.03</v>
      </c>
      <c r="D39" s="266" t="s">
        <v>1458</v>
      </c>
      <c r="E39" s="269" t="s">
        <v>1455</v>
      </c>
    </row>
    <row r="40" spans="2:5" ht="15.75" thickBot="1">
      <c r="B40" s="292" t="s">
        <v>1678</v>
      </c>
      <c r="C40" s="278">
        <v>47.41</v>
      </c>
      <c r="D40" s="266" t="s">
        <v>1451</v>
      </c>
      <c r="E40" s="269" t="s">
        <v>1455</v>
      </c>
    </row>
    <row r="41" spans="2:5" ht="15.75" thickBot="1">
      <c r="B41" s="293" t="s">
        <v>1679</v>
      </c>
      <c r="C41" s="278">
        <v>56.4</v>
      </c>
      <c r="D41" s="266" t="s">
        <v>1451</v>
      </c>
      <c r="E41" s="269" t="s">
        <v>1454</v>
      </c>
    </row>
    <row r="42" spans="2:5" ht="15.75" thickBot="1">
      <c r="B42" s="292"/>
      <c r="C42" s="278"/>
    </row>
    <row r="43" spans="2:5" ht="15.75" thickBot="1">
      <c r="B43" s="288"/>
      <c r="C43" s="289"/>
      <c r="D43" s="290"/>
      <c r="E43" s="291"/>
    </row>
    <row r="44" spans="2:5" ht="16.5" thickBot="1">
      <c r="B44" s="286" t="s">
        <v>1459</v>
      </c>
      <c r="C44" s="287">
        <f>C3-SUM(C4:C43)</f>
        <v>-19.739999999999782</v>
      </c>
      <c r="D44" s="286"/>
      <c r="E44" s="286"/>
    </row>
    <row r="45" spans="2:5" ht="15.75" thickTop="1">
      <c r="B45" s="266" t="s">
        <v>1584</v>
      </c>
      <c r="C45" s="270">
        <f>AVERAGE(C4:C41)</f>
        <v>74.203684210526305</v>
      </c>
    </row>
    <row r="46" spans="2:5">
      <c r="C46" s="270"/>
    </row>
    <row r="47" spans="2:5">
      <c r="D47" s="266" t="s">
        <v>1458</v>
      </c>
      <c r="E47" s="269" t="s">
        <v>1457</v>
      </c>
    </row>
    <row r="48" spans="2:5">
      <c r="D48" s="266" t="s">
        <v>1456</v>
      </c>
      <c r="E48" s="268" t="s">
        <v>1455</v>
      </c>
    </row>
    <row r="49" spans="4:5">
      <c r="D49" s="266" t="s">
        <v>38</v>
      </c>
      <c r="E49" s="267" t="s">
        <v>1454</v>
      </c>
    </row>
    <row r="50" spans="4:5">
      <c r="D50" s="266" t="s">
        <v>1453</v>
      </c>
    </row>
    <row r="51" spans="4:5">
      <c r="D51" s="266" t="s">
        <v>1452</v>
      </c>
    </row>
    <row r="52" spans="4:5">
      <c r="D52" s="266" t="s">
        <v>17</v>
      </c>
    </row>
    <row r="53" spans="4:5">
      <c r="D53" s="266" t="s">
        <v>1451</v>
      </c>
    </row>
    <row r="54" spans="4:5">
      <c r="D54" s="266" t="s">
        <v>1450</v>
      </c>
    </row>
  </sheetData>
  <mergeCells count="5">
    <mergeCell ref="B1:E1"/>
    <mergeCell ref="N1:Q1"/>
    <mergeCell ref="N27:O27"/>
    <mergeCell ref="N25:O25"/>
    <mergeCell ref="N26:O26"/>
  </mergeCells>
  <conditionalFormatting sqref="E4:E41 E43 Q4:Q21">
    <cfRule type="containsText" dxfId="70" priority="8" stopIfTrue="1" operator="containsText" text="Necessário">
      <formula>NOT(ISERROR(SEARCH("Necessário",E4)))</formula>
    </cfRule>
  </conditionalFormatting>
  <conditionalFormatting sqref="E4:E41 E43 Q4:Q21">
    <cfRule type="containsText" dxfId="69" priority="7" stopIfTrue="1" operator="containsText" text="Frívolo">
      <formula>NOT(ISERROR(SEARCH("Frívolo",E4)))</formula>
    </cfRule>
  </conditionalFormatting>
  <conditionalFormatting sqref="C46">
    <cfRule type="dataBar" priority="6">
      <dataBar>
        <cfvo type="min" val="0"/>
        <cfvo type="max" val="0"/>
        <color rgb="FF638EC6"/>
      </dataBar>
    </cfRule>
  </conditionalFormatting>
  <conditionalFormatting sqref="C45">
    <cfRule type="dataBar" priority="5">
      <dataBar>
        <cfvo type="min" val="0"/>
        <cfvo type="max" val="0"/>
        <color rgb="FF638EC6"/>
      </dataBar>
    </cfRule>
  </conditionalFormatting>
  <dataValidations count="2">
    <dataValidation type="list" allowBlank="1" showInputMessage="1" showErrorMessage="1" sqref="K5:L6 E4:E43 F5:F6 Q4:Q21">
      <formula1>$E$47:$E$49</formula1>
    </dataValidation>
    <dataValidation type="list" allowBlank="1" showInputMessage="1" showErrorMessage="1" sqref="D4:D43 P4:P21">
      <formula1>$D$47:$D$54</formula1>
    </dataValidation>
  </dataValidations>
  <pageMargins left="0.511811024" right="0.511811024" top="0.78740157499999996" bottom="0.78740157499999996" header="0.31496062000000002" footer="0.31496062000000002"/>
  <pageSetup paperSize="9" orientation="portrait" r:id="rId1"/>
</worksheet>
</file>

<file path=xl/worksheets/sheet131.xml><?xml version="1.0" encoding="utf-8"?>
<worksheet xmlns="http://schemas.openxmlformats.org/spreadsheetml/2006/main" xmlns:r="http://schemas.openxmlformats.org/officeDocument/2006/relationships">
  <dimension ref="B2:AF37"/>
  <sheetViews>
    <sheetView topLeftCell="A4" zoomScale="75" zoomScaleNormal="75" workbookViewId="0">
      <selection activeCell="C31" sqref="C31"/>
    </sheetView>
  </sheetViews>
  <sheetFormatPr defaultColWidth="8.85546875" defaultRowHeight="12.75"/>
  <cols>
    <col min="1" max="1" width="1.42578125" customWidth="1"/>
    <col min="2" max="2" width="27.7109375"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8" bestFit="1" customWidth="1"/>
    <col min="13" max="13" width="11.5703125" bestFit="1" customWidth="1"/>
    <col min="14" max="14" width="8.85546875" customWidth="1"/>
    <col min="15" max="15" width="15.140625" bestFit="1" customWidth="1"/>
    <col min="16" max="16" width="1.140625" customWidth="1"/>
    <col min="17" max="17" width="13.140625" customWidth="1"/>
    <col min="18" max="18" width="16" customWidth="1"/>
    <col min="19" max="19" width="0.85546875" customWidth="1"/>
    <col min="20" max="20" width="0.7109375" customWidth="1"/>
    <col min="21" max="21" width="14.28515625" bestFit="1" customWidth="1"/>
    <col min="22" max="22" width="20" bestFit="1" customWidth="1"/>
    <col min="23" max="23" width="15" bestFit="1" customWidth="1"/>
    <col min="24" max="24" width="1.5703125" customWidth="1"/>
    <col min="25" max="25" width="14.42578125" bestFit="1" customWidth="1"/>
    <col min="26" max="27" width="12.85546875" bestFit="1" customWidth="1"/>
    <col min="28" max="28" width="12.28515625" bestFit="1" customWidth="1"/>
    <col min="29" max="29" width="12.85546875" bestFit="1" customWidth="1"/>
    <col min="30" max="30" width="12.28515625" bestFit="1" customWidth="1"/>
    <col min="31" max="32" width="12.85546875" bestFit="1" customWidth="1"/>
  </cols>
  <sheetData>
    <row r="2" spans="2:32" ht="23.25">
      <c r="B2" s="236" t="s">
        <v>1401</v>
      </c>
      <c r="C2" s="237" t="s">
        <v>1402</v>
      </c>
      <c r="D2" s="238" t="s">
        <v>1554</v>
      </c>
      <c r="F2" s="593" t="s">
        <v>1557</v>
      </c>
      <c r="G2" s="593"/>
      <c r="H2" s="593"/>
      <c r="J2" s="606" t="s">
        <v>1111</v>
      </c>
      <c r="K2" s="606"/>
      <c r="L2" s="606"/>
      <c r="M2" s="606"/>
      <c r="N2" s="606"/>
      <c r="O2" s="606"/>
      <c r="Q2" s="594" t="s">
        <v>1667</v>
      </c>
      <c r="R2" s="594"/>
      <c r="U2" s="595" t="s">
        <v>1558</v>
      </c>
      <c r="V2" s="595"/>
      <c r="W2" s="595"/>
      <c r="Y2" s="602" t="s">
        <v>1073</v>
      </c>
      <c r="Z2" s="602"/>
      <c r="AA2" s="602"/>
      <c r="AB2" s="602"/>
    </row>
    <row r="3" spans="2:32" ht="18.75" thickBot="1">
      <c r="B3" s="227" t="s">
        <v>135</v>
      </c>
      <c r="C3" s="224"/>
      <c r="D3" s="373" t="s">
        <v>0</v>
      </c>
      <c r="F3" s="374" t="s">
        <v>1577</v>
      </c>
      <c r="G3" s="374" t="s">
        <v>1143</v>
      </c>
      <c r="H3" s="374" t="s">
        <v>1631</v>
      </c>
      <c r="J3" s="381" t="s">
        <v>1687</v>
      </c>
      <c r="K3" s="382" t="s">
        <v>1695</v>
      </c>
      <c r="L3" s="382" t="s">
        <v>1690</v>
      </c>
      <c r="M3" s="382" t="s">
        <v>1694</v>
      </c>
      <c r="N3" s="382" t="s">
        <v>1688</v>
      </c>
      <c r="O3" s="381" t="s">
        <v>219</v>
      </c>
      <c r="Q3" s="375" t="s">
        <v>1577</v>
      </c>
      <c r="R3" s="375" t="s">
        <v>1143</v>
      </c>
      <c r="U3" s="322" t="s">
        <v>1249</v>
      </c>
      <c r="V3" s="322" t="s">
        <v>646</v>
      </c>
      <c r="W3" s="322" t="s">
        <v>1559</v>
      </c>
      <c r="Y3" s="591" t="s">
        <v>1591</v>
      </c>
      <c r="Z3" s="591"/>
      <c r="AA3" s="295">
        <v>60</v>
      </c>
      <c r="AB3" s="295"/>
    </row>
    <row r="4" spans="2:32" ht="18" customHeight="1">
      <c r="B4" s="228" t="s">
        <v>7</v>
      </c>
      <c r="C4" s="191"/>
      <c r="D4" s="95">
        <v>-197.12</v>
      </c>
      <c r="F4" s="111" t="s">
        <v>1438</v>
      </c>
      <c r="G4" s="111">
        <v>9960.2000000000007</v>
      </c>
      <c r="H4" s="348">
        <v>42544</v>
      </c>
      <c r="J4" s="383" t="s">
        <v>1684</v>
      </c>
      <c r="K4" s="406">
        <v>43600</v>
      </c>
      <c r="L4" s="393">
        <v>1</v>
      </c>
      <c r="M4" s="384">
        <v>2448.4899999999998</v>
      </c>
      <c r="N4" s="387">
        <v>2.44</v>
      </c>
      <c r="O4" s="387">
        <v>2450.9299999999998</v>
      </c>
      <c r="Q4" s="305" t="s">
        <v>9</v>
      </c>
      <c r="R4" s="306">
        <v>78</v>
      </c>
      <c r="U4" s="295" t="s">
        <v>1308</v>
      </c>
      <c r="V4" s="298">
        <v>16203.46</v>
      </c>
      <c r="W4" s="297">
        <f>V4*(1-27.5%)</f>
        <v>11747.5085</v>
      </c>
      <c r="Y4" s="591" t="s">
        <v>1592</v>
      </c>
      <c r="Z4" s="591"/>
      <c r="AA4" s="295">
        <f>AA3/12</f>
        <v>5</v>
      </c>
      <c r="AB4" s="295"/>
    </row>
    <row r="5" spans="2:32" ht="17.25" customHeight="1" thickBot="1">
      <c r="B5" s="228" t="s">
        <v>5</v>
      </c>
      <c r="C5" s="91">
        <v>14066.98</v>
      </c>
      <c r="D5" s="95">
        <v>0</v>
      </c>
      <c r="F5" s="111" t="s">
        <v>1438</v>
      </c>
      <c r="G5" s="111">
        <v>9964.86</v>
      </c>
      <c r="H5" s="348">
        <v>42545</v>
      </c>
      <c r="J5" s="385" t="s">
        <v>1685</v>
      </c>
      <c r="K5" s="407">
        <v>43466</v>
      </c>
      <c r="L5" s="394">
        <v>2</v>
      </c>
      <c r="M5" s="386">
        <v>1492.52</v>
      </c>
      <c r="N5" s="388">
        <v>1.49</v>
      </c>
      <c r="O5" s="388">
        <v>1494.01</v>
      </c>
      <c r="Q5" s="328" t="s">
        <v>1449</v>
      </c>
      <c r="R5" s="329">
        <f>SUM(R4:R4)</f>
        <v>78</v>
      </c>
      <c r="U5" s="295" t="s">
        <v>1309</v>
      </c>
      <c r="V5" s="298">
        <v>48007.55</v>
      </c>
      <c r="W5" s="297">
        <f>V5*(1-27.5%)</f>
        <v>34805.473750000005</v>
      </c>
      <c r="Y5" s="295"/>
      <c r="Z5" s="295" t="s">
        <v>1588</v>
      </c>
      <c r="AA5" s="295" t="s">
        <v>1589</v>
      </c>
      <c r="AB5" s="295" t="s">
        <v>21</v>
      </c>
    </row>
    <row r="6" spans="2:32" ht="16.5" thickTop="1" thickBot="1">
      <c r="B6" s="228" t="s">
        <v>298</v>
      </c>
      <c r="C6" s="91">
        <v>120</v>
      </c>
      <c r="D6" s="95">
        <v>0</v>
      </c>
      <c r="F6" s="111" t="s">
        <v>1438</v>
      </c>
      <c r="G6" s="111">
        <v>9969.9</v>
      </c>
      <c r="H6" s="348">
        <v>42548</v>
      </c>
      <c r="J6" s="383" t="s">
        <v>1686</v>
      </c>
      <c r="K6" s="406">
        <v>44927</v>
      </c>
      <c r="L6" s="393">
        <v>3.1</v>
      </c>
      <c r="M6" s="384">
        <v>1428.94</v>
      </c>
      <c r="N6" s="387">
        <v>1.42</v>
      </c>
      <c r="O6" s="387">
        <v>1430.36</v>
      </c>
      <c r="U6" s="215" t="s">
        <v>45</v>
      </c>
      <c r="V6" s="329">
        <f>SUM(V4:V5)</f>
        <v>64211.01</v>
      </c>
      <c r="W6" s="215">
        <f>SUM(W4:W5)</f>
        <v>46552.982250000001</v>
      </c>
      <c r="Y6" s="295" t="s">
        <v>1126</v>
      </c>
      <c r="Z6" s="332">
        <v>40885</v>
      </c>
      <c r="AA6" s="333">
        <f ca="1">TODAY()</f>
        <v>42744</v>
      </c>
      <c r="AB6" s="295">
        <f ca="1">((YEAR(Z6)-YEAR(AA6))*12+MONTH(Z6)-MONTH(AA6))*-1</f>
        <v>61</v>
      </c>
    </row>
    <row r="7" spans="2:32" ht="15.75" thickTop="1">
      <c r="B7" s="228" t="s">
        <v>298</v>
      </c>
      <c r="C7" s="91">
        <v>100</v>
      </c>
      <c r="D7" s="95">
        <v>0</v>
      </c>
      <c r="F7" s="111" t="s">
        <v>1438</v>
      </c>
      <c r="G7" s="111">
        <v>9978.02</v>
      </c>
      <c r="H7" s="348">
        <v>42550</v>
      </c>
      <c r="J7" s="385" t="s">
        <v>1277</v>
      </c>
      <c r="K7" s="407">
        <v>44256</v>
      </c>
      <c r="L7" s="394">
        <v>1</v>
      </c>
      <c r="M7" s="386">
        <v>7878.81</v>
      </c>
      <c r="N7" s="388">
        <v>7.87</v>
      </c>
      <c r="O7" s="388">
        <v>7886.68</v>
      </c>
      <c r="Q7" s="605" t="s">
        <v>1680</v>
      </c>
      <c r="R7" s="605"/>
      <c r="Y7" s="295" t="s">
        <v>1590</v>
      </c>
      <c r="Z7" s="332">
        <v>41578</v>
      </c>
      <c r="AA7" s="333">
        <f ca="1">TODAY()</f>
        <v>42744</v>
      </c>
      <c r="AB7" s="295">
        <f ca="1">((YEAR(Z7)-YEAR(AA7))*12+MONTH(Z7)-MONTH(AA7))*-1</f>
        <v>39</v>
      </c>
    </row>
    <row r="8" spans="2:32" ht="15.75">
      <c r="B8" s="228" t="s">
        <v>1719</v>
      </c>
      <c r="C8" s="91">
        <v>120</v>
      </c>
      <c r="D8" s="95">
        <v>0</v>
      </c>
      <c r="F8" s="111" t="s">
        <v>1438</v>
      </c>
      <c r="G8" s="111">
        <v>9981.85</v>
      </c>
      <c r="H8" s="348">
        <v>42551</v>
      </c>
      <c r="J8" s="395" t="s">
        <v>1689</v>
      </c>
      <c r="K8" s="395"/>
      <c r="L8" s="395"/>
      <c r="M8" s="395"/>
      <c r="N8" s="395"/>
      <c r="O8" s="396">
        <v>13261.98</v>
      </c>
      <c r="Q8" s="378" t="s">
        <v>1577</v>
      </c>
      <c r="R8" s="378" t="s">
        <v>1143</v>
      </c>
      <c r="U8" s="596" t="s">
        <v>1560</v>
      </c>
      <c r="V8" s="596"/>
    </row>
    <row r="9" spans="2:32">
      <c r="B9" s="228" t="s">
        <v>609</v>
      </c>
      <c r="C9" s="91">
        <f>'Jun16'!Q21/2</f>
        <v>9383.8950000000004</v>
      </c>
      <c r="D9" s="95">
        <v>0</v>
      </c>
      <c r="F9" s="111" t="s">
        <v>1438</v>
      </c>
      <c r="G9" s="111">
        <v>9985.8799999999992</v>
      </c>
      <c r="H9" s="348">
        <v>42552</v>
      </c>
      <c r="Q9" s="305" t="s">
        <v>15</v>
      </c>
      <c r="R9" s="306">
        <v>3.8</v>
      </c>
      <c r="T9" s="219"/>
      <c r="U9" s="295" t="s">
        <v>1561</v>
      </c>
      <c r="V9" s="309">
        <v>12.29</v>
      </c>
      <c r="Y9" s="602" t="s">
        <v>1605</v>
      </c>
      <c r="Z9" s="602"/>
      <c r="AA9" s="399">
        <v>42531</v>
      </c>
      <c r="AB9" s="399">
        <v>42534</v>
      </c>
      <c r="AC9" s="399">
        <v>42536</v>
      </c>
      <c r="AD9" s="399">
        <v>42543</v>
      </c>
      <c r="AE9" s="399">
        <v>42550</v>
      </c>
      <c r="AF9" s="399">
        <v>42556</v>
      </c>
    </row>
    <row r="10" spans="2:32" ht="14.25" customHeight="1">
      <c r="B10" s="229" t="s">
        <v>122</v>
      </c>
      <c r="C10" s="96">
        <v>-284.98</v>
      </c>
      <c r="D10" s="63">
        <v>0</v>
      </c>
      <c r="F10" s="111" t="s">
        <v>1438</v>
      </c>
      <c r="G10" s="111">
        <v>8596.51</v>
      </c>
      <c r="H10" s="348">
        <v>42555</v>
      </c>
      <c r="J10" s="389" t="s">
        <v>1687</v>
      </c>
      <c r="K10" s="389" t="s">
        <v>219</v>
      </c>
      <c r="L10" s="389" t="s">
        <v>1692</v>
      </c>
      <c r="M10" s="389" t="s">
        <v>1693</v>
      </c>
      <c r="Q10" s="305" t="s">
        <v>1681</v>
      </c>
      <c r="R10" s="377">
        <v>2</v>
      </c>
      <c r="U10" s="295" t="s">
        <v>1562</v>
      </c>
      <c r="V10" s="295">
        <v>40</v>
      </c>
      <c r="Y10" s="297">
        <v>20000</v>
      </c>
      <c r="Z10" s="297">
        <v>1119.81</v>
      </c>
      <c r="AA10" s="297">
        <v>1168.17</v>
      </c>
      <c r="AB10" s="400">
        <v>1196.06</v>
      </c>
      <c r="AC10" s="400">
        <v>1207.25</v>
      </c>
      <c r="AD10" s="400">
        <v>1246.0999999999999</v>
      </c>
      <c r="AE10" s="400">
        <v>1284.81</v>
      </c>
      <c r="AF10" s="400">
        <v>1150.54</v>
      </c>
    </row>
    <row r="11" spans="2:32">
      <c r="B11" s="229" t="s">
        <v>1339</v>
      </c>
      <c r="C11" s="96">
        <v>-806</v>
      </c>
      <c r="D11" s="63">
        <v>0</v>
      </c>
      <c r="F11" s="111" t="s">
        <v>1438</v>
      </c>
      <c r="G11" s="111">
        <v>8600.07</v>
      </c>
      <c r="H11" s="348">
        <v>42556</v>
      </c>
      <c r="J11" s="383" t="s">
        <v>1684</v>
      </c>
      <c r="K11" s="387">
        <v>2447.21</v>
      </c>
      <c r="L11" s="392">
        <f>(K11/O4)-1</f>
        <v>-1.5177912057871001E-3</v>
      </c>
      <c r="M11" s="199">
        <f>K11-O4</f>
        <v>-3.7199999999997999</v>
      </c>
      <c r="Q11" s="305" t="s">
        <v>1682</v>
      </c>
      <c r="R11" s="377">
        <v>19.5</v>
      </c>
      <c r="U11" s="295" t="s">
        <v>45</v>
      </c>
      <c r="V11" s="310">
        <f>V9*V10</f>
        <v>491.59999999999997</v>
      </c>
      <c r="Y11" s="297">
        <v>25000</v>
      </c>
      <c r="Z11" s="297">
        <v>1063.0999999999999</v>
      </c>
      <c r="AA11" s="297">
        <v>1122.3900000000001</v>
      </c>
      <c r="AB11" s="400">
        <v>1157.1099999999999</v>
      </c>
      <c r="AC11" s="400">
        <v>1171.04</v>
      </c>
      <c r="AD11" s="400">
        <v>1219.47</v>
      </c>
      <c r="AE11" s="400">
        <v>1267.74</v>
      </c>
      <c r="AF11" s="400">
        <v>1100.6199999999999</v>
      </c>
    </row>
    <row r="12" spans="2:32">
      <c r="B12" s="242" t="s">
        <v>1415</v>
      </c>
      <c r="C12" s="243">
        <v>-1352.74</v>
      </c>
      <c r="D12" s="63">
        <v>0</v>
      </c>
      <c r="F12" s="111" t="s">
        <v>1438</v>
      </c>
      <c r="G12" s="111">
        <v>8603.69</v>
      </c>
      <c r="H12" s="348">
        <v>42557</v>
      </c>
      <c r="J12" s="390" t="s">
        <v>1685</v>
      </c>
      <c r="K12" s="411">
        <v>1503.32</v>
      </c>
      <c r="L12" s="404">
        <f t="shared" ref="L12:L14" si="0">(K12/O5)-1</f>
        <v>6.231551328304219E-3</v>
      </c>
      <c r="M12" s="405">
        <f t="shared" ref="M12:M14" si="1">K12-O5</f>
        <v>9.3099999999999454</v>
      </c>
      <c r="Q12" s="305"/>
      <c r="R12" s="306"/>
      <c r="U12" s="295" t="s">
        <v>1033</v>
      </c>
      <c r="V12" s="309">
        <v>3.25</v>
      </c>
      <c r="Y12" s="297">
        <v>30000</v>
      </c>
      <c r="Z12" s="297">
        <v>1006.38</v>
      </c>
      <c r="AA12" s="297">
        <v>1076.5999999999999</v>
      </c>
      <c r="AB12" s="400">
        <v>1118.17</v>
      </c>
      <c r="AC12" s="400">
        <v>1134.83</v>
      </c>
      <c r="AD12" s="400">
        <v>1192.82</v>
      </c>
      <c r="AE12" s="400">
        <v>1250.68</v>
      </c>
      <c r="AF12" s="400">
        <v>1050.7</v>
      </c>
    </row>
    <row r="13" spans="2:32" ht="15.75" thickBot="1">
      <c r="B13" s="229" t="s">
        <v>586</v>
      </c>
      <c r="C13" s="96">
        <v>-199.78</v>
      </c>
      <c r="D13" s="63">
        <v>0</v>
      </c>
      <c r="F13" s="111" t="s">
        <v>1438</v>
      </c>
      <c r="G13" s="111">
        <v>8607.2199999999993</v>
      </c>
      <c r="H13" s="348">
        <v>42558</v>
      </c>
      <c r="J13" s="383" t="s">
        <v>1686</v>
      </c>
      <c r="K13" s="387">
        <v>1481.07</v>
      </c>
      <c r="L13" s="392">
        <f t="shared" si="0"/>
        <v>3.5452613328113225E-2</v>
      </c>
      <c r="M13" s="199">
        <f t="shared" si="1"/>
        <v>50.710000000000036</v>
      </c>
      <c r="Q13" s="328" t="s">
        <v>1449</v>
      </c>
      <c r="R13" s="329">
        <f>R9*R10*R11</f>
        <v>148.19999999999999</v>
      </c>
      <c r="U13" s="311" t="s">
        <v>1563</v>
      </c>
      <c r="V13" s="312">
        <v>0.12</v>
      </c>
      <c r="Y13" s="297">
        <v>35000</v>
      </c>
      <c r="Z13" s="297">
        <v>949.68</v>
      </c>
      <c r="AA13" s="295" t="s">
        <v>596</v>
      </c>
      <c r="AB13" s="295" t="s">
        <v>596</v>
      </c>
      <c r="AC13" s="295" t="s">
        <v>596</v>
      </c>
      <c r="AD13" s="295" t="s">
        <v>596</v>
      </c>
      <c r="AE13" s="295" t="s">
        <v>596</v>
      </c>
      <c r="AF13" s="295"/>
    </row>
    <row r="14" spans="2:32" ht="16.5" thickTop="1" thickBot="1">
      <c r="B14" s="229" t="s">
        <v>1397</v>
      </c>
      <c r="C14" s="96">
        <f>-16.82-10.33</f>
        <v>-27.15</v>
      </c>
      <c r="D14" s="63">
        <v>0</v>
      </c>
      <c r="F14" s="111" t="s">
        <v>1438</v>
      </c>
      <c r="G14" s="111">
        <v>8610.77</v>
      </c>
      <c r="H14" s="348">
        <v>42559</v>
      </c>
      <c r="J14" s="390" t="s">
        <v>1277</v>
      </c>
      <c r="K14" s="391">
        <v>7923.53</v>
      </c>
      <c r="L14" s="404">
        <f t="shared" si="0"/>
        <v>4.6724350423752448E-3</v>
      </c>
      <c r="M14" s="405">
        <f t="shared" si="1"/>
        <v>36.849999999999454</v>
      </c>
      <c r="U14" s="328" t="s">
        <v>45</v>
      </c>
      <c r="V14" s="329">
        <f>(V11*V12)*(1-V13)</f>
        <v>1405.9759999999999</v>
      </c>
      <c r="Y14" s="297">
        <v>40000</v>
      </c>
      <c r="Z14" s="297">
        <v>892.69</v>
      </c>
      <c r="AA14" s="295" t="s">
        <v>596</v>
      </c>
      <c r="AB14" s="295" t="s">
        <v>596</v>
      </c>
      <c r="AC14" s="295" t="s">
        <v>596</v>
      </c>
      <c r="AD14" s="295" t="s">
        <v>596</v>
      </c>
      <c r="AE14" s="295" t="s">
        <v>596</v>
      </c>
      <c r="AF14" s="295"/>
    </row>
    <row r="15" spans="2:32" ht="16.5" thickTop="1">
      <c r="B15" s="229" t="s">
        <v>1706</v>
      </c>
      <c r="C15" s="96">
        <v>-950</v>
      </c>
      <c r="D15" s="63">
        <v>0</v>
      </c>
      <c r="F15" s="111" t="s">
        <v>1438</v>
      </c>
      <c r="G15" s="111">
        <v>2616.56</v>
      </c>
      <c r="H15" s="348">
        <v>42562</v>
      </c>
      <c r="J15" s="395" t="s">
        <v>45</v>
      </c>
      <c r="K15" s="397">
        <f>SUM(K11:K14)</f>
        <v>13355.13</v>
      </c>
      <c r="L15" s="398">
        <f>AVERAGE(L11:L14)</f>
        <v>1.1209702123251397E-2</v>
      </c>
      <c r="M15" s="397">
        <f>SUM(M11:M14)</f>
        <v>93.149999999999636</v>
      </c>
      <c r="Q15" s="597" t="s">
        <v>1162</v>
      </c>
      <c r="R15" s="598"/>
    </row>
    <row r="16" spans="2:32" ht="15">
      <c r="B16" s="413" t="s">
        <v>1714</v>
      </c>
      <c r="C16" s="414">
        <v>-9</v>
      </c>
      <c r="D16" s="63">
        <v>0</v>
      </c>
      <c r="F16" s="111" t="s">
        <v>1438</v>
      </c>
      <c r="G16" s="111">
        <v>1822.04</v>
      </c>
      <c r="H16" s="348">
        <v>42563</v>
      </c>
      <c r="Q16" t="s">
        <v>1169</v>
      </c>
      <c r="R16" s="299">
        <v>2477</v>
      </c>
      <c r="U16" s="600" t="s">
        <v>1564</v>
      </c>
      <c r="V16" s="601"/>
    </row>
    <row r="17" spans="2:23">
      <c r="B17" s="229" t="s">
        <v>1419</v>
      </c>
      <c r="C17" s="243">
        <f>-R13</f>
        <v>-148.19999999999999</v>
      </c>
      <c r="D17" s="63">
        <v>0</v>
      </c>
      <c r="F17" s="111" t="s">
        <v>1438</v>
      </c>
      <c r="G17" s="111">
        <v>1824.28</v>
      </c>
      <c r="H17" s="348">
        <v>42569</v>
      </c>
      <c r="Q17" t="s">
        <v>1319</v>
      </c>
      <c r="R17" s="302">
        <v>521</v>
      </c>
      <c r="U17" s="295" t="s">
        <v>1578</v>
      </c>
      <c r="V17" s="320">
        <v>69637.52</v>
      </c>
      <c r="W17" s="83">
        <v>42632</v>
      </c>
    </row>
    <row r="18" spans="2:23">
      <c r="B18" s="229" t="s">
        <v>1098</v>
      </c>
      <c r="C18" s="96">
        <v>-95.22</v>
      </c>
      <c r="D18" s="63">
        <v>0</v>
      </c>
      <c r="E18" s="143"/>
      <c r="F18" s="111" t="s">
        <v>1438</v>
      </c>
      <c r="G18" s="111">
        <v>1825.04</v>
      </c>
      <c r="H18" s="348">
        <v>42570</v>
      </c>
      <c r="Q18" t="s">
        <v>1172</v>
      </c>
      <c r="R18" s="301">
        <v>4.8600000000000001E-6</v>
      </c>
      <c r="U18" s="295" t="s">
        <v>1579</v>
      </c>
      <c r="V18" s="321">
        <v>16946.77</v>
      </c>
    </row>
    <row r="19" spans="2:23">
      <c r="B19" s="229" t="s">
        <v>65</v>
      </c>
      <c r="C19" s="96">
        <v>-600</v>
      </c>
      <c r="D19" s="63">
        <v>0</v>
      </c>
      <c r="F19" s="111" t="s">
        <v>1438</v>
      </c>
      <c r="G19" s="111">
        <v>1825.79</v>
      </c>
      <c r="H19" s="348">
        <v>42571</v>
      </c>
      <c r="Q19" t="s">
        <v>1173</v>
      </c>
      <c r="R19" s="300">
        <f>R17*R18</f>
        <v>2.53206E-3</v>
      </c>
    </row>
    <row r="20" spans="2:23" ht="16.5" thickBot="1">
      <c r="B20" s="229" t="s">
        <v>1069</v>
      </c>
      <c r="C20" s="96">
        <v>-885.4</v>
      </c>
      <c r="D20" s="63">
        <v>0</v>
      </c>
      <c r="F20" s="111" t="s">
        <v>1438</v>
      </c>
      <c r="G20" s="111">
        <v>1826.53</v>
      </c>
      <c r="H20" s="348">
        <v>42572</v>
      </c>
      <c r="Q20" s="328" t="s">
        <v>1174</v>
      </c>
      <c r="R20" s="329">
        <f>R16*R19</f>
        <v>6.2719126200000002</v>
      </c>
      <c r="U20" s="607" t="s">
        <v>1696</v>
      </c>
      <c r="V20" s="607"/>
      <c r="W20" s="607"/>
    </row>
    <row r="21" spans="2:23" ht="13.5" thickTop="1">
      <c r="B21" s="408" t="s">
        <v>1707</v>
      </c>
      <c r="C21" s="409">
        <v>-630</v>
      </c>
      <c r="D21" s="63">
        <v>0</v>
      </c>
      <c r="F21" s="111"/>
      <c r="G21" s="111"/>
      <c r="H21" s="348"/>
      <c r="U21" s="295" t="s">
        <v>1575</v>
      </c>
      <c r="V21" s="297">
        <v>18767.79</v>
      </c>
      <c r="W21" s="403">
        <v>8.5000000000000006E-2</v>
      </c>
    </row>
    <row r="22" spans="2:23">
      <c r="B22" s="229" t="s">
        <v>1242</v>
      </c>
      <c r="C22" s="96">
        <v>-650</v>
      </c>
      <c r="D22" s="63">
        <v>0</v>
      </c>
      <c r="F22" s="111"/>
      <c r="G22" s="111"/>
      <c r="H22" s="348"/>
      <c r="U22" s="295" t="s">
        <v>1576</v>
      </c>
      <c r="V22" s="297">
        <v>19143.14</v>
      </c>
      <c r="W22" s="403">
        <v>2.1700000000000001E-2</v>
      </c>
    </row>
    <row r="23" spans="2:23">
      <c r="B23" s="229" t="s">
        <v>1266</v>
      </c>
      <c r="C23" s="96">
        <v>-1535.07</v>
      </c>
      <c r="D23" s="63">
        <v>0</v>
      </c>
      <c r="F23" s="111"/>
      <c r="G23" s="111"/>
      <c r="H23" s="348"/>
      <c r="U23" s="295" t="s">
        <v>1691</v>
      </c>
      <c r="V23" s="297">
        <v>20995.78</v>
      </c>
      <c r="W23" s="295"/>
    </row>
    <row r="24" spans="2:23">
      <c r="B24" s="229" t="s">
        <v>1721</v>
      </c>
      <c r="C24" s="96">
        <v>-96</v>
      </c>
      <c r="D24" s="63">
        <v>0</v>
      </c>
      <c r="F24" s="111"/>
      <c r="G24" s="111"/>
      <c r="H24" s="348"/>
      <c r="V24" s="193"/>
    </row>
    <row r="25" spans="2:23" ht="15">
      <c r="B25" s="229" t="s">
        <v>1445</v>
      </c>
      <c r="C25" s="243">
        <v>-332.88</v>
      </c>
      <c r="D25" s="63">
        <v>0</v>
      </c>
      <c r="F25" s="111"/>
      <c r="G25" s="111"/>
      <c r="H25" s="348"/>
      <c r="U25" s="599" t="s">
        <v>1574</v>
      </c>
      <c r="V25" s="599"/>
      <c r="W25" s="599"/>
    </row>
    <row r="26" spans="2:23">
      <c r="B26" s="229" t="s">
        <v>103</v>
      </c>
      <c r="C26" s="96">
        <v>-2819.64</v>
      </c>
      <c r="D26" s="63">
        <v>0</v>
      </c>
      <c r="F26" s="111"/>
      <c r="G26" s="111"/>
      <c r="H26" s="348"/>
      <c r="U26" s="295" t="s">
        <v>102</v>
      </c>
      <c r="V26" s="318" t="e">
        <f>#REF!</f>
        <v>#REF!</v>
      </c>
      <c r="W26" t="s">
        <v>1708</v>
      </c>
    </row>
    <row r="27" spans="2:23" ht="15.75" thickBot="1">
      <c r="B27" s="229" t="s">
        <v>1729</v>
      </c>
      <c r="C27" s="96">
        <v>787.44</v>
      </c>
      <c r="D27" s="63">
        <v>0</v>
      </c>
      <c r="F27" s="401" t="s">
        <v>1031</v>
      </c>
      <c r="G27" s="402">
        <f ca="1">OFFSET(G3,COUNTA(G4:G26),0)</f>
        <v>1826.53</v>
      </c>
      <c r="H27" s="401"/>
      <c r="U27" s="295" t="s">
        <v>140</v>
      </c>
      <c r="V27" s="321">
        <f>'Ago16'!G6</f>
        <v>9969.9</v>
      </c>
      <c r="W27" t="s">
        <v>1697</v>
      </c>
    </row>
    <row r="28" spans="2:23" ht="13.5" thickTop="1">
      <c r="B28" s="229" t="s">
        <v>125</v>
      </c>
      <c r="C28" s="96">
        <v>-3500</v>
      </c>
      <c r="D28" s="63">
        <v>0</v>
      </c>
      <c r="F28" s="199"/>
      <c r="G28" s="199"/>
      <c r="U28" s="295" t="s">
        <v>1560</v>
      </c>
      <c r="V28" s="318">
        <f>V14</f>
        <v>1405.9759999999999</v>
      </c>
    </row>
    <row r="29" spans="2:23">
      <c r="B29" s="229" t="s">
        <v>73</v>
      </c>
      <c r="C29" s="96">
        <v>-269.16000000000003</v>
      </c>
      <c r="D29" s="63">
        <v>0</v>
      </c>
      <c r="U29" s="295" t="s">
        <v>602</v>
      </c>
      <c r="V29" s="318">
        <v>6500</v>
      </c>
    </row>
    <row r="30" spans="2:23">
      <c r="B30" s="416" t="s">
        <v>1730</v>
      </c>
      <c r="C30" s="417">
        <v>-65</v>
      </c>
      <c r="D30" s="63">
        <v>0</v>
      </c>
      <c r="F30" s="199"/>
      <c r="G30" s="199"/>
      <c r="U30" s="295" t="s">
        <v>429</v>
      </c>
      <c r="V30" s="318">
        <v>6500</v>
      </c>
    </row>
    <row r="31" spans="2:23" ht="15.75" thickBot="1">
      <c r="B31" s="229" t="s">
        <v>117</v>
      </c>
      <c r="C31" s="96">
        <v>-2135.2199999999998</v>
      </c>
      <c r="D31" s="63">
        <v>0</v>
      </c>
      <c r="U31" s="357" t="s">
        <v>1449</v>
      </c>
      <c r="V31" s="358" t="e">
        <f>SUM(V26:V30)</f>
        <v>#REF!</v>
      </c>
    </row>
    <row r="32" spans="2:23" ht="18.75" thickTop="1">
      <c r="B32" s="229" t="s">
        <v>102</v>
      </c>
      <c r="C32" s="243">
        <f>-O8</f>
        <v>-13261.98</v>
      </c>
      <c r="D32" s="63">
        <v>0</v>
      </c>
      <c r="E32" s="211"/>
      <c r="F32" s="199"/>
      <c r="G32" s="199"/>
      <c r="U32" s="315" t="s">
        <v>1568</v>
      </c>
      <c r="V32" s="316">
        <v>55000</v>
      </c>
    </row>
    <row r="33" spans="2:22" ht="18">
      <c r="B33" s="229" t="s">
        <v>1713</v>
      </c>
      <c r="C33" s="96">
        <v>1384.87</v>
      </c>
      <c r="D33" s="63">
        <v>0</v>
      </c>
      <c r="U33" s="412" t="s">
        <v>1709</v>
      </c>
      <c r="V33" s="410" t="e">
        <f>V31-V32</f>
        <v>#REF!</v>
      </c>
    </row>
    <row r="34" spans="2:22">
      <c r="B34" s="379" t="s">
        <v>755</v>
      </c>
      <c r="C34" s="380">
        <v>5989.5</v>
      </c>
      <c r="D34" s="63">
        <v>0</v>
      </c>
      <c r="F34" s="199"/>
      <c r="G34" s="199"/>
    </row>
    <row r="35" spans="2:22">
      <c r="B35" s="242" t="s">
        <v>1353</v>
      </c>
      <c r="C35" s="243">
        <v>-59.9</v>
      </c>
      <c r="D35" s="63">
        <v>0</v>
      </c>
    </row>
    <row r="36" spans="2:22">
      <c r="B36" s="229" t="s">
        <v>1249</v>
      </c>
      <c r="C36" s="96">
        <v>-697.31</v>
      </c>
      <c r="D36" s="63">
        <v>0</v>
      </c>
    </row>
    <row r="37" spans="2:22" ht="18">
      <c r="B37" s="74" t="s">
        <v>1580</v>
      </c>
      <c r="C37" s="188"/>
      <c r="D37" s="241">
        <f>SUM(D4:D36)</f>
        <v>-197.12</v>
      </c>
    </row>
  </sheetData>
  <mergeCells count="14">
    <mergeCell ref="Q15:R15"/>
    <mergeCell ref="U25:W25"/>
    <mergeCell ref="J2:O2"/>
    <mergeCell ref="U16:V16"/>
    <mergeCell ref="U20:W20"/>
    <mergeCell ref="U8:V8"/>
    <mergeCell ref="Y9:Z9"/>
    <mergeCell ref="Y2:AB2"/>
    <mergeCell ref="Y3:Z3"/>
    <mergeCell ref="Q7:R7"/>
    <mergeCell ref="F2:H2"/>
    <mergeCell ref="Q2:R2"/>
    <mergeCell ref="U2:W2"/>
    <mergeCell ref="Y4:Z4"/>
  </mergeCells>
  <conditionalFormatting sqref="V33 D4:D9">
    <cfRule type="cellIs" dxfId="68" priority="8" stopIfTrue="1" operator="lessThan">
      <formula>0</formula>
    </cfRule>
  </conditionalFormatting>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132.xml><?xml version="1.0" encoding="utf-8"?>
<worksheet xmlns="http://schemas.openxmlformats.org/spreadsheetml/2006/main" xmlns:r="http://schemas.openxmlformats.org/officeDocument/2006/relationships">
  <dimension ref="B1:Q64"/>
  <sheetViews>
    <sheetView zoomScale="75" zoomScaleNormal="75" workbookViewId="0">
      <selection activeCell="N4" sqref="N4:Q11"/>
    </sheetView>
  </sheetViews>
  <sheetFormatPr defaultRowHeight="15"/>
  <cols>
    <col min="1" max="1" width="1" style="266" customWidth="1"/>
    <col min="2" max="2" width="45.140625" style="266" bestFit="1" customWidth="1"/>
    <col min="3" max="3" width="13.85546875" style="266" bestFit="1" customWidth="1"/>
    <col min="4" max="4" width="17.7109375" style="266" bestFit="1" customWidth="1"/>
    <col min="5" max="5" width="16.42578125" style="266" bestFit="1" customWidth="1"/>
    <col min="6" max="13" width="2.140625" style="266" customWidth="1"/>
    <col min="14" max="14" width="13.28515625" style="266" bestFit="1" customWidth="1"/>
    <col min="15" max="15" width="13.570312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C54</f>
        <v>-546.48999999999978</v>
      </c>
      <c r="P3" s="418" t="s">
        <v>1513</v>
      </c>
      <c r="Q3" s="418" t="s">
        <v>1513</v>
      </c>
    </row>
    <row r="4" spans="2:17">
      <c r="B4" s="427" t="s">
        <v>1654</v>
      </c>
      <c r="C4" s="428">
        <v>333.34</v>
      </c>
      <c r="D4" s="429" t="s">
        <v>1456</v>
      </c>
      <c r="E4" s="426" t="s">
        <v>1454</v>
      </c>
      <c r="N4" s="430" t="s">
        <v>1705</v>
      </c>
      <c r="O4" s="424">
        <f>361.12/3</f>
        <v>120.37333333333333</v>
      </c>
      <c r="P4" s="425" t="s">
        <v>1452</v>
      </c>
      <c r="Q4" s="431" t="s">
        <v>1455</v>
      </c>
    </row>
    <row r="5" spans="2:17">
      <c r="B5" s="427" t="s">
        <v>1698</v>
      </c>
      <c r="C5" s="428">
        <v>22.9</v>
      </c>
      <c r="D5" s="429" t="s">
        <v>1458</v>
      </c>
      <c r="E5" s="426" t="s">
        <v>1455</v>
      </c>
      <c r="N5" s="430" t="s">
        <v>1710</v>
      </c>
      <c r="O5" s="424">
        <v>10</v>
      </c>
      <c r="P5" s="425" t="s">
        <v>1456</v>
      </c>
      <c r="Q5" s="426" t="s">
        <v>1454</v>
      </c>
    </row>
    <row r="6" spans="2:17">
      <c r="B6" s="427" t="s">
        <v>1552</v>
      </c>
      <c r="C6" s="428">
        <v>11.57</v>
      </c>
      <c r="D6" s="429" t="s">
        <v>1450</v>
      </c>
      <c r="E6" s="426" t="s">
        <v>1455</v>
      </c>
      <c r="N6" s="430" t="s">
        <v>1599</v>
      </c>
      <c r="O6" s="424">
        <v>22.9</v>
      </c>
      <c r="P6" s="425" t="s">
        <v>1456</v>
      </c>
      <c r="Q6" s="426" t="s">
        <v>1455</v>
      </c>
    </row>
    <row r="7" spans="2:17">
      <c r="B7" s="427" t="s">
        <v>1552</v>
      </c>
      <c r="C7" s="428">
        <v>60.53</v>
      </c>
      <c r="D7" s="429" t="s">
        <v>1450</v>
      </c>
      <c r="E7" s="426" t="s">
        <v>1455</v>
      </c>
      <c r="N7" s="432" t="s">
        <v>1715</v>
      </c>
      <c r="O7" s="424">
        <v>53.15</v>
      </c>
      <c r="P7" s="425" t="s">
        <v>1452</v>
      </c>
      <c r="Q7" s="431" t="s">
        <v>1455</v>
      </c>
    </row>
    <row r="8" spans="2:17">
      <c r="B8" s="427" t="s">
        <v>1699</v>
      </c>
      <c r="C8" s="428">
        <v>44.99</v>
      </c>
      <c r="D8" s="429" t="s">
        <v>1458</v>
      </c>
      <c r="E8" s="426" t="s">
        <v>1455</v>
      </c>
      <c r="N8" s="433" t="s">
        <v>1718</v>
      </c>
      <c r="O8" s="424">
        <v>159</v>
      </c>
      <c r="P8" s="425" t="s">
        <v>1458</v>
      </c>
      <c r="Q8" s="426" t="s">
        <v>1455</v>
      </c>
    </row>
    <row r="9" spans="2:17">
      <c r="B9" s="427" t="s">
        <v>1700</v>
      </c>
      <c r="C9" s="428">
        <v>84.74</v>
      </c>
      <c r="D9" s="429" t="s">
        <v>1458</v>
      </c>
      <c r="E9" s="426" t="s">
        <v>1455</v>
      </c>
      <c r="N9" s="434" t="s">
        <v>1478</v>
      </c>
      <c r="O9" s="424">
        <v>43.54</v>
      </c>
      <c r="P9" s="425" t="s">
        <v>38</v>
      </c>
      <c r="Q9" s="426" t="s">
        <v>1454</v>
      </c>
    </row>
    <row r="10" spans="2:17">
      <c r="B10" s="427" t="s">
        <v>1701</v>
      </c>
      <c r="C10" s="428">
        <v>92.98</v>
      </c>
      <c r="D10" s="429" t="s">
        <v>17</v>
      </c>
      <c r="E10" s="426" t="s">
        <v>1455</v>
      </c>
      <c r="N10" s="435" t="s">
        <v>1722</v>
      </c>
      <c r="O10" s="424">
        <v>12</v>
      </c>
      <c r="P10" s="425" t="s">
        <v>1456</v>
      </c>
      <c r="Q10" s="426" t="s">
        <v>1454</v>
      </c>
    </row>
    <row r="11" spans="2:17">
      <c r="B11" s="427" t="s">
        <v>1702</v>
      </c>
      <c r="C11" s="428">
        <v>13.8</v>
      </c>
      <c r="D11" s="429" t="s">
        <v>1458</v>
      </c>
      <c r="E11" s="426" t="s">
        <v>1454</v>
      </c>
      <c r="N11" s="436" t="s">
        <v>1632</v>
      </c>
      <c r="O11" s="424">
        <v>14.9</v>
      </c>
      <c r="P11" s="425" t="s">
        <v>1456</v>
      </c>
      <c r="Q11" s="426" t="s">
        <v>1454</v>
      </c>
    </row>
    <row r="12" spans="2:17">
      <c r="B12" s="427" t="s">
        <v>1703</v>
      </c>
      <c r="C12" s="428">
        <v>197.39</v>
      </c>
      <c r="D12" s="429" t="s">
        <v>1458</v>
      </c>
      <c r="E12" s="426" t="s">
        <v>1454</v>
      </c>
      <c r="N12" s="436" t="s">
        <v>1478</v>
      </c>
      <c r="O12" s="424">
        <v>32.24</v>
      </c>
      <c r="P12" s="425" t="s">
        <v>38</v>
      </c>
      <c r="Q12" s="426" t="s">
        <v>1455</v>
      </c>
    </row>
    <row r="13" spans="2:17">
      <c r="B13" s="427" t="s">
        <v>1704</v>
      </c>
      <c r="C13" s="428">
        <v>14.5</v>
      </c>
      <c r="D13" s="429" t="s">
        <v>1458</v>
      </c>
      <c r="E13" s="426" t="s">
        <v>1454</v>
      </c>
      <c r="N13" s="436" t="s">
        <v>1478</v>
      </c>
      <c r="O13" s="424">
        <v>28.29</v>
      </c>
      <c r="P13" s="425" t="s">
        <v>38</v>
      </c>
      <c r="Q13" s="426" t="s">
        <v>1455</v>
      </c>
    </row>
    <row r="14" spans="2:17">
      <c r="B14" s="427" t="s">
        <v>1712</v>
      </c>
      <c r="C14" s="428">
        <v>299</v>
      </c>
      <c r="D14" s="429" t="s">
        <v>1453</v>
      </c>
      <c r="E14" s="426" t="s">
        <v>1454</v>
      </c>
      <c r="N14" s="444" t="s">
        <v>1478</v>
      </c>
      <c r="O14" s="424">
        <v>30.21</v>
      </c>
      <c r="P14" s="425" t="s">
        <v>38</v>
      </c>
      <c r="Q14" s="426" t="s">
        <v>1455</v>
      </c>
    </row>
    <row r="15" spans="2:17">
      <c r="B15" s="427" t="s">
        <v>1711</v>
      </c>
      <c r="C15" s="428">
        <v>51.81</v>
      </c>
      <c r="D15" s="429" t="s">
        <v>1458</v>
      </c>
      <c r="E15" s="426" t="s">
        <v>1455</v>
      </c>
      <c r="N15" s="444"/>
      <c r="O15" s="424"/>
      <c r="P15" s="429"/>
      <c r="Q15" s="426"/>
    </row>
    <row r="16" spans="2:17">
      <c r="B16" s="427" t="s">
        <v>1658</v>
      </c>
      <c r="C16" s="428">
        <v>39</v>
      </c>
      <c r="D16" s="429" t="s">
        <v>1458</v>
      </c>
      <c r="E16" s="426" t="s">
        <v>1455</v>
      </c>
      <c r="N16" s="430"/>
      <c r="O16" s="424"/>
      <c r="P16" s="425"/>
      <c r="Q16" s="426"/>
    </row>
    <row r="17" spans="2:17">
      <c r="B17" s="427" t="s">
        <v>1716</v>
      </c>
      <c r="C17" s="428">
        <v>30.11</v>
      </c>
      <c r="D17" s="429" t="s">
        <v>1458</v>
      </c>
      <c r="E17" s="426" t="s">
        <v>1455</v>
      </c>
      <c r="N17" s="430"/>
      <c r="O17" s="424"/>
      <c r="P17" s="425"/>
      <c r="Q17" s="426"/>
    </row>
    <row r="18" spans="2:17">
      <c r="B18" s="427" t="s">
        <v>1508</v>
      </c>
      <c r="C18" s="428">
        <v>241.09</v>
      </c>
      <c r="D18" s="429" t="s">
        <v>17</v>
      </c>
      <c r="E18" s="426" t="s">
        <v>1455</v>
      </c>
      <c r="N18" s="437"/>
      <c r="O18" s="424"/>
      <c r="P18" s="425"/>
      <c r="Q18" s="426"/>
    </row>
    <row r="19" spans="2:17">
      <c r="B19" s="427" t="s">
        <v>1717</v>
      </c>
      <c r="C19" s="428">
        <v>171.12</v>
      </c>
      <c r="D19" s="429" t="s">
        <v>1458</v>
      </c>
      <c r="E19" s="426" t="s">
        <v>1455</v>
      </c>
      <c r="N19" s="437"/>
      <c r="O19" s="424"/>
      <c r="P19" s="425"/>
      <c r="Q19" s="426"/>
    </row>
    <row r="20" spans="2:17">
      <c r="B20" s="427" t="s">
        <v>1720</v>
      </c>
      <c r="C20" s="428">
        <v>72.760000000000005</v>
      </c>
      <c r="D20" s="429" t="s">
        <v>1450</v>
      </c>
      <c r="E20" s="426" t="s">
        <v>1454</v>
      </c>
      <c r="N20" s="438"/>
      <c r="O20" s="424"/>
      <c r="P20" s="425"/>
      <c r="Q20" s="426"/>
    </row>
    <row r="21" spans="2:17">
      <c r="B21" s="427" t="s">
        <v>1583</v>
      </c>
      <c r="C21" s="428">
        <v>30.5</v>
      </c>
      <c r="D21" s="429" t="s">
        <v>1458</v>
      </c>
      <c r="E21" s="426" t="s">
        <v>1455</v>
      </c>
      <c r="N21" s="439"/>
      <c r="O21" s="424"/>
      <c r="P21" s="425"/>
      <c r="Q21" s="426"/>
    </row>
    <row r="22" spans="2:17" ht="16.5" thickBot="1">
      <c r="B22" s="427" t="s">
        <v>1723</v>
      </c>
      <c r="C22" s="428">
        <v>9.7200000000000006</v>
      </c>
      <c r="D22" s="429" t="s">
        <v>1450</v>
      </c>
      <c r="E22" s="426" t="s">
        <v>1454</v>
      </c>
      <c r="N22" s="286" t="s">
        <v>1534</v>
      </c>
      <c r="O22" s="287">
        <f>O3-SUM(O4:O21)</f>
        <v>-1073.0933333333332</v>
      </c>
      <c r="P22" s="286"/>
      <c r="Q22" s="286"/>
    </row>
    <row r="23" spans="2:17" ht="15.75" thickTop="1">
      <c r="B23" s="427" t="s">
        <v>1475</v>
      </c>
      <c r="C23" s="428">
        <v>39</v>
      </c>
      <c r="D23" s="429" t="s">
        <v>1458</v>
      </c>
      <c r="E23" s="426" t="s">
        <v>1455</v>
      </c>
    </row>
    <row r="24" spans="2:17">
      <c r="B24" s="427" t="s">
        <v>1583</v>
      </c>
      <c r="C24" s="428">
        <v>10.08</v>
      </c>
      <c r="D24" s="429" t="s">
        <v>1458</v>
      </c>
      <c r="E24" s="426" t="s">
        <v>1455</v>
      </c>
    </row>
    <row r="25" spans="2:17">
      <c r="B25" s="427" t="s">
        <v>1724</v>
      </c>
      <c r="C25" s="428">
        <v>17.399999999999999</v>
      </c>
      <c r="D25" s="429" t="s">
        <v>1458</v>
      </c>
      <c r="E25" s="426" t="s">
        <v>1454</v>
      </c>
      <c r="N25" s="603" t="s">
        <v>704</v>
      </c>
      <c r="O25" s="603"/>
      <c r="P25" s="349">
        <v>3327.98</v>
      </c>
    </row>
    <row r="26" spans="2:17">
      <c r="B26" s="427" t="s">
        <v>1725</v>
      </c>
      <c r="C26" s="428">
        <v>24</v>
      </c>
      <c r="D26" s="429" t="s">
        <v>17</v>
      </c>
      <c r="E26" s="426" t="s">
        <v>1454</v>
      </c>
      <c r="N26" s="604" t="s">
        <v>1445</v>
      </c>
      <c r="O26" s="604"/>
      <c r="P26" s="349">
        <v>550.97</v>
      </c>
    </row>
    <row r="27" spans="2:17" ht="15.75" thickBot="1">
      <c r="B27" s="427" t="s">
        <v>1726</v>
      </c>
      <c r="C27" s="428">
        <v>25.9</v>
      </c>
      <c r="D27" s="429" t="s">
        <v>1450</v>
      </c>
      <c r="E27" s="426" t="s">
        <v>1454</v>
      </c>
      <c r="N27" s="590" t="s">
        <v>1629</v>
      </c>
      <c r="O27" s="590"/>
      <c r="P27" s="323">
        <f>SUM(P25:P26)</f>
        <v>3878.95</v>
      </c>
    </row>
    <row r="28" spans="2:17" ht="15.75" thickTop="1">
      <c r="B28" s="427" t="s">
        <v>1727</v>
      </c>
      <c r="C28" s="428">
        <v>64.5</v>
      </c>
      <c r="D28" s="429" t="s">
        <v>1458</v>
      </c>
      <c r="E28" s="426" t="s">
        <v>1454</v>
      </c>
    </row>
    <row r="29" spans="2:17">
      <c r="B29" s="440" t="s">
        <v>1728</v>
      </c>
      <c r="C29" s="428">
        <v>70</v>
      </c>
      <c r="D29" s="429" t="s">
        <v>38</v>
      </c>
      <c r="E29" s="426" t="s">
        <v>1455</v>
      </c>
    </row>
    <row r="30" spans="2:17">
      <c r="B30" s="440" t="s">
        <v>1732</v>
      </c>
      <c r="C30" s="428">
        <v>29</v>
      </c>
      <c r="D30" s="429" t="s">
        <v>17</v>
      </c>
      <c r="E30" s="426" t="s">
        <v>1454</v>
      </c>
    </row>
    <row r="31" spans="2:17">
      <c r="B31" s="440" t="s">
        <v>1733</v>
      </c>
      <c r="C31" s="428">
        <v>60</v>
      </c>
      <c r="D31" s="429" t="s">
        <v>38</v>
      </c>
      <c r="E31" s="426" t="s">
        <v>1455</v>
      </c>
    </row>
    <row r="32" spans="2:17">
      <c r="B32" s="440" t="s">
        <v>1734</v>
      </c>
      <c r="C32" s="428">
        <v>61.22</v>
      </c>
      <c r="D32" s="429" t="s">
        <v>1458</v>
      </c>
      <c r="E32" s="426" t="s">
        <v>1455</v>
      </c>
    </row>
    <row r="33" spans="2:5">
      <c r="B33" s="440" t="s">
        <v>1735</v>
      </c>
      <c r="C33" s="428">
        <v>112.86</v>
      </c>
      <c r="D33" s="429" t="s">
        <v>1458</v>
      </c>
      <c r="E33" s="426" t="s">
        <v>1455</v>
      </c>
    </row>
    <row r="34" spans="2:5">
      <c r="B34" s="440" t="s">
        <v>1736</v>
      </c>
      <c r="C34" s="428">
        <v>14</v>
      </c>
      <c r="D34" s="429" t="s">
        <v>1458</v>
      </c>
      <c r="E34" s="426" t="s">
        <v>1455</v>
      </c>
    </row>
    <row r="35" spans="2:5">
      <c r="B35" s="440" t="s">
        <v>1737</v>
      </c>
      <c r="C35" s="428">
        <v>14.5</v>
      </c>
      <c r="D35" s="429" t="s">
        <v>1458</v>
      </c>
      <c r="E35" s="426" t="s">
        <v>1455</v>
      </c>
    </row>
    <row r="36" spans="2:5">
      <c r="B36" s="440" t="s">
        <v>1738</v>
      </c>
      <c r="C36" s="428">
        <v>33</v>
      </c>
      <c r="D36" s="429" t="s">
        <v>1458</v>
      </c>
      <c r="E36" s="426" t="s">
        <v>1455</v>
      </c>
    </row>
    <row r="37" spans="2:5">
      <c r="B37" s="440" t="s">
        <v>1739</v>
      </c>
      <c r="C37" s="428">
        <v>53.78</v>
      </c>
      <c r="D37" s="429" t="s">
        <v>38</v>
      </c>
      <c r="E37" s="426" t="s">
        <v>1455</v>
      </c>
    </row>
    <row r="38" spans="2:5">
      <c r="B38" s="440" t="s">
        <v>1738</v>
      </c>
      <c r="C38" s="428">
        <v>107</v>
      </c>
      <c r="D38" s="429" t="s">
        <v>1458</v>
      </c>
      <c r="E38" s="426" t="s">
        <v>1455</v>
      </c>
    </row>
    <row r="39" spans="2:5">
      <c r="B39" s="440" t="s">
        <v>1740</v>
      </c>
      <c r="C39" s="428">
        <v>202</v>
      </c>
      <c r="D39" s="429" t="s">
        <v>1452</v>
      </c>
      <c r="E39" s="426" t="s">
        <v>1455</v>
      </c>
    </row>
    <row r="40" spans="2:5">
      <c r="B40" s="440" t="s">
        <v>1741</v>
      </c>
      <c r="C40" s="428">
        <v>54.54</v>
      </c>
      <c r="D40" s="429" t="s">
        <v>1451</v>
      </c>
      <c r="E40" s="426" t="s">
        <v>1455</v>
      </c>
    </row>
    <row r="41" spans="2:5">
      <c r="B41" s="440" t="s">
        <v>1742</v>
      </c>
      <c r="C41" s="428">
        <v>61.33</v>
      </c>
      <c r="D41" s="429" t="s">
        <v>1451</v>
      </c>
      <c r="E41" s="426" t="s">
        <v>1455</v>
      </c>
    </row>
    <row r="42" spans="2:5">
      <c r="B42" s="440" t="s">
        <v>1743</v>
      </c>
      <c r="C42" s="428">
        <v>67.290000000000006</v>
      </c>
      <c r="D42" s="429" t="s">
        <v>1451</v>
      </c>
      <c r="E42" s="426" t="s">
        <v>1455</v>
      </c>
    </row>
    <row r="43" spans="2:5">
      <c r="B43" s="440" t="s">
        <v>1744</v>
      </c>
      <c r="C43" s="428">
        <v>76.59</v>
      </c>
      <c r="D43" s="429" t="s">
        <v>1451</v>
      </c>
      <c r="E43" s="426" t="s">
        <v>1455</v>
      </c>
    </row>
    <row r="44" spans="2:5">
      <c r="B44" s="440" t="s">
        <v>1745</v>
      </c>
      <c r="C44" s="428">
        <v>24</v>
      </c>
      <c r="D44" s="429" t="s">
        <v>1458</v>
      </c>
      <c r="E44" s="426" t="s">
        <v>1455</v>
      </c>
    </row>
    <row r="45" spans="2:5">
      <c r="B45" s="440" t="s">
        <v>1746</v>
      </c>
      <c r="C45" s="428">
        <v>58.93</v>
      </c>
      <c r="D45" s="429" t="s">
        <v>38</v>
      </c>
      <c r="E45" s="426" t="s">
        <v>1455</v>
      </c>
    </row>
    <row r="46" spans="2:5">
      <c r="B46" s="440" t="s">
        <v>1747</v>
      </c>
      <c r="C46" s="428">
        <v>67</v>
      </c>
      <c r="D46" s="429" t="s">
        <v>38</v>
      </c>
      <c r="E46" s="426" t="s">
        <v>1455</v>
      </c>
    </row>
    <row r="47" spans="2:5">
      <c r="B47" s="440" t="s">
        <v>1748</v>
      </c>
      <c r="C47" s="428">
        <v>134.80000000000001</v>
      </c>
      <c r="D47" s="429" t="s">
        <v>1458</v>
      </c>
      <c r="E47" s="426" t="s">
        <v>1455</v>
      </c>
    </row>
    <row r="48" spans="2:5">
      <c r="B48" s="427" t="s">
        <v>1749</v>
      </c>
      <c r="C48" s="428">
        <v>19.5</v>
      </c>
      <c r="D48" s="429" t="s">
        <v>1458</v>
      </c>
      <c r="E48" s="426" t="s">
        <v>1454</v>
      </c>
    </row>
    <row r="49" spans="2:5">
      <c r="B49" s="427" t="s">
        <v>1750</v>
      </c>
      <c r="C49" s="428">
        <v>22.42</v>
      </c>
      <c r="D49" s="429" t="s">
        <v>1451</v>
      </c>
      <c r="E49" s="426" t="s">
        <v>1454</v>
      </c>
    </row>
    <row r="50" spans="2:5">
      <c r="B50" s="427"/>
      <c r="C50" s="428"/>
      <c r="D50" s="429"/>
      <c r="E50" s="426"/>
    </row>
    <row r="51" spans="2:5">
      <c r="B51" s="427"/>
      <c r="C51" s="428"/>
      <c r="D51" s="429"/>
      <c r="E51" s="426"/>
    </row>
    <row r="52" spans="2:5">
      <c r="B52" s="427"/>
      <c r="C52" s="428"/>
      <c r="D52" s="429"/>
      <c r="E52" s="426"/>
    </row>
    <row r="53" spans="2:5" ht="15.75" thickBot="1">
      <c r="B53" s="420"/>
      <c r="C53" s="421"/>
      <c r="D53" s="422"/>
      <c r="E53" s="423"/>
    </row>
    <row r="54" spans="2:5" ht="16.5" thickBot="1">
      <c r="B54" s="286" t="s">
        <v>1459</v>
      </c>
      <c r="C54" s="287">
        <f>C3-SUM(C4:C53)</f>
        <v>-546.48999999999978</v>
      </c>
      <c r="D54" s="286"/>
      <c r="E54" s="286"/>
    </row>
    <row r="55" spans="2:5" ht="15.75" thickTop="1">
      <c r="B55" s="266" t="s">
        <v>1584</v>
      </c>
      <c r="C55" s="270">
        <f>AVERAGE(C4:C52)</f>
        <v>72.749782608695654</v>
      </c>
    </row>
    <row r="56" spans="2:5">
      <c r="C56" s="270"/>
    </row>
    <row r="57" spans="2:5">
      <c r="D57" s="266" t="s">
        <v>1458</v>
      </c>
      <c r="E57" s="269" t="s">
        <v>1457</v>
      </c>
    </row>
    <row r="58" spans="2:5">
      <c r="D58" s="266" t="s">
        <v>1456</v>
      </c>
      <c r="E58" s="268" t="s">
        <v>1455</v>
      </c>
    </row>
    <row r="59" spans="2:5">
      <c r="D59" s="266" t="s">
        <v>38</v>
      </c>
      <c r="E59" s="267" t="s">
        <v>1454</v>
      </c>
    </row>
    <row r="60" spans="2:5">
      <c r="D60" s="266" t="s">
        <v>1453</v>
      </c>
    </row>
    <row r="61" spans="2:5">
      <c r="D61" s="266" t="s">
        <v>1452</v>
      </c>
    </row>
    <row r="62" spans="2:5">
      <c r="D62" s="266" t="s">
        <v>17</v>
      </c>
    </row>
    <row r="63" spans="2:5">
      <c r="D63" s="266" t="s">
        <v>1451</v>
      </c>
    </row>
    <row r="64" spans="2:5">
      <c r="D64" s="266" t="s">
        <v>1450</v>
      </c>
    </row>
  </sheetData>
  <mergeCells count="5">
    <mergeCell ref="B1:E1"/>
    <mergeCell ref="N1:Q1"/>
    <mergeCell ref="N25:O25"/>
    <mergeCell ref="N26:O26"/>
    <mergeCell ref="N27:O27"/>
  </mergeCells>
  <conditionalFormatting sqref="E4:E53 Q4:Q21">
    <cfRule type="containsText" dxfId="63" priority="12" stopIfTrue="1" operator="containsText" text="Necessário">
      <formula>NOT(ISERROR(SEARCH("Necessário",E4)))</formula>
    </cfRule>
  </conditionalFormatting>
  <conditionalFormatting sqref="E4:E53 Q4:Q21">
    <cfRule type="containsText" dxfId="62" priority="11" stopIfTrue="1" operator="containsText" text="Frívolo">
      <formula>NOT(ISERROR(SEARCH("Frívolo",E4)))</formula>
    </cfRule>
  </conditionalFormatting>
  <conditionalFormatting sqref="C56">
    <cfRule type="dataBar" priority="10">
      <dataBar>
        <cfvo type="min" val="0"/>
        <cfvo type="max" val="0"/>
        <color rgb="FF638EC6"/>
      </dataBar>
    </cfRule>
  </conditionalFormatting>
  <conditionalFormatting sqref="C55">
    <cfRule type="dataBar" priority="9">
      <dataBar>
        <cfvo type="min" val="0"/>
        <cfvo type="max" val="0"/>
        <color rgb="FF638EC6"/>
      </dataBar>
    </cfRule>
  </conditionalFormatting>
  <dataValidations count="2">
    <dataValidation type="list" allowBlank="1" showInputMessage="1" showErrorMessage="1" sqref="D4:D53 P4:P21">
      <formula1>$D$57:$D$64</formula1>
    </dataValidation>
    <dataValidation type="list" allowBlank="1" showInputMessage="1" showErrorMessage="1" sqref="K5:L6 E4:E53 F5:F6 Q4:Q21">
      <formula1>$E$57:$E$59</formula1>
    </dataValidation>
  </dataValidations>
  <pageMargins left="0.511811024" right="0.511811024" top="0.78740157499999996" bottom="0.78740157499999996" header="0.31496062000000002" footer="0.31496062000000002"/>
  <pageSetup paperSize="9" orientation="portrait" r:id="rId1"/>
</worksheet>
</file>

<file path=xl/worksheets/sheet133.xml><?xml version="1.0" encoding="utf-8"?>
<worksheet xmlns="http://schemas.openxmlformats.org/spreadsheetml/2006/main" xmlns:r="http://schemas.openxmlformats.org/officeDocument/2006/relationships">
  <dimension ref="B2:AG50"/>
  <sheetViews>
    <sheetView zoomScale="75" zoomScaleNormal="75" workbookViewId="0">
      <selection activeCell="D15" sqref="D15"/>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9.140625" bestFit="1" customWidth="1"/>
    <col min="13" max="13" width="13.5703125" bestFit="1" customWidth="1"/>
    <col min="14" max="14" width="8.85546875" customWidth="1"/>
    <col min="15" max="15" width="15.140625" bestFit="1" customWidth="1"/>
    <col min="16" max="16" width="1.140625" customWidth="1"/>
    <col min="17" max="17" width="13.140625" customWidth="1"/>
    <col min="18" max="18" width="16" customWidth="1"/>
    <col min="19" max="19" width="0.85546875" customWidth="1"/>
    <col min="20" max="20" width="0.7109375" customWidth="1"/>
    <col min="21" max="21" width="14.28515625" bestFit="1" customWidth="1"/>
    <col min="22" max="22" width="20" bestFit="1" customWidth="1"/>
    <col min="23" max="23" width="15" bestFit="1" customWidth="1"/>
    <col min="24" max="24" width="1.5703125" customWidth="1"/>
    <col min="25" max="25" width="14.42578125" bestFit="1" customWidth="1"/>
    <col min="26" max="26" width="14.5703125" bestFit="1" customWidth="1"/>
    <col min="27" max="27" width="12.85546875" bestFit="1" customWidth="1"/>
    <col min="28" max="28" width="29.42578125" bestFit="1" customWidth="1"/>
    <col min="29" max="29" width="13.28515625" bestFit="1" customWidth="1"/>
    <col min="30" max="30" width="14" bestFit="1" customWidth="1"/>
    <col min="31" max="31" width="14.42578125" bestFit="1" customWidth="1"/>
    <col min="32" max="33" width="12.85546875" bestFit="1" customWidth="1"/>
  </cols>
  <sheetData>
    <row r="2" spans="2:33" ht="23.25">
      <c r="B2" s="236" t="s">
        <v>1401</v>
      </c>
      <c r="C2" s="237" t="s">
        <v>1402</v>
      </c>
      <c r="D2" s="238" t="s">
        <v>1554</v>
      </c>
      <c r="F2" s="593" t="s">
        <v>1557</v>
      </c>
      <c r="G2" s="593"/>
      <c r="H2" s="593"/>
      <c r="J2" s="606" t="s">
        <v>1111</v>
      </c>
      <c r="K2" s="606"/>
      <c r="L2" s="606"/>
      <c r="M2" s="606"/>
      <c r="N2" s="606"/>
      <c r="O2" s="606"/>
      <c r="Q2" s="594" t="s">
        <v>1667</v>
      </c>
      <c r="R2" s="594"/>
      <c r="U2" s="595" t="s">
        <v>1558</v>
      </c>
      <c r="V2" s="595"/>
      <c r="W2" s="595"/>
      <c r="Y2" s="602" t="s">
        <v>1073</v>
      </c>
      <c r="Z2" s="602"/>
      <c r="AA2" s="602"/>
      <c r="AB2" s="602"/>
    </row>
    <row r="3" spans="2:33" ht="18.75" thickBot="1">
      <c r="B3" s="227" t="s">
        <v>135</v>
      </c>
      <c r="C3" s="224"/>
      <c r="D3" s="415" t="s">
        <v>0</v>
      </c>
      <c r="F3" s="441" t="s">
        <v>1577</v>
      </c>
      <c r="G3" s="441" t="s">
        <v>1143</v>
      </c>
      <c r="H3" s="441" t="s">
        <v>1631</v>
      </c>
      <c r="J3" s="381" t="s">
        <v>1687</v>
      </c>
      <c r="K3" s="382" t="s">
        <v>1695</v>
      </c>
      <c r="L3" s="382" t="s">
        <v>1690</v>
      </c>
      <c r="M3" s="382" t="s">
        <v>1694</v>
      </c>
      <c r="N3" s="382" t="s">
        <v>1688</v>
      </c>
      <c r="O3" s="381" t="s">
        <v>219</v>
      </c>
      <c r="Q3" s="442" t="s">
        <v>1577</v>
      </c>
      <c r="R3" s="442" t="s">
        <v>1143</v>
      </c>
      <c r="U3" s="322" t="s">
        <v>1249</v>
      </c>
      <c r="V3" s="322" t="s">
        <v>646</v>
      </c>
      <c r="W3" s="322" t="s">
        <v>1559</v>
      </c>
      <c r="Y3" s="591" t="s">
        <v>1591</v>
      </c>
      <c r="Z3" s="591"/>
      <c r="AA3" s="295">
        <v>60</v>
      </c>
      <c r="AB3" s="295"/>
    </row>
    <row r="4" spans="2:33" ht="18" customHeight="1">
      <c r="B4" s="228" t="s">
        <v>7</v>
      </c>
      <c r="C4" s="191"/>
      <c r="D4" s="95">
        <v>-166.78</v>
      </c>
      <c r="F4" s="111" t="s">
        <v>1438</v>
      </c>
      <c r="G4" s="111">
        <v>9960.2000000000007</v>
      </c>
      <c r="H4" s="348">
        <v>42544</v>
      </c>
      <c r="J4" s="383" t="s">
        <v>1684</v>
      </c>
      <c r="K4" s="406">
        <v>43600</v>
      </c>
      <c r="L4" s="393">
        <v>1</v>
      </c>
      <c r="M4" s="384">
        <v>2448.4899999999998</v>
      </c>
      <c r="N4" s="387">
        <v>2.44</v>
      </c>
      <c r="O4" s="387">
        <v>2450.9299999999998</v>
      </c>
      <c r="Q4" s="305" t="s">
        <v>927</v>
      </c>
      <c r="R4" s="306">
        <v>25.5</v>
      </c>
      <c r="U4" s="295" t="s">
        <v>1308</v>
      </c>
      <c r="V4" s="298">
        <v>17117.810000000001</v>
      </c>
      <c r="W4" s="297">
        <f>V4*(1-27.5%)</f>
        <v>12410.412250000001</v>
      </c>
      <c r="Y4" s="591" t="s">
        <v>1592</v>
      </c>
      <c r="Z4" s="591"/>
      <c r="AA4" s="295">
        <f>AA3/12</f>
        <v>5</v>
      </c>
      <c r="AB4" s="295"/>
    </row>
    <row r="5" spans="2:33" ht="17.25" customHeight="1">
      <c r="B5" s="228" t="s">
        <v>9</v>
      </c>
      <c r="C5" s="91">
        <v>160</v>
      </c>
      <c r="D5" s="95">
        <v>0</v>
      </c>
      <c r="F5" s="111" t="s">
        <v>1438</v>
      </c>
      <c r="G5" s="111">
        <v>9964.86</v>
      </c>
      <c r="H5" s="348">
        <v>42545</v>
      </c>
      <c r="J5" s="385" t="s">
        <v>1685</v>
      </c>
      <c r="K5" s="407">
        <v>43466</v>
      </c>
      <c r="L5" s="394">
        <v>2</v>
      </c>
      <c r="M5" s="386">
        <v>1492.52</v>
      </c>
      <c r="N5" s="388">
        <v>1.49</v>
      </c>
      <c r="O5" s="388">
        <v>1494.01</v>
      </c>
      <c r="Q5" s="305" t="s">
        <v>9</v>
      </c>
      <c r="R5" s="306">
        <v>160</v>
      </c>
      <c r="U5" s="295" t="s">
        <v>1309</v>
      </c>
      <c r="V5" s="298">
        <v>48940.15</v>
      </c>
      <c r="W5" s="297">
        <f>V5*(1-27.5%)</f>
        <v>35481.608749999999</v>
      </c>
      <c r="Y5" s="295"/>
      <c r="Z5" s="295" t="s">
        <v>1588</v>
      </c>
      <c r="AA5" s="295" t="s">
        <v>1589</v>
      </c>
      <c r="AB5" s="295" t="s">
        <v>21</v>
      </c>
    </row>
    <row r="6" spans="2:33" ht="15.75" thickBot="1">
      <c r="B6" s="228" t="s">
        <v>927</v>
      </c>
      <c r="C6" s="91">
        <v>25.5</v>
      </c>
      <c r="D6" s="95">
        <v>0</v>
      </c>
      <c r="F6" s="111" t="s">
        <v>1438</v>
      </c>
      <c r="G6" s="111">
        <v>9969.9</v>
      </c>
      <c r="H6" s="348">
        <v>42548</v>
      </c>
      <c r="J6" s="383" t="s">
        <v>1686</v>
      </c>
      <c r="K6" s="406">
        <v>44927</v>
      </c>
      <c r="L6" s="393">
        <v>3.1</v>
      </c>
      <c r="M6" s="384">
        <v>1428.94</v>
      </c>
      <c r="N6" s="387">
        <v>1.42</v>
      </c>
      <c r="O6" s="387">
        <v>1430.36</v>
      </c>
      <c r="Q6" s="328" t="s">
        <v>1449</v>
      </c>
      <c r="R6" s="329">
        <f>SUM(R4:R5)</f>
        <v>185.5</v>
      </c>
      <c r="U6" s="215" t="s">
        <v>45</v>
      </c>
      <c r="V6" s="329">
        <f>SUM(V4:V5)</f>
        <v>66057.960000000006</v>
      </c>
      <c r="W6" s="215">
        <f>SUM(W4:W5)</f>
        <v>47892.021000000001</v>
      </c>
      <c r="Y6" s="295" t="s">
        <v>1126</v>
      </c>
      <c r="Z6" s="332">
        <v>40885</v>
      </c>
      <c r="AA6" s="333">
        <f ca="1">TODAY()</f>
        <v>42744</v>
      </c>
      <c r="AB6" s="295">
        <f ca="1">((YEAR(Z6)-YEAR(AA6))*12+MONTH(Z6)-MONTH(AA6))*-1</f>
        <v>61</v>
      </c>
    </row>
    <row r="7" spans="2:33" ht="13.5" thickTop="1">
      <c r="B7" s="228" t="s">
        <v>5</v>
      </c>
      <c r="C7" s="91">
        <v>14066.98</v>
      </c>
      <c r="D7" s="95">
        <v>0</v>
      </c>
      <c r="F7" s="111" t="s">
        <v>1438</v>
      </c>
      <c r="G7" s="111">
        <v>9978.02</v>
      </c>
      <c r="H7" s="348">
        <v>42550</v>
      </c>
      <c r="J7" s="385" t="s">
        <v>1277</v>
      </c>
      <c r="K7" s="407">
        <v>44256</v>
      </c>
      <c r="L7" s="394">
        <v>1</v>
      </c>
      <c r="M7" s="386">
        <v>7878.81</v>
      </c>
      <c r="N7" s="388">
        <v>7.87</v>
      </c>
      <c r="O7" s="388">
        <v>7886.68</v>
      </c>
      <c r="Y7" s="295" t="s">
        <v>1590</v>
      </c>
      <c r="Z7" s="332">
        <v>41578</v>
      </c>
      <c r="AA7" s="333">
        <f ca="1">TODAY()</f>
        <v>42744</v>
      </c>
      <c r="AB7" s="295">
        <f ca="1">((YEAR(Z7)-YEAR(AA7))*12+MONTH(Z7)-MONTH(AA7))*-1</f>
        <v>39</v>
      </c>
    </row>
    <row r="8" spans="2:33" ht="15">
      <c r="B8" s="228" t="s">
        <v>140</v>
      </c>
      <c r="C8" s="91">
        <v>20995.78</v>
      </c>
      <c r="D8" s="95">
        <v>0</v>
      </c>
      <c r="F8" s="111" t="s">
        <v>1438</v>
      </c>
      <c r="G8" s="111">
        <v>9981.85</v>
      </c>
      <c r="H8" s="348">
        <v>42551</v>
      </c>
      <c r="J8" s="383" t="s">
        <v>1686</v>
      </c>
      <c r="K8" s="406">
        <v>44927</v>
      </c>
      <c r="L8" s="393">
        <v>15.2</v>
      </c>
      <c r="M8" s="384">
        <v>7377.16</v>
      </c>
      <c r="N8" s="387">
        <v>7.37</v>
      </c>
      <c r="O8" s="387">
        <v>7384.53</v>
      </c>
      <c r="Q8" s="605" t="s">
        <v>1680</v>
      </c>
      <c r="R8" s="605"/>
      <c r="U8" s="596" t="s">
        <v>1560</v>
      </c>
      <c r="V8" s="596"/>
    </row>
    <row r="9" spans="2:33" ht="15">
      <c r="B9" s="229" t="s">
        <v>122</v>
      </c>
      <c r="C9" s="96">
        <v>-328.32</v>
      </c>
      <c r="D9" s="63">
        <v>0</v>
      </c>
      <c r="F9" s="111" t="s">
        <v>1438</v>
      </c>
      <c r="G9" s="111">
        <v>9985.8799999999992</v>
      </c>
      <c r="H9" s="348">
        <v>42552</v>
      </c>
      <c r="J9" s="385" t="s">
        <v>1277</v>
      </c>
      <c r="K9" s="407">
        <v>44256</v>
      </c>
      <c r="L9" s="394">
        <v>0.2</v>
      </c>
      <c r="M9" s="386">
        <v>1597.47</v>
      </c>
      <c r="N9" s="388">
        <v>1.59</v>
      </c>
      <c r="O9" s="388">
        <v>1559.06</v>
      </c>
      <c r="Q9" s="443" t="s">
        <v>1577</v>
      </c>
      <c r="R9" s="443" t="s">
        <v>1143</v>
      </c>
      <c r="T9" s="219"/>
      <c r="U9" s="295" t="s">
        <v>1561</v>
      </c>
      <c r="V9" s="309">
        <v>13.16</v>
      </c>
      <c r="Y9" s="602" t="s">
        <v>1605</v>
      </c>
      <c r="Z9" s="602"/>
      <c r="AA9" s="399">
        <v>42531</v>
      </c>
      <c r="AB9" s="399">
        <v>42534</v>
      </c>
      <c r="AC9" s="399">
        <v>42536</v>
      </c>
      <c r="AD9" s="399">
        <v>42543</v>
      </c>
      <c r="AE9" s="399">
        <v>42550</v>
      </c>
      <c r="AF9" s="399">
        <v>42556</v>
      </c>
      <c r="AG9" s="399">
        <v>42584</v>
      </c>
    </row>
    <row r="10" spans="2:33" ht="14.25" customHeight="1">
      <c r="B10" s="229" t="s">
        <v>1339</v>
      </c>
      <c r="C10" s="96">
        <v>-821.17</v>
      </c>
      <c r="D10" s="63">
        <v>0</v>
      </c>
      <c r="F10" s="111" t="s">
        <v>1438</v>
      </c>
      <c r="G10" s="111">
        <v>8596.51</v>
      </c>
      <c r="H10" s="348">
        <v>42555</v>
      </c>
      <c r="J10" s="395" t="s">
        <v>1689</v>
      </c>
      <c r="K10" s="395"/>
      <c r="L10" s="395"/>
      <c r="M10" s="395"/>
      <c r="N10" s="395"/>
      <c r="O10" s="396">
        <v>13261.98</v>
      </c>
      <c r="Q10" s="305" t="s">
        <v>15</v>
      </c>
      <c r="R10" s="306">
        <v>3.8</v>
      </c>
      <c r="U10" s="295" t="s">
        <v>1562</v>
      </c>
      <c r="V10" s="295">
        <v>40</v>
      </c>
      <c r="Y10" s="297">
        <v>20000</v>
      </c>
      <c r="Z10" s="297">
        <v>1119.81</v>
      </c>
      <c r="AA10" s="297">
        <v>1168.17</v>
      </c>
      <c r="AB10" s="400">
        <v>1196.06</v>
      </c>
      <c r="AC10" s="400">
        <v>1207.25</v>
      </c>
      <c r="AD10" s="400">
        <v>1246.0999999999999</v>
      </c>
      <c r="AE10" s="400">
        <v>1284.81</v>
      </c>
      <c r="AF10" s="400">
        <v>1150.54</v>
      </c>
      <c r="AG10" s="400">
        <v>1131.22</v>
      </c>
    </row>
    <row r="11" spans="2:33">
      <c r="B11" s="242" t="s">
        <v>1415</v>
      </c>
      <c r="C11" s="243">
        <v>-1352.34</v>
      </c>
      <c r="D11" s="63">
        <v>0</v>
      </c>
      <c r="F11" s="111" t="s">
        <v>1438</v>
      </c>
      <c r="G11" s="111">
        <v>8600.07</v>
      </c>
      <c r="H11" s="348">
        <v>42556</v>
      </c>
      <c r="Q11" s="305" t="s">
        <v>1681</v>
      </c>
      <c r="R11" s="377">
        <v>2</v>
      </c>
      <c r="U11" s="295" t="s">
        <v>45</v>
      </c>
      <c r="V11" s="310">
        <f>V9*V10</f>
        <v>526.4</v>
      </c>
      <c r="Y11" s="297">
        <v>25000</v>
      </c>
      <c r="Z11" s="297">
        <v>1063.0999999999999</v>
      </c>
      <c r="AA11" s="297">
        <v>1122.3900000000001</v>
      </c>
      <c r="AB11" s="400">
        <v>1157.1099999999999</v>
      </c>
      <c r="AC11" s="400">
        <v>1171.04</v>
      </c>
      <c r="AD11" s="400">
        <v>1219.47</v>
      </c>
      <c r="AE11" s="400">
        <v>1267.74</v>
      </c>
      <c r="AF11" s="400">
        <v>1100.6199999999999</v>
      </c>
      <c r="AG11" s="400">
        <v>1077.24</v>
      </c>
    </row>
    <row r="12" spans="2:33">
      <c r="B12" s="445" t="s">
        <v>1763</v>
      </c>
      <c r="C12" s="446">
        <v>-108</v>
      </c>
      <c r="D12" s="63">
        <v>0</v>
      </c>
      <c r="F12" s="111" t="s">
        <v>1438</v>
      </c>
      <c r="G12" s="111">
        <v>8603.69</v>
      </c>
      <c r="H12" s="348">
        <v>42557</v>
      </c>
      <c r="J12" s="389" t="s">
        <v>1687</v>
      </c>
      <c r="K12" s="389" t="s">
        <v>219</v>
      </c>
      <c r="L12" s="389" t="s">
        <v>1692</v>
      </c>
      <c r="M12" s="389" t="s">
        <v>1693</v>
      </c>
      <c r="Q12" s="305" t="s">
        <v>1682</v>
      </c>
      <c r="R12" s="377">
        <v>0</v>
      </c>
      <c r="U12" s="295" t="s">
        <v>1033</v>
      </c>
      <c r="V12" s="309">
        <v>3.15</v>
      </c>
      <c r="Y12" s="297">
        <v>30000</v>
      </c>
      <c r="Z12" s="297">
        <v>1006.38</v>
      </c>
      <c r="AA12" s="297">
        <v>1076.5999999999999</v>
      </c>
      <c r="AB12" s="400">
        <v>1118.17</v>
      </c>
      <c r="AC12" s="400">
        <v>1134.83</v>
      </c>
      <c r="AD12" s="400">
        <v>1192.82</v>
      </c>
      <c r="AE12" s="400">
        <v>1250.68</v>
      </c>
      <c r="AF12" s="400">
        <v>1050.7</v>
      </c>
      <c r="AG12" s="400">
        <v>1023.27</v>
      </c>
    </row>
    <row r="13" spans="2:33">
      <c r="B13" s="229" t="s">
        <v>586</v>
      </c>
      <c r="C13" s="96">
        <v>-199.78</v>
      </c>
      <c r="D13" s="63">
        <v>0</v>
      </c>
      <c r="F13" s="111" t="s">
        <v>1438</v>
      </c>
      <c r="G13" s="111">
        <v>8607.2199999999993</v>
      </c>
      <c r="H13" s="348">
        <v>42558</v>
      </c>
      <c r="J13" s="383" t="s">
        <v>1684</v>
      </c>
      <c r="K13" s="387">
        <v>0</v>
      </c>
      <c r="L13" s="392"/>
      <c r="M13" s="199"/>
      <c r="Q13" s="305"/>
      <c r="R13" s="306"/>
      <c r="U13" s="311" t="s">
        <v>1563</v>
      </c>
      <c r="V13" s="312">
        <v>0.12</v>
      </c>
      <c r="Y13" s="297">
        <v>35000</v>
      </c>
      <c r="Z13" s="297">
        <v>949.68</v>
      </c>
      <c r="AA13" s="295" t="s">
        <v>596</v>
      </c>
      <c r="AB13" s="295" t="s">
        <v>596</v>
      </c>
      <c r="AC13" s="295" t="s">
        <v>596</v>
      </c>
      <c r="AD13" s="295" t="s">
        <v>596</v>
      </c>
      <c r="AE13" s="295" t="s">
        <v>596</v>
      </c>
      <c r="AF13" s="295"/>
      <c r="AG13" s="295"/>
    </row>
    <row r="14" spans="2:33" ht="15.75" thickBot="1">
      <c r="B14" s="229" t="s">
        <v>1806</v>
      </c>
      <c r="C14" s="454">
        <v>-200</v>
      </c>
      <c r="D14" s="63">
        <v>0</v>
      </c>
      <c r="F14" s="111" t="s">
        <v>1438</v>
      </c>
      <c r="G14" s="111">
        <v>8610.77</v>
      </c>
      <c r="H14" s="348">
        <v>42559</v>
      </c>
      <c r="J14" s="390" t="s">
        <v>1685</v>
      </c>
      <c r="K14" s="411">
        <v>1528.32</v>
      </c>
      <c r="L14" s="404">
        <f>(K14/O5)-1</f>
        <v>2.2965040394642644E-2</v>
      </c>
      <c r="M14" s="405">
        <f>K14-O5</f>
        <v>34.309999999999945</v>
      </c>
      <c r="Q14" s="328" t="s">
        <v>1449</v>
      </c>
      <c r="R14" s="329">
        <f>R10*R11*R12</f>
        <v>0</v>
      </c>
      <c r="U14" s="328" t="s">
        <v>45</v>
      </c>
      <c r="V14" s="329">
        <f>(V11*V12)*(1-V13)</f>
        <v>1459.1807999999999</v>
      </c>
      <c r="Y14" s="297">
        <v>40000</v>
      </c>
      <c r="Z14" s="297">
        <v>892.69</v>
      </c>
      <c r="AA14" s="295" t="s">
        <v>596</v>
      </c>
      <c r="AB14" s="295" t="s">
        <v>596</v>
      </c>
      <c r="AC14" s="295" t="s">
        <v>596</v>
      </c>
      <c r="AD14" s="295" t="s">
        <v>596</v>
      </c>
      <c r="AE14" s="295" t="s">
        <v>596</v>
      </c>
      <c r="AF14" s="295"/>
      <c r="AG14" s="295"/>
    </row>
    <row r="15" spans="2:33" ht="13.5" thickTop="1">
      <c r="B15" s="229" t="s">
        <v>1397</v>
      </c>
      <c r="C15" s="96">
        <v>-18.850000000000001</v>
      </c>
      <c r="D15" s="63">
        <v>0</v>
      </c>
      <c r="F15" s="111" t="s">
        <v>1438</v>
      </c>
      <c r="G15" s="111">
        <v>2616.56</v>
      </c>
      <c r="H15" s="348">
        <v>42562</v>
      </c>
      <c r="J15" s="383" t="s">
        <v>1686</v>
      </c>
      <c r="K15" s="387">
        <v>8872.33</v>
      </c>
      <c r="L15" s="392">
        <f>(K15/(O8+O6))-1</f>
        <v>6.5162469412551882E-3</v>
      </c>
      <c r="M15" s="199">
        <f>K15-O8-O6</f>
        <v>57.440000000000282</v>
      </c>
    </row>
    <row r="16" spans="2:33" ht="15">
      <c r="B16" s="229" t="s">
        <v>1805</v>
      </c>
      <c r="C16" s="454">
        <v>-110</v>
      </c>
      <c r="D16" s="63">
        <v>0</v>
      </c>
      <c r="F16" s="111" t="s">
        <v>1438</v>
      </c>
      <c r="G16" s="111">
        <v>1822.04</v>
      </c>
      <c r="H16" s="348">
        <v>42563</v>
      </c>
      <c r="J16" s="390" t="s">
        <v>1277</v>
      </c>
      <c r="K16" s="391">
        <v>9610.9500000000007</v>
      </c>
      <c r="L16" s="404">
        <f>(K16/(O9+O7))-1</f>
        <v>1.7490424254743564E-2</v>
      </c>
      <c r="M16" s="405">
        <f>K16-O9-O7</f>
        <v>165.21000000000095</v>
      </c>
      <c r="Q16" s="597" t="s">
        <v>1162</v>
      </c>
      <c r="R16" s="598"/>
      <c r="U16" s="608" t="s">
        <v>1564</v>
      </c>
      <c r="V16" s="608"/>
      <c r="W16" s="468" t="s">
        <v>1841</v>
      </c>
    </row>
    <row r="17" spans="2:23" ht="15">
      <c r="B17" s="413" t="s">
        <v>1714</v>
      </c>
      <c r="C17" s="414">
        <v>-9</v>
      </c>
      <c r="D17" s="63">
        <v>0</v>
      </c>
      <c r="F17" s="111" t="s">
        <v>1438</v>
      </c>
      <c r="G17" s="111">
        <v>1824.28</v>
      </c>
      <c r="H17" s="348">
        <v>42569</v>
      </c>
      <c r="J17" s="395" t="s">
        <v>45</v>
      </c>
      <c r="K17" s="397">
        <f>SUM(K13:K16)</f>
        <v>20011.599999999999</v>
      </c>
      <c r="L17" s="398">
        <f>AVERAGE(L13:L16)</f>
        <v>1.5657237196880464E-2</v>
      </c>
      <c r="M17" s="397">
        <f>SUM(M13:M16)</f>
        <v>256.96000000000117</v>
      </c>
      <c r="Q17" t="s">
        <v>1169</v>
      </c>
      <c r="R17" s="299">
        <v>2477</v>
      </c>
      <c r="U17" s="295" t="s">
        <v>1578</v>
      </c>
      <c r="V17" s="320">
        <v>69183.960000000006</v>
      </c>
      <c r="W17" s="469">
        <v>42632</v>
      </c>
    </row>
    <row r="18" spans="2:23">
      <c r="B18" s="229" t="s">
        <v>1419</v>
      </c>
      <c r="C18" s="243">
        <v>-65</v>
      </c>
      <c r="D18" s="63">
        <v>0</v>
      </c>
      <c r="E18" s="143"/>
      <c r="F18" s="111" t="s">
        <v>1438</v>
      </c>
      <c r="G18" s="111">
        <v>1825.04</v>
      </c>
      <c r="H18" s="348">
        <v>42570</v>
      </c>
      <c r="Q18" t="s">
        <v>1319</v>
      </c>
      <c r="R18" s="302">
        <v>521</v>
      </c>
      <c r="U18" s="295" t="s">
        <v>1579</v>
      </c>
      <c r="V18" s="321">
        <v>18517.509999999998</v>
      </c>
      <c r="W18" s="470" t="s">
        <v>1001</v>
      </c>
    </row>
    <row r="19" spans="2:23">
      <c r="B19" s="229" t="s">
        <v>1098</v>
      </c>
      <c r="C19" s="96">
        <v>-269.57</v>
      </c>
      <c r="D19" s="63">
        <v>0</v>
      </c>
      <c r="F19" s="111" t="s">
        <v>1438</v>
      </c>
      <c r="G19" s="111">
        <v>1825.79</v>
      </c>
      <c r="H19" s="348">
        <v>42571</v>
      </c>
      <c r="Q19" t="s">
        <v>1172</v>
      </c>
      <c r="R19" s="301">
        <v>4.8600000000000001E-6</v>
      </c>
    </row>
    <row r="20" spans="2:23" ht="15">
      <c r="B20" s="229" t="s">
        <v>65</v>
      </c>
      <c r="C20" s="96">
        <v>-600</v>
      </c>
      <c r="D20" s="63">
        <v>0</v>
      </c>
      <c r="F20" s="111" t="s">
        <v>1438</v>
      </c>
      <c r="G20" s="111">
        <v>1826.53</v>
      </c>
      <c r="H20" s="348">
        <v>42572</v>
      </c>
      <c r="Q20" t="s">
        <v>1173</v>
      </c>
      <c r="R20" s="300">
        <f>R18*R19</f>
        <v>2.53206E-3</v>
      </c>
      <c r="U20" s="607" t="s">
        <v>1696</v>
      </c>
      <c r="V20" s="607"/>
      <c r="W20" s="607"/>
    </row>
    <row r="21" spans="2:23" ht="15.75" thickBot="1">
      <c r="B21" s="229" t="s">
        <v>1770</v>
      </c>
      <c r="C21" s="446">
        <v>5000</v>
      </c>
      <c r="D21" s="63">
        <v>0</v>
      </c>
      <c r="F21" s="111" t="s">
        <v>1438</v>
      </c>
      <c r="G21" s="111">
        <v>1827.32</v>
      </c>
      <c r="H21" s="348">
        <v>42573</v>
      </c>
      <c r="Q21" s="328" t="s">
        <v>1174</v>
      </c>
      <c r="R21" s="329">
        <f>R17*R20</f>
        <v>6.2719126200000002</v>
      </c>
      <c r="U21" s="295" t="s">
        <v>1575</v>
      </c>
      <c r="V21" s="297">
        <v>18767.79</v>
      </c>
      <c r="W21" s="403">
        <v>8.5000000000000006E-2</v>
      </c>
    </row>
    <row r="22" spans="2:23" ht="13.5" thickTop="1">
      <c r="B22" s="416" t="s">
        <v>83</v>
      </c>
      <c r="C22" s="417">
        <v>-68.099999999999994</v>
      </c>
      <c r="D22" s="63">
        <v>0</v>
      </c>
      <c r="F22" s="111" t="s">
        <v>1438</v>
      </c>
      <c r="G22" s="111">
        <v>1828.07</v>
      </c>
      <c r="H22" s="348">
        <v>42576</v>
      </c>
      <c r="U22" s="295" t="s">
        <v>1576</v>
      </c>
      <c r="V22" s="297">
        <v>19143.14</v>
      </c>
      <c r="W22" s="403">
        <v>2.1700000000000001E-2</v>
      </c>
    </row>
    <row r="23" spans="2:23">
      <c r="B23" s="229" t="s">
        <v>1069</v>
      </c>
      <c r="C23" s="96">
        <v>-903.4</v>
      </c>
      <c r="D23" s="63">
        <v>0</v>
      </c>
      <c r="F23" s="111" t="s">
        <v>1438</v>
      </c>
      <c r="G23" s="111">
        <v>1828.82</v>
      </c>
      <c r="H23" s="348">
        <v>42577</v>
      </c>
      <c r="U23" s="295" t="s">
        <v>1691</v>
      </c>
      <c r="V23" s="297">
        <v>20995.78</v>
      </c>
      <c r="W23" s="295"/>
    </row>
    <row r="24" spans="2:23">
      <c r="B24" s="229" t="s">
        <v>1242</v>
      </c>
      <c r="C24" s="96">
        <v>-650</v>
      </c>
      <c r="D24" s="63">
        <v>0</v>
      </c>
      <c r="F24" s="111" t="s">
        <v>1438</v>
      </c>
      <c r="G24" s="111">
        <v>1829.59</v>
      </c>
      <c r="H24" s="348">
        <v>42578</v>
      </c>
      <c r="V24" s="193"/>
    </row>
    <row r="25" spans="2:23" ht="15">
      <c r="B25" s="229" t="s">
        <v>1791</v>
      </c>
      <c r="C25" s="454">
        <v>-16</v>
      </c>
      <c r="D25" s="63">
        <v>0</v>
      </c>
      <c r="F25" s="111" t="s">
        <v>1438</v>
      </c>
      <c r="G25" s="111">
        <v>6110.34</v>
      </c>
      <c r="H25" s="348">
        <v>42579</v>
      </c>
      <c r="U25" s="599" t="s">
        <v>1574</v>
      </c>
      <c r="V25" s="599"/>
      <c r="W25" s="599"/>
    </row>
    <row r="26" spans="2:23">
      <c r="B26" s="229" t="s">
        <v>1266</v>
      </c>
      <c r="C26" s="96">
        <v>-1535.07</v>
      </c>
      <c r="D26" s="63">
        <v>0</v>
      </c>
      <c r="F26" s="111" t="s">
        <v>1438</v>
      </c>
      <c r="G26" s="111">
        <v>6111.17</v>
      </c>
      <c r="H26" s="348">
        <v>42580</v>
      </c>
      <c r="U26" s="295" t="s">
        <v>102</v>
      </c>
      <c r="V26" s="318" t="e">
        <f>#REF!</f>
        <v>#REF!</v>
      </c>
      <c r="W26" t="s">
        <v>1708</v>
      </c>
    </row>
    <row r="27" spans="2:23">
      <c r="B27" s="229" t="s">
        <v>27</v>
      </c>
      <c r="C27" s="243">
        <v>-3878.95</v>
      </c>
      <c r="D27" s="63">
        <v>0</v>
      </c>
      <c r="F27" s="111" t="s">
        <v>1438</v>
      </c>
      <c r="G27" s="111">
        <v>6112.35</v>
      </c>
      <c r="H27" s="348">
        <v>42583</v>
      </c>
      <c r="U27" s="295" t="s">
        <v>1777</v>
      </c>
      <c r="V27" s="318">
        <v>0</v>
      </c>
    </row>
    <row r="28" spans="2:23">
      <c r="B28" s="229" t="s">
        <v>125</v>
      </c>
      <c r="C28" s="96">
        <v>-3800</v>
      </c>
      <c r="D28" s="63">
        <v>0</v>
      </c>
      <c r="F28" s="111" t="s">
        <v>1438</v>
      </c>
      <c r="G28" s="111">
        <v>6113.52</v>
      </c>
      <c r="H28" s="348">
        <v>42584</v>
      </c>
      <c r="U28" s="295" t="s">
        <v>1779</v>
      </c>
      <c r="V28" s="318">
        <v>0</v>
      </c>
    </row>
    <row r="29" spans="2:23">
      <c r="B29" s="229" t="s">
        <v>73</v>
      </c>
      <c r="C29" s="96">
        <v>-468.23</v>
      </c>
      <c r="D29" s="63">
        <v>0</v>
      </c>
      <c r="F29" s="111" t="s">
        <v>1438</v>
      </c>
      <c r="G29" s="111">
        <v>6114.8</v>
      </c>
      <c r="H29" s="348">
        <v>42586</v>
      </c>
      <c r="U29" s="295" t="s">
        <v>1778</v>
      </c>
      <c r="V29" s="318">
        <f>V14</f>
        <v>1459.1807999999999</v>
      </c>
    </row>
    <row r="30" spans="2:23">
      <c r="B30" s="416" t="s">
        <v>1315</v>
      </c>
      <c r="C30" s="417">
        <v>-59.27</v>
      </c>
      <c r="D30" s="63">
        <v>0</v>
      </c>
      <c r="F30" s="111" t="s">
        <v>1438</v>
      </c>
      <c r="G30" s="111">
        <v>6117.76</v>
      </c>
      <c r="H30" s="348">
        <v>42587</v>
      </c>
      <c r="U30" s="295" t="s">
        <v>602</v>
      </c>
      <c r="V30" s="318">
        <v>6114</v>
      </c>
    </row>
    <row r="31" spans="2:23">
      <c r="B31" s="229" t="s">
        <v>1683</v>
      </c>
      <c r="C31" s="417">
        <v>-70.91</v>
      </c>
      <c r="D31" s="63">
        <v>0</v>
      </c>
      <c r="F31" s="111" t="s">
        <v>1438</v>
      </c>
      <c r="G31" s="111">
        <v>6120.22</v>
      </c>
      <c r="H31" s="348">
        <v>42590</v>
      </c>
      <c r="U31" s="295" t="s">
        <v>429</v>
      </c>
      <c r="V31" s="318">
        <v>6500</v>
      </c>
    </row>
    <row r="32" spans="2:23" ht="18.75" thickBot="1">
      <c r="B32" s="416" t="s">
        <v>1731</v>
      </c>
      <c r="C32" s="417">
        <v>-120</v>
      </c>
      <c r="D32" s="63">
        <v>0</v>
      </c>
      <c r="E32" s="211"/>
      <c r="F32" s="111" t="s">
        <v>1438</v>
      </c>
      <c r="G32" s="111">
        <v>6122.05</v>
      </c>
      <c r="H32" s="348">
        <v>42591</v>
      </c>
      <c r="U32" s="357" t="s">
        <v>1449</v>
      </c>
      <c r="V32" s="358" t="e">
        <f>SUM(V26:V31)</f>
        <v>#REF!</v>
      </c>
    </row>
    <row r="33" spans="2:22" ht="16.5" thickTop="1">
      <c r="B33" s="229" t="s">
        <v>1790</v>
      </c>
      <c r="C33" s="96">
        <v>-100</v>
      </c>
      <c r="D33" s="63">
        <v>0</v>
      </c>
      <c r="F33" s="111" t="s">
        <v>1438</v>
      </c>
      <c r="G33" s="111">
        <v>6128.48</v>
      </c>
      <c r="H33" s="348">
        <v>42594</v>
      </c>
      <c r="U33" s="315" t="s">
        <v>1568</v>
      </c>
      <c r="V33" s="316">
        <v>55000</v>
      </c>
    </row>
    <row r="34" spans="2:22" ht="18">
      <c r="B34" s="229" t="s">
        <v>1810</v>
      </c>
      <c r="C34" s="454">
        <v>-110</v>
      </c>
      <c r="D34" s="63">
        <v>0</v>
      </c>
      <c r="F34" s="111" t="s">
        <v>1438</v>
      </c>
      <c r="G34" s="111">
        <v>6132.27</v>
      </c>
      <c r="H34" s="348">
        <v>42597</v>
      </c>
      <c r="U34" s="412" t="s">
        <v>1709</v>
      </c>
      <c r="V34" s="410" t="e">
        <f>V32-V33</f>
        <v>#REF!</v>
      </c>
    </row>
    <row r="35" spans="2:22" ht="21.75" customHeight="1">
      <c r="B35" s="229" t="s">
        <v>102</v>
      </c>
      <c r="C35" s="243">
        <f>-23000-700-80</f>
        <v>-23780</v>
      </c>
      <c r="D35" s="63">
        <v>0</v>
      </c>
      <c r="F35" s="111" t="s">
        <v>1438</v>
      </c>
      <c r="G35" s="111">
        <v>6135.04</v>
      </c>
      <c r="H35" s="348">
        <v>42598</v>
      </c>
    </row>
    <row r="36" spans="2:22">
      <c r="B36" s="445" t="s">
        <v>755</v>
      </c>
      <c r="C36" s="446">
        <f>3500+700+80</f>
        <v>4280</v>
      </c>
      <c r="D36" s="63">
        <v>0</v>
      </c>
      <c r="F36" s="111" t="s">
        <v>1438</v>
      </c>
      <c r="G36" s="111">
        <v>5087.4799999999996</v>
      </c>
      <c r="H36" s="348">
        <v>42600</v>
      </c>
    </row>
    <row r="37" spans="2:22">
      <c r="B37" s="229" t="s">
        <v>755</v>
      </c>
      <c r="C37" s="454">
        <v>1050</v>
      </c>
      <c r="D37" s="63">
        <v>0</v>
      </c>
      <c r="F37" s="111" t="s">
        <v>1438</v>
      </c>
      <c r="G37" s="111">
        <v>5090.21</v>
      </c>
      <c r="H37" s="348">
        <v>42604</v>
      </c>
    </row>
    <row r="38" spans="2:22">
      <c r="B38" s="242" t="s">
        <v>1353</v>
      </c>
      <c r="C38" s="243">
        <v>-59.9</v>
      </c>
      <c r="D38" s="63">
        <v>0</v>
      </c>
      <c r="F38" s="111" t="s">
        <v>1438</v>
      </c>
      <c r="G38" s="111">
        <v>5094.8599999999997</v>
      </c>
      <c r="H38" s="348">
        <v>42605</v>
      </c>
    </row>
    <row r="39" spans="2:22">
      <c r="B39" s="229" t="s">
        <v>1249</v>
      </c>
      <c r="C39" s="96">
        <v>-697.31</v>
      </c>
      <c r="D39" s="63">
        <v>0</v>
      </c>
      <c r="F39" s="111" t="s">
        <v>1438</v>
      </c>
      <c r="G39" s="111">
        <v>5097.66</v>
      </c>
      <c r="H39" s="348">
        <v>42606</v>
      </c>
    </row>
    <row r="40" spans="2:22" ht="18">
      <c r="B40" s="74" t="s">
        <v>1580</v>
      </c>
      <c r="C40" s="188"/>
      <c r="D40" s="241">
        <f>SUM(D4:D39)</f>
        <v>-166.78</v>
      </c>
      <c r="F40" s="111" t="s">
        <v>1438</v>
      </c>
      <c r="G40" s="111">
        <v>5100.55</v>
      </c>
      <c r="H40" s="348">
        <v>42607</v>
      </c>
    </row>
    <row r="41" spans="2:22">
      <c r="F41" s="111"/>
      <c r="G41" s="111"/>
      <c r="H41" s="348"/>
    </row>
    <row r="42" spans="2:22">
      <c r="F42" s="111"/>
      <c r="G42" s="111"/>
      <c r="H42" s="348"/>
    </row>
    <row r="43" spans="2:22">
      <c r="F43" s="111" t="s">
        <v>1189</v>
      </c>
      <c r="G43" s="111">
        <v>7715.27</v>
      </c>
      <c r="H43" s="348"/>
    </row>
    <row r="44" spans="2:22" ht="15.75" thickBot="1">
      <c r="F44" s="401" t="s">
        <v>1762</v>
      </c>
      <c r="G44" s="402">
        <f ca="1">OFFSET(G3,COUNTA(G4:G41),0)+G43+G42</f>
        <v>12815.82</v>
      </c>
      <c r="H44" s="401"/>
    </row>
    <row r="45" spans="2:22" ht="13.5" thickTop="1">
      <c r="F45" s="1"/>
      <c r="G45" s="193"/>
    </row>
    <row r="46" spans="2:22">
      <c r="F46" s="199"/>
      <c r="G46" s="193"/>
    </row>
    <row r="48" spans="2:22">
      <c r="F48" s="199"/>
      <c r="G48" s="199"/>
    </row>
    <row r="50" spans="6:7">
      <c r="F50" s="199"/>
      <c r="G50" s="199"/>
    </row>
  </sheetData>
  <mergeCells count="14">
    <mergeCell ref="Y3:Z3"/>
    <mergeCell ref="U20:W20"/>
    <mergeCell ref="U25:W25"/>
    <mergeCell ref="Y4:Z4"/>
    <mergeCell ref="Q8:R8"/>
    <mergeCell ref="U8:V8"/>
    <mergeCell ref="Y9:Z9"/>
    <mergeCell ref="Q16:R16"/>
    <mergeCell ref="U16:V16"/>
    <mergeCell ref="F2:H2"/>
    <mergeCell ref="J2:O2"/>
    <mergeCell ref="Q2:R2"/>
    <mergeCell ref="U2:W2"/>
    <mergeCell ref="Y2:AB2"/>
  </mergeCells>
  <conditionalFormatting sqref="V34 D4:D8">
    <cfRule type="cellIs" dxfId="61" priority="13"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34.xml><?xml version="1.0" encoding="utf-8"?>
<worksheet xmlns="http://schemas.openxmlformats.org/spreadsheetml/2006/main" xmlns:r="http://schemas.openxmlformats.org/officeDocument/2006/relationships">
  <dimension ref="B1:Q77"/>
  <sheetViews>
    <sheetView topLeftCell="A22" zoomScale="75" zoomScaleNormal="75" workbookViewId="0">
      <selection activeCell="N5" sqref="N5"/>
    </sheetView>
  </sheetViews>
  <sheetFormatPr defaultRowHeight="15"/>
  <cols>
    <col min="1" max="1" width="1" style="266" customWidth="1"/>
    <col min="2" max="2" width="45.140625" style="266" bestFit="1" customWidth="1"/>
    <col min="3" max="3" width="13.85546875" style="266" bestFit="1" customWidth="1"/>
    <col min="4" max="4" width="17.7109375" style="266" bestFit="1" customWidth="1"/>
    <col min="5" max="5" width="16.42578125" style="266" bestFit="1" customWidth="1"/>
    <col min="6" max="13" width="2.140625" style="266" customWidth="1"/>
    <col min="14" max="14" width="13.28515625" style="266" bestFit="1" customWidth="1"/>
    <col min="15" max="15" width="13.570312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C67</f>
        <v>-1812.8300000000008</v>
      </c>
      <c r="P3" s="418" t="s">
        <v>1513</v>
      </c>
      <c r="Q3" s="418" t="s">
        <v>1513</v>
      </c>
    </row>
    <row r="4" spans="2:17">
      <c r="B4" s="451" t="s">
        <v>1761</v>
      </c>
      <c r="C4" s="424">
        <v>333.33</v>
      </c>
      <c r="D4" s="429" t="s">
        <v>17</v>
      </c>
      <c r="E4" s="426" t="s">
        <v>1455</v>
      </c>
      <c r="N4" s="477" t="s">
        <v>1844</v>
      </c>
      <c r="O4" s="447">
        <f>361.12/3</f>
        <v>120.37333333333333</v>
      </c>
      <c r="P4" s="448" t="s">
        <v>1452</v>
      </c>
      <c r="Q4" s="431" t="s">
        <v>1455</v>
      </c>
    </row>
    <row r="5" spans="2:17">
      <c r="B5" s="451" t="s">
        <v>1751</v>
      </c>
      <c r="C5" s="424">
        <v>92.97</v>
      </c>
      <c r="D5" s="429" t="s">
        <v>1458</v>
      </c>
      <c r="E5" s="426" t="s">
        <v>1454</v>
      </c>
      <c r="N5" s="451" t="s">
        <v>1773</v>
      </c>
      <c r="O5" s="424">
        <v>26.39</v>
      </c>
      <c r="P5" s="425"/>
      <c r="Q5" s="426"/>
    </row>
    <row r="6" spans="2:17">
      <c r="B6" s="451" t="s">
        <v>1817</v>
      </c>
      <c r="C6" s="424">
        <v>72.760000000000005</v>
      </c>
      <c r="D6" s="429" t="s">
        <v>1458</v>
      </c>
      <c r="E6" s="426" t="s">
        <v>1454</v>
      </c>
      <c r="N6" s="451" t="s">
        <v>1599</v>
      </c>
      <c r="O6" s="424">
        <v>22.9</v>
      </c>
      <c r="P6" s="425" t="s">
        <v>1456</v>
      </c>
      <c r="Q6" s="426" t="s">
        <v>1455</v>
      </c>
    </row>
    <row r="7" spans="2:17">
      <c r="B7" s="451" t="s">
        <v>1752</v>
      </c>
      <c r="C7" s="424">
        <v>60.7</v>
      </c>
      <c r="D7" s="429" t="s">
        <v>1456</v>
      </c>
      <c r="E7" s="426" t="s">
        <v>1454</v>
      </c>
      <c r="N7" s="451" t="s">
        <v>1478</v>
      </c>
      <c r="O7" s="424">
        <v>24.71</v>
      </c>
      <c r="P7" s="425"/>
      <c r="Q7" s="431"/>
    </row>
    <row r="8" spans="2:17">
      <c r="B8" s="451" t="s">
        <v>1753</v>
      </c>
      <c r="C8" s="424">
        <v>84.9</v>
      </c>
      <c r="D8" s="429" t="s">
        <v>1456</v>
      </c>
      <c r="E8" s="426" t="s">
        <v>1454</v>
      </c>
      <c r="N8" s="451" t="s">
        <v>1478</v>
      </c>
      <c r="O8" s="424">
        <v>29.79</v>
      </c>
      <c r="P8" s="425"/>
      <c r="Q8" s="426"/>
    </row>
    <row r="9" spans="2:17">
      <c r="B9" s="451" t="s">
        <v>1754</v>
      </c>
      <c r="C9" s="424">
        <v>143.27000000000001</v>
      </c>
      <c r="D9" s="429" t="s">
        <v>1451</v>
      </c>
      <c r="E9" s="426" t="s">
        <v>1454</v>
      </c>
      <c r="N9" s="452" t="s">
        <v>1782</v>
      </c>
      <c r="O9" s="424">
        <v>95.38</v>
      </c>
      <c r="P9" s="425"/>
      <c r="Q9" s="426"/>
    </row>
    <row r="10" spans="2:17">
      <c r="B10" s="451" t="s">
        <v>1755</v>
      </c>
      <c r="C10" s="424">
        <v>35</v>
      </c>
      <c r="D10" s="429" t="s">
        <v>1451</v>
      </c>
      <c r="E10" s="426" t="s">
        <v>1454</v>
      </c>
      <c r="N10" s="459" t="s">
        <v>1820</v>
      </c>
      <c r="O10" s="424">
        <v>26</v>
      </c>
      <c r="P10" s="425"/>
      <c r="Q10" s="426"/>
    </row>
    <row r="11" spans="2:17">
      <c r="B11" s="451" t="s">
        <v>1482</v>
      </c>
      <c r="C11" s="424">
        <v>18.87</v>
      </c>
      <c r="D11" s="429" t="s">
        <v>1458</v>
      </c>
      <c r="E11" s="426" t="s">
        <v>1454</v>
      </c>
      <c r="N11" s="449" t="s">
        <v>1632</v>
      </c>
      <c r="O11" s="447">
        <v>14.9</v>
      </c>
      <c r="P11" s="448" t="s">
        <v>1456</v>
      </c>
      <c r="Q11" s="426" t="s">
        <v>1454</v>
      </c>
    </row>
    <row r="12" spans="2:17">
      <c r="B12" s="451" t="s">
        <v>1482</v>
      </c>
      <c r="C12" s="424">
        <v>31.52</v>
      </c>
      <c r="D12" s="429" t="s">
        <v>1456</v>
      </c>
      <c r="E12" s="426" t="s">
        <v>1454</v>
      </c>
      <c r="N12" s="456" t="s">
        <v>1798</v>
      </c>
      <c r="O12" s="424">
        <v>30.25</v>
      </c>
      <c r="P12" s="425"/>
      <c r="Q12" s="426"/>
    </row>
    <row r="13" spans="2:17">
      <c r="B13" s="451" t="s">
        <v>1475</v>
      </c>
      <c r="C13" s="424">
        <v>39</v>
      </c>
      <c r="D13" s="429" t="s">
        <v>1458</v>
      </c>
      <c r="E13" s="426" t="s">
        <v>1455</v>
      </c>
      <c r="N13" s="455" t="s">
        <v>1794</v>
      </c>
      <c r="O13" s="424">
        <v>95</v>
      </c>
      <c r="P13" s="425"/>
      <c r="Q13" s="426"/>
    </row>
    <row r="14" spans="2:17">
      <c r="B14" s="451" t="s">
        <v>1756</v>
      </c>
      <c r="C14" s="424">
        <v>64.98</v>
      </c>
      <c r="D14" s="429" t="s">
        <v>38</v>
      </c>
      <c r="E14" s="426" t="s">
        <v>1455</v>
      </c>
      <c r="N14" s="455" t="s">
        <v>1795</v>
      </c>
      <c r="O14" s="424">
        <v>40.98</v>
      </c>
      <c r="P14" s="425"/>
      <c r="Q14" s="426"/>
    </row>
    <row r="15" spans="2:17">
      <c r="B15" s="451" t="s">
        <v>1757</v>
      </c>
      <c r="C15" s="424">
        <v>108.7</v>
      </c>
      <c r="D15" s="429" t="s">
        <v>1456</v>
      </c>
      <c r="E15" s="426" t="s">
        <v>1454</v>
      </c>
      <c r="N15" s="455" t="s">
        <v>1796</v>
      </c>
      <c r="O15" s="424">
        <v>30.2</v>
      </c>
      <c r="P15" s="425"/>
      <c r="Q15" s="426"/>
    </row>
    <row r="16" spans="2:17">
      <c r="B16" s="451" t="s">
        <v>1758</v>
      </c>
      <c r="C16" s="424">
        <v>134.27000000000001</v>
      </c>
      <c r="D16" s="429" t="s">
        <v>38</v>
      </c>
      <c r="E16" s="426" t="s">
        <v>1455</v>
      </c>
      <c r="N16" s="455" t="s">
        <v>1797</v>
      </c>
      <c r="O16" s="424">
        <f>125.8/3</f>
        <v>41.93333333333333</v>
      </c>
      <c r="P16" s="425"/>
      <c r="Q16" s="426"/>
    </row>
    <row r="17" spans="2:17">
      <c r="B17" s="451" t="s">
        <v>1511</v>
      </c>
      <c r="C17" s="424">
        <v>17.78</v>
      </c>
      <c r="D17" s="429" t="s">
        <v>1456</v>
      </c>
      <c r="E17" s="426" t="s">
        <v>1454</v>
      </c>
      <c r="N17" s="430"/>
      <c r="O17" s="424"/>
      <c r="P17" s="425"/>
      <c r="Q17" s="426"/>
    </row>
    <row r="18" spans="2:17">
      <c r="B18" s="451" t="s">
        <v>1759</v>
      </c>
      <c r="C18" s="424">
        <v>20</v>
      </c>
      <c r="D18" s="429" t="s">
        <v>1456</v>
      </c>
      <c r="E18" s="431" t="s">
        <v>1454</v>
      </c>
      <c r="N18" s="437"/>
      <c r="O18" s="424"/>
      <c r="P18" s="425"/>
      <c r="Q18" s="426"/>
    </row>
    <row r="19" spans="2:17">
      <c r="B19" s="451" t="s">
        <v>1760</v>
      </c>
      <c r="C19" s="424">
        <v>64</v>
      </c>
      <c r="D19" s="429"/>
      <c r="E19" s="426"/>
      <c r="N19" s="437"/>
      <c r="O19" s="424"/>
      <c r="P19" s="425"/>
      <c r="Q19" s="426"/>
    </row>
    <row r="20" spans="2:17">
      <c r="B20" s="451" t="s">
        <v>1650</v>
      </c>
      <c r="C20" s="424">
        <v>29.9</v>
      </c>
      <c r="D20" s="429"/>
      <c r="E20" s="426"/>
      <c r="N20" s="438"/>
      <c r="O20" s="424"/>
      <c r="P20" s="425"/>
      <c r="Q20" s="426"/>
    </row>
    <row r="21" spans="2:17">
      <c r="B21" s="451" t="s">
        <v>1702</v>
      </c>
      <c r="C21" s="424">
        <v>9.8000000000000007</v>
      </c>
      <c r="D21" s="429"/>
      <c r="E21" s="426"/>
      <c r="N21" s="439"/>
      <c r="O21" s="424"/>
      <c r="P21" s="425"/>
      <c r="Q21" s="426"/>
    </row>
    <row r="22" spans="2:17" ht="16.5" thickBot="1">
      <c r="B22" s="451" t="s">
        <v>1764</v>
      </c>
      <c r="C22" s="424">
        <v>49.9</v>
      </c>
      <c r="D22" s="429"/>
      <c r="E22" s="426"/>
      <c r="N22" s="286" t="s">
        <v>1534</v>
      </c>
      <c r="O22" s="287">
        <f>O3-SUM(O4:O21)</f>
        <v>-2411.6366666666672</v>
      </c>
      <c r="P22" s="286"/>
      <c r="Q22" s="286"/>
    </row>
    <row r="23" spans="2:17" ht="15.75" thickTop="1">
      <c r="B23" s="451" t="s">
        <v>1818</v>
      </c>
      <c r="C23" s="424">
        <v>104.26</v>
      </c>
      <c r="D23" s="429"/>
      <c r="E23" s="426"/>
    </row>
    <row r="24" spans="2:17">
      <c r="B24" s="451" t="s">
        <v>1552</v>
      </c>
      <c r="C24" s="424">
        <v>4.97</v>
      </c>
      <c r="D24" s="429"/>
      <c r="E24" s="426"/>
    </row>
    <row r="25" spans="2:17">
      <c r="B25" s="451" t="s">
        <v>1552</v>
      </c>
      <c r="C25" s="424">
        <v>11.57</v>
      </c>
      <c r="D25" s="429"/>
      <c r="E25" s="426"/>
      <c r="N25" s="603" t="s">
        <v>704</v>
      </c>
      <c r="O25" s="603"/>
      <c r="P25" s="349">
        <f>SUM(C4:C65)</f>
        <v>4612.8300000000008</v>
      </c>
    </row>
    <row r="26" spans="2:17">
      <c r="B26" s="451" t="s">
        <v>1552</v>
      </c>
      <c r="C26" s="424">
        <v>16.18</v>
      </c>
      <c r="D26" s="429"/>
      <c r="E26" s="426"/>
      <c r="N26" s="604" t="s">
        <v>1445</v>
      </c>
      <c r="O26" s="604"/>
      <c r="P26" s="349">
        <f>SUM(O4:O21)</f>
        <v>598.80666666666662</v>
      </c>
    </row>
    <row r="27" spans="2:17" ht="15.75" thickBot="1">
      <c r="B27" s="451" t="s">
        <v>1583</v>
      </c>
      <c r="C27" s="424">
        <v>22.85</v>
      </c>
      <c r="D27" s="429"/>
      <c r="E27" s="426"/>
      <c r="N27" s="590" t="s">
        <v>1629</v>
      </c>
      <c r="O27" s="590"/>
      <c r="P27" s="323">
        <f>SUM(P25:P26)</f>
        <v>5211.6366666666672</v>
      </c>
    </row>
    <row r="28" spans="2:17" ht="15.75" thickTop="1">
      <c r="B28" s="451" t="s">
        <v>1774</v>
      </c>
      <c r="C28" s="424">
        <v>10.8</v>
      </c>
      <c r="D28" s="429"/>
      <c r="E28" s="426"/>
    </row>
    <row r="29" spans="2:17">
      <c r="B29" s="451" t="s">
        <v>1508</v>
      </c>
      <c r="C29" s="424">
        <v>129.9</v>
      </c>
      <c r="D29" s="429"/>
      <c r="E29" s="426"/>
    </row>
    <row r="30" spans="2:17">
      <c r="B30" s="451" t="s">
        <v>1482</v>
      </c>
      <c r="C30" s="424">
        <v>13.62</v>
      </c>
      <c r="D30" s="429"/>
      <c r="E30" s="426"/>
    </row>
    <row r="31" spans="2:17">
      <c r="B31" s="451" t="s">
        <v>1521</v>
      </c>
      <c r="C31" s="424">
        <v>103.09</v>
      </c>
      <c r="D31" s="429"/>
      <c r="E31" s="426"/>
    </row>
    <row r="32" spans="2:17">
      <c r="B32" s="451" t="s">
        <v>1775</v>
      </c>
      <c r="C32" s="424">
        <v>152.63999999999999</v>
      </c>
      <c r="D32" s="429"/>
      <c r="E32" s="426"/>
    </row>
    <row r="33" spans="2:5">
      <c r="B33" s="451" t="s">
        <v>1753</v>
      </c>
      <c r="C33" s="424">
        <v>24.9</v>
      </c>
      <c r="D33" s="429"/>
      <c r="E33" s="426"/>
    </row>
    <row r="34" spans="2:5">
      <c r="B34" s="451" t="s">
        <v>1482</v>
      </c>
      <c r="C34" s="424">
        <v>35.86</v>
      </c>
      <c r="D34" s="429"/>
      <c r="E34" s="426"/>
    </row>
    <row r="35" spans="2:5">
      <c r="B35" s="451" t="s">
        <v>1776</v>
      </c>
      <c r="C35" s="424">
        <v>40</v>
      </c>
      <c r="D35" s="429"/>
      <c r="E35" s="426"/>
    </row>
    <row r="36" spans="2:5">
      <c r="B36" s="451" t="s">
        <v>1780</v>
      </c>
      <c r="C36" s="424">
        <v>40.36</v>
      </c>
      <c r="D36" s="429"/>
      <c r="E36" s="426"/>
    </row>
    <row r="37" spans="2:5">
      <c r="B37" s="451" t="s">
        <v>1544</v>
      </c>
      <c r="C37" s="424">
        <v>48.84</v>
      </c>
      <c r="D37" s="429"/>
      <c r="E37" s="426"/>
    </row>
    <row r="38" spans="2:5">
      <c r="B38" s="451" t="s">
        <v>1781</v>
      </c>
      <c r="C38" s="424">
        <v>126.38</v>
      </c>
      <c r="D38" s="429"/>
      <c r="E38" s="426"/>
    </row>
    <row r="39" spans="2:5">
      <c r="B39" s="451" t="s">
        <v>1792</v>
      </c>
      <c r="C39" s="424">
        <v>52</v>
      </c>
      <c r="D39" s="429"/>
      <c r="E39" s="426"/>
    </row>
    <row r="40" spans="2:5">
      <c r="B40" s="451" t="s">
        <v>1526</v>
      </c>
      <c r="C40" s="424">
        <v>70.5</v>
      </c>
      <c r="D40" s="429"/>
      <c r="E40" s="426"/>
    </row>
    <row r="41" spans="2:5">
      <c r="B41" s="451" t="s">
        <v>1793</v>
      </c>
      <c r="C41" s="424">
        <v>139.19999999999999</v>
      </c>
      <c r="D41" s="428"/>
      <c r="E41" s="426"/>
    </row>
    <row r="42" spans="2:5">
      <c r="B42" s="451" t="s">
        <v>1799</v>
      </c>
      <c r="C42" s="424">
        <v>23.1</v>
      </c>
      <c r="D42" s="429"/>
      <c r="E42" s="426"/>
    </row>
    <row r="43" spans="2:5">
      <c r="B43" s="451" t="s">
        <v>1819</v>
      </c>
      <c r="C43" s="424">
        <v>121.7</v>
      </c>
      <c r="D43" s="429"/>
      <c r="E43" s="426"/>
    </row>
    <row r="44" spans="2:5">
      <c r="B44" s="451" t="s">
        <v>1800</v>
      </c>
      <c r="C44" s="424">
        <v>252.56</v>
      </c>
      <c r="D44" s="429"/>
      <c r="E44" s="426"/>
    </row>
    <row r="45" spans="2:5">
      <c r="B45" s="451" t="s">
        <v>1526</v>
      </c>
      <c r="C45" s="424">
        <v>15.95</v>
      </c>
      <c r="D45" s="429"/>
      <c r="E45" s="426"/>
    </row>
    <row r="46" spans="2:5">
      <c r="B46" s="451" t="s">
        <v>1807</v>
      </c>
      <c r="C46" s="424">
        <v>42.4</v>
      </c>
      <c r="D46" s="429"/>
      <c r="E46" s="426"/>
    </row>
    <row r="47" spans="2:5">
      <c r="B47" s="451" t="s">
        <v>1808</v>
      </c>
      <c r="C47" s="424">
        <v>44.98</v>
      </c>
      <c r="D47" s="429"/>
      <c r="E47" s="426"/>
    </row>
    <row r="48" spans="2:5">
      <c r="B48" s="451" t="s">
        <v>1809</v>
      </c>
      <c r="C48" s="424">
        <v>30</v>
      </c>
      <c r="D48" s="429"/>
      <c r="E48" s="426"/>
    </row>
    <row r="49" spans="2:5">
      <c r="B49" s="451" t="s">
        <v>1475</v>
      </c>
      <c r="C49" s="424">
        <v>49</v>
      </c>
      <c r="D49" s="429"/>
      <c r="E49" s="426"/>
    </row>
    <row r="50" spans="2:5">
      <c r="B50" s="451" t="s">
        <v>1700</v>
      </c>
      <c r="C50" s="424">
        <v>124.09</v>
      </c>
      <c r="D50" s="429"/>
      <c r="E50" s="426"/>
    </row>
    <row r="51" spans="2:5">
      <c r="B51" s="451" t="s">
        <v>1811</v>
      </c>
      <c r="C51" s="424">
        <v>92.62</v>
      </c>
      <c r="D51" s="429"/>
      <c r="E51" s="426"/>
    </row>
    <row r="52" spans="2:5">
      <c r="B52" s="451" t="s">
        <v>1812</v>
      </c>
      <c r="C52" s="424">
        <v>71</v>
      </c>
      <c r="D52" s="429"/>
      <c r="E52" s="426"/>
    </row>
    <row r="53" spans="2:5">
      <c r="B53" s="451" t="s">
        <v>1813</v>
      </c>
      <c r="C53" s="424">
        <v>168.3</v>
      </c>
      <c r="D53" s="429"/>
      <c r="E53" s="426"/>
    </row>
    <row r="54" spans="2:5">
      <c r="B54" s="451" t="s">
        <v>1814</v>
      </c>
      <c r="C54" s="424">
        <v>170.79</v>
      </c>
      <c r="D54" s="429"/>
      <c r="E54" s="426"/>
    </row>
    <row r="55" spans="2:5">
      <c r="B55" s="451" t="s">
        <v>1815</v>
      </c>
      <c r="C55" s="424">
        <v>140.19999999999999</v>
      </c>
      <c r="D55" s="429"/>
      <c r="E55" s="426"/>
    </row>
    <row r="56" spans="2:5">
      <c r="B56" s="451" t="s">
        <v>1816</v>
      </c>
      <c r="C56" s="424">
        <v>174.9</v>
      </c>
      <c r="D56" s="429"/>
      <c r="E56" s="426"/>
    </row>
    <row r="57" spans="2:5" ht="15.75" thickBot="1">
      <c r="B57" s="292" t="s">
        <v>1482</v>
      </c>
      <c r="C57" s="424">
        <v>30.31</v>
      </c>
      <c r="D57" s="429"/>
      <c r="E57" s="426"/>
    </row>
    <row r="58" spans="2:5" ht="15.75" thickBot="1">
      <c r="B58" s="293" t="s">
        <v>1821</v>
      </c>
      <c r="C58" s="424">
        <v>67</v>
      </c>
      <c r="D58" s="429"/>
      <c r="E58" s="426"/>
    </row>
    <row r="59" spans="2:5" ht="15.75" thickBot="1">
      <c r="B59" s="292" t="s">
        <v>1508</v>
      </c>
      <c r="C59" s="424">
        <v>85.93</v>
      </c>
      <c r="D59" s="429"/>
      <c r="E59" s="426"/>
    </row>
    <row r="60" spans="2:5" ht="15.75" thickBot="1">
      <c r="B60" s="293" t="s">
        <v>1822</v>
      </c>
      <c r="C60" s="424">
        <v>40</v>
      </c>
      <c r="D60" s="429"/>
      <c r="E60" s="426"/>
    </row>
    <row r="61" spans="2:5" ht="15.75" thickBot="1">
      <c r="B61" s="292" t="s">
        <v>1475</v>
      </c>
      <c r="C61" s="424">
        <v>48</v>
      </c>
      <c r="D61" s="429"/>
      <c r="E61" s="426"/>
    </row>
    <row r="62" spans="2:5" ht="15.75" thickBot="1">
      <c r="B62" s="294" t="s">
        <v>1824</v>
      </c>
      <c r="C62" s="424">
        <v>47.1</v>
      </c>
      <c r="D62" s="429"/>
      <c r="E62" s="426"/>
    </row>
    <row r="63" spans="2:5" ht="15.75" thickBot="1">
      <c r="B63" s="293" t="s">
        <v>1825</v>
      </c>
      <c r="C63" s="424">
        <v>87.31</v>
      </c>
      <c r="D63" s="429"/>
      <c r="E63" s="426"/>
    </row>
    <row r="64" spans="2:5" ht="15.75" thickBot="1">
      <c r="B64" s="292" t="s">
        <v>1826</v>
      </c>
      <c r="C64" s="424">
        <v>37.619999999999997</v>
      </c>
      <c r="D64" s="429"/>
      <c r="E64" s="426"/>
    </row>
    <row r="65" spans="2:5" ht="15.75" thickBot="1">
      <c r="B65" s="293" t="s">
        <v>1827</v>
      </c>
      <c r="C65" s="424">
        <v>88.4</v>
      </c>
      <c r="D65" s="429"/>
      <c r="E65" s="426"/>
    </row>
    <row r="66" spans="2:5" ht="15.75" thickBot="1">
      <c r="B66" s="420"/>
      <c r="C66" s="421"/>
      <c r="D66" s="422"/>
      <c r="E66" s="423"/>
    </row>
    <row r="67" spans="2:5" ht="16.5" thickBot="1">
      <c r="B67" s="286" t="s">
        <v>1459</v>
      </c>
      <c r="C67" s="287">
        <f>C3-SUM(C4:C66)</f>
        <v>-1812.8300000000008</v>
      </c>
      <c r="D67" s="286"/>
      <c r="E67" s="286"/>
    </row>
    <row r="68" spans="2:5" ht="15.75" thickTop="1">
      <c r="B68" s="266" t="s">
        <v>1584</v>
      </c>
      <c r="C68" s="270">
        <f>AVERAGE(C4:C65)</f>
        <v>74.400483870967761</v>
      </c>
    </row>
    <row r="69" spans="2:5">
      <c r="C69" s="270"/>
    </row>
    <row r="70" spans="2:5">
      <c r="D70" s="266" t="s">
        <v>1458</v>
      </c>
      <c r="E70" s="269" t="s">
        <v>1457</v>
      </c>
    </row>
    <row r="71" spans="2:5">
      <c r="D71" s="266" t="s">
        <v>1456</v>
      </c>
      <c r="E71" s="268" t="s">
        <v>1455</v>
      </c>
    </row>
    <row r="72" spans="2:5">
      <c r="D72" s="266" t="s">
        <v>38</v>
      </c>
      <c r="E72" s="267" t="s">
        <v>1454</v>
      </c>
    </row>
    <row r="73" spans="2:5">
      <c r="D73" s="266" t="s">
        <v>1453</v>
      </c>
    </row>
    <row r="74" spans="2:5">
      <c r="D74" s="266" t="s">
        <v>1452</v>
      </c>
    </row>
    <row r="75" spans="2:5">
      <c r="D75" s="266" t="s">
        <v>17</v>
      </c>
    </row>
    <row r="76" spans="2:5">
      <c r="D76" s="266" t="s">
        <v>1451</v>
      </c>
    </row>
    <row r="77" spans="2:5">
      <c r="D77" s="266" t="s">
        <v>1450</v>
      </c>
    </row>
  </sheetData>
  <mergeCells count="5">
    <mergeCell ref="B1:E1"/>
    <mergeCell ref="N1:Q1"/>
    <mergeCell ref="N25:O25"/>
    <mergeCell ref="N26:O26"/>
    <mergeCell ref="N27:O27"/>
  </mergeCells>
  <conditionalFormatting sqref="E4:E18 Q4:Q21 E20:E48 E55:E66">
    <cfRule type="containsText" dxfId="56" priority="22" stopIfTrue="1" operator="containsText" text="Necessário">
      <formula>NOT(ISERROR(SEARCH("Necessário",E4)))</formula>
    </cfRule>
  </conditionalFormatting>
  <conditionalFormatting sqref="E4:E18 Q4:Q21 E20:E48 E55:E66">
    <cfRule type="containsText" dxfId="55" priority="21" stopIfTrue="1" operator="containsText" text="Frívolo">
      <formula>NOT(ISERROR(SEARCH("Frívolo",E4)))</formula>
    </cfRule>
  </conditionalFormatting>
  <conditionalFormatting sqref="C69">
    <cfRule type="dataBar" priority="20">
      <dataBar>
        <cfvo type="min" val="0"/>
        <cfvo type="max" val="0"/>
        <color rgb="FF638EC6"/>
      </dataBar>
    </cfRule>
  </conditionalFormatting>
  <conditionalFormatting sqref="C68">
    <cfRule type="dataBar" priority="19">
      <dataBar>
        <cfvo type="min" val="0"/>
        <cfvo type="max" val="0"/>
        <color rgb="FF638EC6"/>
      </dataBar>
    </cfRule>
  </conditionalFormatting>
  <conditionalFormatting sqref="E19">
    <cfRule type="containsText" dxfId="54" priority="12" stopIfTrue="1" operator="containsText" text="Necessário">
      <formula>NOT(ISERROR(SEARCH("Necessário",E19)))</formula>
    </cfRule>
  </conditionalFormatting>
  <conditionalFormatting sqref="E19">
    <cfRule type="containsText" dxfId="53" priority="11" stopIfTrue="1" operator="containsText" text="Frívolo">
      <formula>NOT(ISERROR(SEARCH("Frívolo",E19)))</formula>
    </cfRule>
  </conditionalFormatting>
  <conditionalFormatting sqref="E52:E54">
    <cfRule type="containsText" dxfId="52" priority="8" stopIfTrue="1" operator="containsText" text="Necessário">
      <formula>NOT(ISERROR(SEARCH("Necessário",E52)))</formula>
    </cfRule>
  </conditionalFormatting>
  <conditionalFormatting sqref="E52:E54">
    <cfRule type="containsText" dxfId="51" priority="7" stopIfTrue="1" operator="containsText" text="Frívolo">
      <formula>NOT(ISERROR(SEARCH("Frívolo",E52)))</formula>
    </cfRule>
  </conditionalFormatting>
  <conditionalFormatting sqref="E49:E51">
    <cfRule type="containsText" dxfId="50" priority="6" stopIfTrue="1" operator="containsText" text="Necessário">
      <formula>NOT(ISERROR(SEARCH("Necessário",E49)))</formula>
    </cfRule>
  </conditionalFormatting>
  <conditionalFormatting sqref="E49:E51">
    <cfRule type="containsText" dxfId="49" priority="5" stopIfTrue="1" operator="containsText" text="Frívolo">
      <formula>NOT(ISERROR(SEARCH("Frívolo",E49)))</formula>
    </cfRule>
  </conditionalFormatting>
  <conditionalFormatting sqref="E62">
    <cfRule type="containsText" dxfId="48" priority="4" stopIfTrue="1" operator="containsText" text="Necessário">
      <formula>NOT(ISERROR(SEARCH("Necessário",E62)))</formula>
    </cfRule>
  </conditionalFormatting>
  <conditionalFormatting sqref="E62">
    <cfRule type="containsText" dxfId="47" priority="3" stopIfTrue="1" operator="containsText" text="Frívolo">
      <formula>NOT(ISERROR(SEARCH("Frívolo",E62)))</formula>
    </cfRule>
  </conditionalFormatting>
  <conditionalFormatting sqref="E58">
    <cfRule type="containsText" dxfId="46" priority="2" stopIfTrue="1" operator="containsText" text="Necessário">
      <formula>NOT(ISERROR(SEARCH("Necessário",E58)))</formula>
    </cfRule>
  </conditionalFormatting>
  <conditionalFormatting sqref="E58">
    <cfRule type="containsText" dxfId="45" priority="1" stopIfTrue="1" operator="containsText" text="Frívolo">
      <formula>NOT(ISERROR(SEARCH("Frívolo",E58)))</formula>
    </cfRule>
  </conditionalFormatting>
  <dataValidations count="2">
    <dataValidation type="list" allowBlank="1" showInputMessage="1" showErrorMessage="1" sqref="K5:L6 Q4:Q21 F5:F6 E4:E66">
      <formula1>$E$70:$E$72</formula1>
    </dataValidation>
    <dataValidation type="list" allowBlank="1" showInputMessage="1" showErrorMessage="1" sqref="P4:P21 D4:D66">
      <formula1>$D$70:$D$77</formula1>
    </dataValidation>
  </dataValidations>
  <pageMargins left="0.511811024" right="0.511811024" top="0.78740157499999996" bottom="0.78740157499999996" header="0.31496062000000002" footer="0.31496062000000002"/>
  <pageSetup paperSize="9" orientation="portrait" r:id="rId1"/>
</worksheet>
</file>

<file path=xl/worksheets/sheet135.xml><?xml version="1.0" encoding="utf-8"?>
<worksheet xmlns="http://schemas.openxmlformats.org/spreadsheetml/2006/main" xmlns:r="http://schemas.openxmlformats.org/officeDocument/2006/relationships">
  <dimension ref="B2:AE50"/>
  <sheetViews>
    <sheetView topLeftCell="A4" zoomScale="75" zoomScaleNormal="75" workbookViewId="0">
      <selection activeCell="C30" sqref="C30"/>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9.140625" bestFit="1" customWidth="1"/>
    <col min="13" max="13" width="13.5703125" bestFit="1" customWidth="1"/>
    <col min="14" max="14" width="1.140625" customWidth="1"/>
    <col min="15" max="15" width="13.140625" customWidth="1"/>
    <col min="16" max="16" width="16" customWidth="1"/>
    <col min="17" max="17" width="0.85546875" customWidth="1"/>
    <col min="18" max="18" width="0.7109375" customWidth="1"/>
    <col min="19" max="19" width="14.28515625" bestFit="1" customWidth="1"/>
    <col min="20" max="20" width="20" bestFit="1" customWidth="1"/>
    <col min="21" max="21" width="15.42578125" bestFit="1" customWidth="1"/>
    <col min="22" max="22" width="1.5703125" customWidth="1"/>
    <col min="23" max="23" width="14.42578125" bestFit="1" customWidth="1"/>
    <col min="24" max="24" width="14.5703125" bestFit="1" customWidth="1"/>
    <col min="25" max="25" width="12.85546875" bestFit="1" customWidth="1"/>
    <col min="26" max="26" width="12.5703125" bestFit="1" customWidth="1"/>
    <col min="27" max="27" width="13.28515625" bestFit="1" customWidth="1"/>
    <col min="28" max="28" width="14" bestFit="1" customWidth="1"/>
    <col min="29" max="29" width="14.42578125" bestFit="1" customWidth="1"/>
    <col min="30" max="31" width="12.85546875" bestFit="1" customWidth="1"/>
  </cols>
  <sheetData>
    <row r="2" spans="2:31" ht="23.25">
      <c r="B2" s="236" t="s">
        <v>1401</v>
      </c>
      <c r="C2" s="237" t="s">
        <v>1402</v>
      </c>
      <c r="D2" s="238" t="s">
        <v>1554</v>
      </c>
      <c r="F2" s="593" t="s">
        <v>1557</v>
      </c>
      <c r="G2" s="593"/>
      <c r="H2" s="593"/>
      <c r="J2" s="606" t="s">
        <v>1111</v>
      </c>
      <c r="K2" s="606"/>
      <c r="L2" s="606"/>
      <c r="M2" s="606"/>
      <c r="O2" s="594" t="s">
        <v>1667</v>
      </c>
      <c r="P2" s="594"/>
      <c r="S2" s="595" t="s">
        <v>1558</v>
      </c>
      <c r="T2" s="595"/>
      <c r="U2" s="595"/>
      <c r="W2" s="602" t="s">
        <v>1073</v>
      </c>
      <c r="X2" s="602"/>
      <c r="Y2" s="602"/>
      <c r="Z2" s="602"/>
    </row>
    <row r="3" spans="2:31" ht="18">
      <c r="B3" s="227" t="s">
        <v>135</v>
      </c>
      <c r="C3" s="224"/>
      <c r="D3" s="471" t="s">
        <v>0</v>
      </c>
      <c r="F3" s="472" t="s">
        <v>1577</v>
      </c>
      <c r="G3" s="472" t="s">
        <v>1143</v>
      </c>
      <c r="H3" s="472" t="s">
        <v>1631</v>
      </c>
      <c r="J3" s="389" t="s">
        <v>1687</v>
      </c>
      <c r="K3" s="389" t="s">
        <v>219</v>
      </c>
      <c r="L3" s="389" t="s">
        <v>1692</v>
      </c>
      <c r="M3" s="389" t="s">
        <v>1693</v>
      </c>
      <c r="O3" s="473" t="s">
        <v>1577</v>
      </c>
      <c r="P3" s="473" t="s">
        <v>1143</v>
      </c>
      <c r="S3" s="322" t="s">
        <v>1249</v>
      </c>
      <c r="T3" s="322" t="s">
        <v>646</v>
      </c>
      <c r="U3" s="322" t="s">
        <v>1559</v>
      </c>
      <c r="W3" s="591" t="s">
        <v>1591</v>
      </c>
      <c r="X3" s="591"/>
      <c r="Y3" s="295">
        <v>60</v>
      </c>
      <c r="Z3" s="295"/>
    </row>
    <row r="4" spans="2:31" ht="18" customHeight="1">
      <c r="B4" s="228" t="s">
        <v>7</v>
      </c>
      <c r="C4" s="191"/>
      <c r="D4" s="95">
        <v>-16.75</v>
      </c>
      <c r="F4" s="111" t="s">
        <v>1438</v>
      </c>
      <c r="G4" s="111">
        <v>5100.55</v>
      </c>
      <c r="H4" s="348">
        <v>42607</v>
      </c>
      <c r="J4" s="383" t="s">
        <v>1684</v>
      </c>
      <c r="K4" s="387">
        <v>0</v>
      </c>
      <c r="L4" s="392"/>
      <c r="M4" s="199"/>
      <c r="O4" s="305" t="s">
        <v>107</v>
      </c>
      <c r="P4" s="306">
        <v>25.32</v>
      </c>
      <c r="S4" s="295" t="s">
        <v>1308</v>
      </c>
      <c r="T4" s="298">
        <v>17975.63</v>
      </c>
      <c r="U4" s="297">
        <f>T4*(1-27.5%)</f>
        <v>13032.331750000001</v>
      </c>
      <c r="W4" s="591" t="s">
        <v>1592</v>
      </c>
      <c r="X4" s="591"/>
      <c r="Y4" s="295">
        <f>Y3/12</f>
        <v>5</v>
      </c>
      <c r="Z4" s="295"/>
    </row>
    <row r="5" spans="2:31" ht="17.25" customHeight="1">
      <c r="B5" s="228" t="s">
        <v>927</v>
      </c>
      <c r="C5" s="91">
        <f>P5</f>
        <v>245</v>
      </c>
      <c r="D5" s="95">
        <f>Tabela134567891012[[#This Row],[Colunas2]]</f>
        <v>245</v>
      </c>
      <c r="F5" s="111" t="s">
        <v>1438</v>
      </c>
      <c r="G5" s="111">
        <v>5103.9399999999996</v>
      </c>
      <c r="H5" s="348">
        <v>42608</v>
      </c>
      <c r="J5" s="390" t="s">
        <v>1685</v>
      </c>
      <c r="K5" s="411">
        <v>1539.28</v>
      </c>
      <c r="L5" s="404"/>
      <c r="M5" s="405"/>
      <c r="O5" s="305" t="s">
        <v>927</v>
      </c>
      <c r="P5" s="306">
        <v>245</v>
      </c>
      <c r="S5" s="295" t="s">
        <v>1309</v>
      </c>
      <c r="T5" s="298">
        <v>49707.26</v>
      </c>
      <c r="U5" s="297">
        <f>T5*(1-27.5%)</f>
        <v>36037.763500000001</v>
      </c>
      <c r="W5" s="295"/>
      <c r="X5" s="295" t="s">
        <v>1588</v>
      </c>
      <c r="Y5" s="295" t="s">
        <v>1589</v>
      </c>
      <c r="Z5" s="295" t="s">
        <v>21</v>
      </c>
    </row>
    <row r="6" spans="2:31" ht="15.75" thickBot="1">
      <c r="B6" s="228" t="s">
        <v>107</v>
      </c>
      <c r="C6" s="91">
        <v>25.32</v>
      </c>
      <c r="D6" s="95">
        <f>Tabela134567891012[[#This Row],[Colunas2]]</f>
        <v>25.32</v>
      </c>
      <c r="F6" s="111" t="s">
        <v>1438</v>
      </c>
      <c r="G6" s="111">
        <v>5107.05</v>
      </c>
      <c r="H6" s="348">
        <v>42611</v>
      </c>
      <c r="J6" s="383" t="s">
        <v>1686</v>
      </c>
      <c r="K6" s="387">
        <v>6735.59</v>
      </c>
      <c r="L6" s="392"/>
      <c r="M6" s="199"/>
      <c r="O6" s="305" t="s">
        <v>9</v>
      </c>
      <c r="P6" s="306">
        <v>82.5</v>
      </c>
      <c r="S6" s="215" t="s">
        <v>45</v>
      </c>
      <c r="T6" s="329">
        <f>SUM(T4:T5)</f>
        <v>67682.89</v>
      </c>
      <c r="U6" s="215">
        <f>SUM(U4:U5)</f>
        <v>49070.095249999998</v>
      </c>
      <c r="W6" s="295" t="s">
        <v>1126</v>
      </c>
      <c r="X6" s="332">
        <v>40885</v>
      </c>
      <c r="Y6" s="333">
        <f ca="1">TODAY()</f>
        <v>42744</v>
      </c>
      <c r="Z6" s="295">
        <f ca="1">((YEAR(X6)-YEAR(Y6))*12+MONTH(X6)-MONTH(Y6))*-1</f>
        <v>61</v>
      </c>
    </row>
    <row r="7" spans="2:31" ht="16.5" thickTop="1" thickBot="1">
      <c r="B7" s="228" t="s">
        <v>1879</v>
      </c>
      <c r="C7" s="91">
        <v>82.5</v>
      </c>
      <c r="D7" s="95">
        <f>Tabela134567891012[[#This Row],[Colunas2]]</f>
        <v>82.5</v>
      </c>
      <c r="F7" s="111" t="s">
        <v>1438</v>
      </c>
      <c r="G7" s="111">
        <v>5110.3</v>
      </c>
      <c r="H7" s="348">
        <v>42612</v>
      </c>
      <c r="J7" s="390" t="s">
        <v>1277</v>
      </c>
      <c r="K7" s="391">
        <v>4845.29</v>
      </c>
      <c r="L7" s="404"/>
      <c r="M7" s="405"/>
      <c r="O7" s="328" t="s">
        <v>1449</v>
      </c>
      <c r="P7" s="329">
        <f>SUM(P5:P6)</f>
        <v>327.5</v>
      </c>
      <c r="W7" s="295" t="s">
        <v>1590</v>
      </c>
      <c r="X7" s="332">
        <v>41578</v>
      </c>
      <c r="Y7" s="333">
        <f ca="1">TODAY()</f>
        <v>42744</v>
      </c>
      <c r="Z7" s="295">
        <f ca="1">((YEAR(X7)-YEAR(Y7))*12+MONTH(X7)-MONTH(Y7))*-1</f>
        <v>39</v>
      </c>
    </row>
    <row r="8" spans="2:31" ht="16.5" thickTop="1">
      <c r="B8" s="228" t="s">
        <v>5</v>
      </c>
      <c r="C8" s="91">
        <v>5452.58</v>
      </c>
      <c r="D8" s="95">
        <v>0</v>
      </c>
      <c r="F8" s="111" t="s">
        <v>1438</v>
      </c>
      <c r="G8" s="111">
        <v>3013.6</v>
      </c>
      <c r="H8" s="348">
        <v>42613</v>
      </c>
      <c r="J8" s="395" t="s">
        <v>45</v>
      </c>
      <c r="K8" s="397">
        <f>SUM(K4:K7)</f>
        <v>13120.16</v>
      </c>
      <c r="L8" s="398"/>
      <c r="M8" s="397"/>
      <c r="S8" s="596" t="s">
        <v>1560</v>
      </c>
      <c r="T8" s="596"/>
    </row>
    <row r="9" spans="2:31" ht="15">
      <c r="B9" s="229" t="s">
        <v>122</v>
      </c>
      <c r="C9" s="96">
        <v>-227.02</v>
      </c>
      <c r="D9" s="63">
        <v>0</v>
      </c>
      <c r="F9" s="111" t="s">
        <v>1438</v>
      </c>
      <c r="G9" s="111">
        <v>3014.84</v>
      </c>
      <c r="H9" s="348">
        <v>42615</v>
      </c>
      <c r="K9" s="193"/>
      <c r="O9" s="605" t="s">
        <v>1680</v>
      </c>
      <c r="P9" s="605"/>
      <c r="R9" s="219"/>
      <c r="S9" s="295" t="s">
        <v>1561</v>
      </c>
      <c r="T9" s="309">
        <v>13.3</v>
      </c>
      <c r="W9" s="602" t="s">
        <v>1605</v>
      </c>
      <c r="X9" s="602"/>
      <c r="Y9" s="399">
        <v>42531</v>
      </c>
      <c r="Z9" s="399">
        <v>42534</v>
      </c>
      <c r="AA9" s="399">
        <v>42536</v>
      </c>
      <c r="AB9" s="399">
        <v>42543</v>
      </c>
      <c r="AC9" s="399">
        <v>42550</v>
      </c>
      <c r="AD9" s="399">
        <v>42556</v>
      </c>
      <c r="AE9" s="399">
        <v>42584</v>
      </c>
    </row>
    <row r="10" spans="2:31" ht="14.25" customHeight="1">
      <c r="B10" s="229" t="s">
        <v>1339</v>
      </c>
      <c r="C10" s="96">
        <f>-1015.96-20.32</f>
        <v>-1036.28</v>
      </c>
      <c r="D10" s="63">
        <v>0</v>
      </c>
      <c r="F10" s="111" t="s">
        <v>1438</v>
      </c>
      <c r="G10" s="111">
        <v>3018.62</v>
      </c>
      <c r="H10" s="348">
        <v>42621</v>
      </c>
      <c r="K10" s="52"/>
      <c r="O10" s="474" t="s">
        <v>1577</v>
      </c>
      <c r="P10" s="474" t="s">
        <v>1143</v>
      </c>
      <c r="S10" s="295" t="s">
        <v>1562</v>
      </c>
      <c r="T10" s="295">
        <v>40</v>
      </c>
      <c r="W10" s="297">
        <v>20000</v>
      </c>
      <c r="X10" s="297">
        <v>1119.81</v>
      </c>
      <c r="Y10" s="297">
        <v>1168.17</v>
      </c>
      <c r="Z10" s="400">
        <v>1196.06</v>
      </c>
      <c r="AA10" s="400">
        <v>1207.25</v>
      </c>
      <c r="AB10" s="400">
        <v>1246.0999999999999</v>
      </c>
      <c r="AC10" s="400">
        <v>1284.81</v>
      </c>
      <c r="AD10" s="400">
        <v>1150.54</v>
      </c>
      <c r="AE10" s="400">
        <v>1131.22</v>
      </c>
    </row>
    <row r="11" spans="2:31">
      <c r="B11" s="242" t="s">
        <v>1415</v>
      </c>
      <c r="C11" s="243">
        <v>-1352</v>
      </c>
      <c r="D11" s="63">
        <v>0</v>
      </c>
      <c r="F11" s="111" t="s">
        <v>1438</v>
      </c>
      <c r="G11" s="111">
        <v>3021.11</v>
      </c>
      <c r="H11" s="348">
        <v>42625</v>
      </c>
      <c r="K11" s="193"/>
      <c r="O11" s="305" t="s">
        <v>15</v>
      </c>
      <c r="P11" s="306">
        <v>3.8</v>
      </c>
      <c r="S11" s="295" t="s">
        <v>45</v>
      </c>
      <c r="T11" s="310">
        <f>T9*T10</f>
        <v>532</v>
      </c>
      <c r="W11" s="297">
        <v>25000</v>
      </c>
      <c r="X11" s="297">
        <v>1063.0999999999999</v>
      </c>
      <c r="Y11" s="297">
        <v>1122.3900000000001</v>
      </c>
      <c r="Z11" s="400">
        <v>1157.1099999999999</v>
      </c>
      <c r="AA11" s="400">
        <v>1171.04</v>
      </c>
      <c r="AB11" s="400">
        <v>1219.47</v>
      </c>
      <c r="AC11" s="400">
        <v>1267.74</v>
      </c>
      <c r="AD11" s="400">
        <v>1100.6199999999999</v>
      </c>
      <c r="AE11" s="400">
        <v>1077.24</v>
      </c>
    </row>
    <row r="12" spans="2:31">
      <c r="B12" s="229" t="s">
        <v>586</v>
      </c>
      <c r="C12" s="96">
        <v>-199.78</v>
      </c>
      <c r="D12" s="63">
        <v>0</v>
      </c>
      <c r="F12" s="111" t="s">
        <v>1438</v>
      </c>
      <c r="G12" s="111">
        <v>3022.4</v>
      </c>
      <c r="H12" s="348">
        <v>42626</v>
      </c>
      <c r="O12" s="305" t="s">
        <v>1681</v>
      </c>
      <c r="P12" s="377">
        <v>2</v>
      </c>
      <c r="S12" s="295" t="s">
        <v>1033</v>
      </c>
      <c r="T12" s="309">
        <v>3.25</v>
      </c>
      <c r="W12" s="297">
        <v>30000</v>
      </c>
      <c r="X12" s="297">
        <v>1006.38</v>
      </c>
      <c r="Y12" s="297">
        <v>1076.5999999999999</v>
      </c>
      <c r="Z12" s="400">
        <v>1118.17</v>
      </c>
      <c r="AA12" s="400">
        <v>1134.83</v>
      </c>
      <c r="AB12" s="400">
        <v>1192.82</v>
      </c>
      <c r="AC12" s="400">
        <v>1250.68</v>
      </c>
      <c r="AD12" s="400">
        <v>1050.7</v>
      </c>
      <c r="AE12" s="400">
        <v>1023.27</v>
      </c>
    </row>
    <row r="13" spans="2:31">
      <c r="B13" s="229" t="s">
        <v>1397</v>
      </c>
      <c r="C13" s="96">
        <f>-52.23-24.32</f>
        <v>-76.55</v>
      </c>
      <c r="D13" s="63">
        <v>0</v>
      </c>
      <c r="F13" s="111" t="s">
        <v>1438</v>
      </c>
      <c r="G13" s="111">
        <v>3024.98</v>
      </c>
      <c r="H13" s="348">
        <v>42627</v>
      </c>
      <c r="O13" s="305" t="s">
        <v>1682</v>
      </c>
      <c r="P13" s="377">
        <v>21</v>
      </c>
      <c r="S13" s="311" t="s">
        <v>1563</v>
      </c>
      <c r="T13" s="312">
        <v>0.05</v>
      </c>
      <c r="W13" s="297">
        <v>35000</v>
      </c>
      <c r="X13" s="297">
        <v>949.68</v>
      </c>
      <c r="Y13" s="295" t="s">
        <v>596</v>
      </c>
      <c r="Z13" s="295" t="s">
        <v>596</v>
      </c>
      <c r="AA13" s="295" t="s">
        <v>596</v>
      </c>
      <c r="AB13" s="295" t="s">
        <v>596</v>
      </c>
      <c r="AC13" s="295" t="s">
        <v>596</v>
      </c>
      <c r="AD13" s="295"/>
      <c r="AE13" s="295"/>
    </row>
    <row r="14" spans="2:31" ht="15.75" thickBot="1">
      <c r="B14" s="229" t="s">
        <v>1419</v>
      </c>
      <c r="C14" s="243">
        <f>-P15</f>
        <v>-159.6</v>
      </c>
      <c r="D14" s="63">
        <v>0</v>
      </c>
      <c r="F14" s="111" t="s">
        <v>1438</v>
      </c>
      <c r="G14" s="111">
        <v>0</v>
      </c>
      <c r="H14" s="348">
        <v>42628</v>
      </c>
      <c r="O14" s="305"/>
      <c r="P14" s="306"/>
      <c r="S14" s="328" t="s">
        <v>45</v>
      </c>
      <c r="T14" s="329">
        <f>(T11*T12)*(1-T13)</f>
        <v>1642.55</v>
      </c>
      <c r="W14" s="297">
        <v>40000</v>
      </c>
      <c r="X14" s="297">
        <v>892.69</v>
      </c>
      <c r="Y14" s="295" t="s">
        <v>596</v>
      </c>
      <c r="Z14" s="295" t="s">
        <v>596</v>
      </c>
      <c r="AA14" s="295" t="s">
        <v>596</v>
      </c>
      <c r="AB14" s="295" t="s">
        <v>596</v>
      </c>
      <c r="AC14" s="295" t="s">
        <v>596</v>
      </c>
      <c r="AD14" s="295"/>
      <c r="AE14" s="295"/>
    </row>
    <row r="15" spans="2:31" ht="16.5" thickTop="1" thickBot="1">
      <c r="B15" s="229" t="s">
        <v>1098</v>
      </c>
      <c r="C15" s="96">
        <v>-163.07</v>
      </c>
      <c r="D15" s="63">
        <v>0</v>
      </c>
      <c r="F15" s="111"/>
      <c r="G15" s="111"/>
      <c r="H15" s="348"/>
      <c r="O15" s="328" t="s">
        <v>1449</v>
      </c>
      <c r="P15" s="329">
        <f>P11*P12*P13</f>
        <v>159.6</v>
      </c>
    </row>
    <row r="16" spans="2:31" ht="15.75" thickTop="1">
      <c r="B16" s="229" t="s">
        <v>1878</v>
      </c>
      <c r="C16" s="96">
        <v>-300</v>
      </c>
      <c r="D16" s="63">
        <v>0</v>
      </c>
      <c r="F16" s="111"/>
      <c r="G16" s="111"/>
      <c r="H16" s="348"/>
      <c r="S16" s="608" t="s">
        <v>1564</v>
      </c>
      <c r="T16" s="608"/>
      <c r="U16" s="468" t="s">
        <v>1841</v>
      </c>
    </row>
    <row r="17" spans="2:21" ht="15">
      <c r="B17" s="229" t="s">
        <v>65</v>
      </c>
      <c r="C17" s="96">
        <v>-600</v>
      </c>
      <c r="D17" s="63">
        <v>0</v>
      </c>
      <c r="F17" s="111"/>
      <c r="G17" s="111"/>
      <c r="H17" s="348"/>
      <c r="O17" s="597" t="s">
        <v>1162</v>
      </c>
      <c r="P17" s="598"/>
      <c r="S17" s="295" t="s">
        <v>1578</v>
      </c>
      <c r="T17" s="320">
        <v>92624.66</v>
      </c>
      <c r="U17" s="469">
        <v>42663</v>
      </c>
    </row>
    <row r="18" spans="2:21">
      <c r="B18" s="475" t="s">
        <v>1845</v>
      </c>
      <c r="C18" s="476">
        <v>-109.37</v>
      </c>
      <c r="D18" s="63">
        <v>0</v>
      </c>
      <c r="E18" s="143"/>
      <c r="F18" s="111"/>
      <c r="G18" s="111"/>
      <c r="H18" s="348"/>
      <c r="O18" t="s">
        <v>1169</v>
      </c>
      <c r="P18" s="299">
        <v>2477</v>
      </c>
      <c r="S18" s="295" t="s">
        <v>1579</v>
      </c>
      <c r="T18" s="321">
        <v>20445.48</v>
      </c>
      <c r="U18" s="491">
        <v>39248.04</v>
      </c>
    </row>
    <row r="19" spans="2:21">
      <c r="B19" s="229" t="s">
        <v>1069</v>
      </c>
      <c r="C19" s="96">
        <v>-885.4</v>
      </c>
      <c r="D19" s="63">
        <v>0</v>
      </c>
      <c r="F19" s="111"/>
      <c r="G19" s="111"/>
      <c r="H19" s="348"/>
      <c r="O19" t="s">
        <v>1319</v>
      </c>
      <c r="P19" s="302">
        <v>521</v>
      </c>
    </row>
    <row r="20" spans="2:21" ht="15">
      <c r="B20" s="229" t="s">
        <v>1242</v>
      </c>
      <c r="C20" s="96">
        <v>-650</v>
      </c>
      <c r="D20" s="63">
        <v>0</v>
      </c>
      <c r="F20" s="111"/>
      <c r="G20" s="111"/>
      <c r="H20" s="348"/>
      <c r="O20" t="s">
        <v>1172</v>
      </c>
      <c r="P20" s="301">
        <v>4.8600000000000001E-6</v>
      </c>
      <c r="S20" s="607" t="s">
        <v>1696</v>
      </c>
      <c r="T20" s="607"/>
      <c r="U20" s="607"/>
    </row>
    <row r="21" spans="2:21">
      <c r="B21" s="229" t="s">
        <v>1266</v>
      </c>
      <c r="C21" s="96">
        <v>-1535.07</v>
      </c>
      <c r="D21" s="63">
        <v>0</v>
      </c>
      <c r="F21" s="111"/>
      <c r="G21" s="111"/>
      <c r="H21" s="348"/>
      <c r="O21" t="s">
        <v>1173</v>
      </c>
      <c r="P21" s="300">
        <f>P19*P20</f>
        <v>2.53206E-3</v>
      </c>
      <c r="S21" s="295" t="s">
        <v>1575</v>
      </c>
      <c r="T21" s="297">
        <v>18767.79</v>
      </c>
      <c r="U21" s="403">
        <v>8.5000000000000006E-2</v>
      </c>
    </row>
    <row r="22" spans="2:21" ht="15.75" thickBot="1">
      <c r="B22" s="485" t="s">
        <v>1329</v>
      </c>
      <c r="C22" s="483">
        <v>-27.5</v>
      </c>
      <c r="D22" s="63">
        <v>0</v>
      </c>
      <c r="F22" s="111"/>
      <c r="G22" s="111"/>
      <c r="H22" s="348"/>
      <c r="O22" s="328" t="s">
        <v>1174</v>
      </c>
      <c r="P22" s="329">
        <f>P18*P21</f>
        <v>6.2719126200000002</v>
      </c>
      <c r="S22" s="295" t="s">
        <v>1576</v>
      </c>
      <c r="T22" s="297">
        <v>19143.14</v>
      </c>
      <c r="U22" s="403">
        <v>2.1700000000000001E-2</v>
      </c>
    </row>
    <row r="23" spans="2:21" ht="13.5" thickTop="1">
      <c r="B23" s="475" t="s">
        <v>1445</v>
      </c>
      <c r="C23" s="476">
        <v>-690.45</v>
      </c>
      <c r="D23" s="63">
        <v>0</v>
      </c>
      <c r="F23" s="111"/>
      <c r="G23" s="111"/>
      <c r="H23" s="348"/>
      <c r="S23" s="295" t="s">
        <v>1691</v>
      </c>
      <c r="T23" s="297">
        <v>20995.78</v>
      </c>
      <c r="U23" s="295"/>
    </row>
    <row r="24" spans="2:21">
      <c r="B24" s="485" t="s">
        <v>1874</v>
      </c>
      <c r="C24" s="483">
        <v>-40</v>
      </c>
      <c r="D24" s="63">
        <v>0</v>
      </c>
      <c r="F24" s="111"/>
      <c r="G24" s="111"/>
      <c r="H24" s="348"/>
      <c r="T24" s="193"/>
    </row>
    <row r="25" spans="2:21" ht="15">
      <c r="B25" s="229" t="s">
        <v>106</v>
      </c>
      <c r="C25" s="243">
        <v>-4612.7299999999996</v>
      </c>
      <c r="D25" s="63">
        <v>0</v>
      </c>
      <c r="F25" s="111"/>
      <c r="G25" s="111"/>
      <c r="H25" s="348"/>
      <c r="S25" s="599" t="s">
        <v>1574</v>
      </c>
      <c r="T25" s="599"/>
      <c r="U25" s="599"/>
    </row>
    <row r="26" spans="2:21">
      <c r="B26" s="229" t="s">
        <v>125</v>
      </c>
      <c r="C26" s="96">
        <v>-3500</v>
      </c>
      <c r="D26" s="63">
        <v>0</v>
      </c>
      <c r="F26" s="111"/>
      <c r="G26" s="111"/>
      <c r="H26" s="348"/>
      <c r="S26" s="295" t="s">
        <v>102</v>
      </c>
      <c r="T26" s="318" t="e">
        <f>#REF!</f>
        <v>#REF!</v>
      </c>
      <c r="U26" t="s">
        <v>1708</v>
      </c>
    </row>
    <row r="27" spans="2:21">
      <c r="B27" s="229" t="s">
        <v>73</v>
      </c>
      <c r="C27" s="96">
        <v>-481.56</v>
      </c>
      <c r="D27" s="63">
        <v>0</v>
      </c>
      <c r="F27" s="111"/>
      <c r="G27" s="111"/>
      <c r="H27" s="348"/>
      <c r="S27" s="295" t="s">
        <v>1777</v>
      </c>
      <c r="T27" s="318">
        <v>0</v>
      </c>
    </row>
    <row r="28" spans="2:21">
      <c r="B28" s="229" t="s">
        <v>1842</v>
      </c>
      <c r="C28" s="417">
        <v>-67.290000000000006</v>
      </c>
      <c r="D28" s="190">
        <f t="shared" ref="D28" si="0">C28</f>
        <v>-67.290000000000006</v>
      </c>
      <c r="F28" s="111"/>
      <c r="G28" s="111"/>
      <c r="H28" s="348"/>
      <c r="S28" s="295" t="s">
        <v>1779</v>
      </c>
      <c r="T28" s="318">
        <v>0</v>
      </c>
    </row>
    <row r="29" spans="2:21">
      <c r="B29" s="229" t="s">
        <v>1247</v>
      </c>
      <c r="C29" s="479">
        <v>4866.67</v>
      </c>
      <c r="D29" s="63">
        <v>0</v>
      </c>
      <c r="F29" s="111"/>
      <c r="G29" s="111"/>
      <c r="H29" s="348"/>
      <c r="S29" s="295" t="s">
        <v>1778</v>
      </c>
      <c r="T29" s="318">
        <f>T14</f>
        <v>1642.55</v>
      </c>
    </row>
    <row r="30" spans="2:21">
      <c r="B30" s="229" t="s">
        <v>602</v>
      </c>
      <c r="C30" s="483">
        <v>6456.82</v>
      </c>
      <c r="D30" s="63">
        <v>0</v>
      </c>
      <c r="F30" s="111"/>
      <c r="G30" s="111"/>
      <c r="H30" s="348"/>
      <c r="S30" s="295" t="s">
        <v>602</v>
      </c>
      <c r="T30" s="318">
        <v>0</v>
      </c>
    </row>
    <row r="31" spans="2:21">
      <c r="B31" s="229" t="s">
        <v>1866</v>
      </c>
      <c r="C31" s="446">
        <v>1070.9100000000001</v>
      </c>
      <c r="D31" s="63">
        <v>0</v>
      </c>
      <c r="F31" s="111"/>
      <c r="G31" s="111"/>
      <c r="H31" s="348"/>
      <c r="S31" s="295" t="s">
        <v>429</v>
      </c>
      <c r="T31" s="318">
        <v>6500</v>
      </c>
    </row>
    <row r="32" spans="2:21" ht="18.75" thickBot="1">
      <c r="B32" s="242" t="s">
        <v>1353</v>
      </c>
      <c r="C32" s="243">
        <v>-59.9</v>
      </c>
      <c r="D32" s="63">
        <v>0</v>
      </c>
      <c r="E32" s="211"/>
      <c r="F32" s="111"/>
      <c r="G32" s="111"/>
      <c r="H32" s="348"/>
      <c r="S32" s="357" t="s">
        <v>1449</v>
      </c>
      <c r="T32" s="358" t="e">
        <f>SUM(T26:T31)</f>
        <v>#REF!</v>
      </c>
    </row>
    <row r="33" spans="2:20" ht="16.5" thickTop="1">
      <c r="B33" s="229" t="s">
        <v>1249</v>
      </c>
      <c r="C33" s="96">
        <v>-697.31</v>
      </c>
      <c r="D33" s="63">
        <v>0</v>
      </c>
      <c r="F33" s="111"/>
      <c r="G33" s="111"/>
      <c r="H33" s="348"/>
      <c r="S33" s="315" t="s">
        <v>1568</v>
      </c>
      <c r="T33" s="316">
        <v>55000</v>
      </c>
    </row>
    <row r="34" spans="2:20" ht="18">
      <c r="B34" s="74" t="s">
        <v>1580</v>
      </c>
      <c r="C34" s="188"/>
      <c r="D34" s="241">
        <f>SUM(D4:D33)</f>
        <v>268.77999999999997</v>
      </c>
      <c r="F34" s="111"/>
      <c r="G34" s="111"/>
      <c r="H34" s="348"/>
      <c r="S34" s="412" t="s">
        <v>1709</v>
      </c>
      <c r="T34" s="410" t="e">
        <f>T32-T33</f>
        <v>#REF!</v>
      </c>
    </row>
    <row r="35" spans="2:20">
      <c r="F35" s="111"/>
      <c r="G35" s="111"/>
      <c r="H35" s="348"/>
    </row>
    <row r="36" spans="2:20">
      <c r="F36" s="111"/>
      <c r="G36" s="111"/>
      <c r="H36" s="348"/>
    </row>
    <row r="37" spans="2:20">
      <c r="F37" s="111"/>
      <c r="G37" s="111"/>
      <c r="H37" s="348"/>
    </row>
    <row r="38" spans="2:20">
      <c r="F38" s="111"/>
      <c r="G38" s="111"/>
      <c r="H38" s="348"/>
    </row>
    <row r="39" spans="2:20">
      <c r="F39" s="111"/>
      <c r="G39" s="111"/>
      <c r="H39" s="348"/>
    </row>
    <row r="40" spans="2:20">
      <c r="F40" s="111"/>
      <c r="G40" s="111"/>
      <c r="H40" s="348"/>
    </row>
    <row r="41" spans="2:20">
      <c r="F41" s="111" t="s">
        <v>1189</v>
      </c>
      <c r="G41" s="111">
        <v>0</v>
      </c>
      <c r="H41" s="348"/>
    </row>
    <row r="42" spans="2:20">
      <c r="F42" s="111" t="s">
        <v>1865</v>
      </c>
      <c r="G42" s="111">
        <v>0</v>
      </c>
      <c r="H42" s="348"/>
    </row>
    <row r="43" spans="2:20">
      <c r="F43" s="111" t="s">
        <v>1560</v>
      </c>
      <c r="G43" s="111">
        <f>Acoes!I66+Acoes!C80</f>
        <v>15370</v>
      </c>
      <c r="H43" s="348"/>
    </row>
    <row r="44" spans="2:20" ht="15.75" thickBot="1">
      <c r="F44" s="401" t="s">
        <v>1762</v>
      </c>
      <c r="G44" s="484">
        <f ca="1">OFFSET(G3,COUNTA(G4:G40),0)+G41+G42+G43</f>
        <v>15370</v>
      </c>
      <c r="H44" s="401"/>
    </row>
    <row r="45" spans="2:20" ht="13.5" thickTop="1">
      <c r="F45" s="1"/>
      <c r="G45" s="193"/>
    </row>
    <row r="46" spans="2:20">
      <c r="F46" s="199"/>
      <c r="G46" s="193"/>
    </row>
    <row r="48" spans="2:20">
      <c r="F48" s="199"/>
      <c r="G48" s="199"/>
    </row>
    <row r="50" spans="6:7">
      <c r="F50" s="199"/>
      <c r="G50" s="199"/>
    </row>
  </sheetData>
  <mergeCells count="14">
    <mergeCell ref="W3:X3"/>
    <mergeCell ref="F2:H2"/>
    <mergeCell ref="O2:P2"/>
    <mergeCell ref="S2:U2"/>
    <mergeCell ref="W2:Z2"/>
    <mergeCell ref="J2:M2"/>
    <mergeCell ref="S20:U20"/>
    <mergeCell ref="S25:U25"/>
    <mergeCell ref="W4:X4"/>
    <mergeCell ref="O9:P9"/>
    <mergeCell ref="S8:T8"/>
    <mergeCell ref="W9:X9"/>
    <mergeCell ref="O17:P17"/>
    <mergeCell ref="S16:T16"/>
  </mergeCells>
  <conditionalFormatting sqref="T34 D4:D8">
    <cfRule type="cellIs" dxfId="44" priority="7" stopIfTrue="1" operator="lessThan">
      <formula>0</formula>
    </cfRule>
  </conditionalFormatting>
  <conditionalFormatting sqref="D28">
    <cfRule type="cellIs" dxfId="43" priority="5" stopIfTrue="1" operator="greaterThan">
      <formula>0</formula>
    </cfRule>
  </conditionalFormatting>
  <pageMargins left="0.511811024" right="0.511811024" top="0.78740157499999996" bottom="0.78740157499999996" header="0.31496062000000002" footer="0.31496062000000002"/>
  <tableParts count="1">
    <tablePart r:id="rId1"/>
  </tableParts>
</worksheet>
</file>

<file path=xl/worksheets/sheet136.xml><?xml version="1.0" encoding="utf-8"?>
<worksheet xmlns="http://schemas.openxmlformats.org/spreadsheetml/2006/main" xmlns:r="http://schemas.openxmlformats.org/officeDocument/2006/relationships">
  <dimension ref="B1:Q52"/>
  <sheetViews>
    <sheetView topLeftCell="A25" zoomScale="75" zoomScaleNormal="75" workbookViewId="0">
      <selection activeCell="C37" sqref="C37"/>
    </sheetView>
  </sheetViews>
  <sheetFormatPr defaultRowHeight="15"/>
  <cols>
    <col min="1" max="1" width="1" style="266" customWidth="1"/>
    <col min="2" max="2" width="45.140625" style="266" bestFit="1" customWidth="1"/>
    <col min="3" max="3" width="14" style="266" bestFit="1" customWidth="1"/>
    <col min="4" max="4" width="17.7109375" style="266" bestFit="1" customWidth="1"/>
    <col min="5" max="5" width="16.42578125" style="266" bestFit="1" customWidth="1"/>
    <col min="6" max="13" width="2.140625" style="266" customWidth="1"/>
    <col min="14" max="14" width="13.28515625" style="266" bestFit="1" customWidth="1"/>
    <col min="15" max="15" width="13.8554687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C42</f>
        <v>647.75999999999976</v>
      </c>
      <c r="P3" s="418" t="s">
        <v>1513</v>
      </c>
      <c r="Q3" s="418" t="s">
        <v>1513</v>
      </c>
    </row>
    <row r="4" spans="2:17">
      <c r="B4" s="451" t="s">
        <v>1852</v>
      </c>
      <c r="C4" s="424">
        <v>134.25</v>
      </c>
      <c r="D4" s="429"/>
      <c r="E4" s="426"/>
      <c r="N4" s="477" t="s">
        <v>1843</v>
      </c>
      <c r="O4" s="447">
        <f>361.12/3</f>
        <v>120.37333333333333</v>
      </c>
      <c r="P4" s="448" t="s">
        <v>1452</v>
      </c>
      <c r="Q4" s="431" t="s">
        <v>1455</v>
      </c>
    </row>
    <row r="5" spans="2:17">
      <c r="B5" s="451" t="s">
        <v>1853</v>
      </c>
      <c r="C5" s="424">
        <v>35.94</v>
      </c>
      <c r="D5" s="429"/>
      <c r="E5" s="426"/>
      <c r="N5" s="480" t="s">
        <v>1599</v>
      </c>
      <c r="O5" s="424">
        <v>22.9</v>
      </c>
      <c r="P5" s="425" t="s">
        <v>1456</v>
      </c>
      <c r="Q5" s="426" t="s">
        <v>1455</v>
      </c>
    </row>
    <row r="6" spans="2:17">
      <c r="B6" s="451" t="s">
        <v>1867</v>
      </c>
      <c r="C6" s="424">
        <v>79.45</v>
      </c>
      <c r="D6" s="429"/>
      <c r="E6" s="426"/>
      <c r="N6" s="449" t="s">
        <v>1632</v>
      </c>
      <c r="O6" s="447">
        <v>14.9</v>
      </c>
      <c r="P6" s="448" t="s">
        <v>1456</v>
      </c>
      <c r="Q6" s="426" t="s">
        <v>1454</v>
      </c>
    </row>
    <row r="7" spans="2:17">
      <c r="B7" s="451" t="s">
        <v>1854</v>
      </c>
      <c r="C7" s="424">
        <v>42.31</v>
      </c>
      <c r="D7" s="429"/>
      <c r="E7" s="426"/>
      <c r="N7" s="480" t="s">
        <v>1846</v>
      </c>
      <c r="O7" s="424">
        <v>185.46</v>
      </c>
      <c r="P7" s="425"/>
      <c r="Q7" s="426"/>
    </row>
    <row r="8" spans="2:17">
      <c r="B8" s="451" t="s">
        <v>1482</v>
      </c>
      <c r="C8" s="424">
        <v>7.89</v>
      </c>
      <c r="D8" s="429"/>
      <c r="E8" s="426"/>
      <c r="N8" s="480" t="s">
        <v>1847</v>
      </c>
      <c r="O8" s="424">
        <f>179.9/2</f>
        <v>89.95</v>
      </c>
      <c r="P8" s="425"/>
      <c r="Q8" s="426"/>
    </row>
    <row r="9" spans="2:17">
      <c r="B9" s="451" t="s">
        <v>1552</v>
      </c>
      <c r="C9" s="424">
        <v>11.57</v>
      </c>
      <c r="D9" s="429"/>
      <c r="E9" s="426"/>
      <c r="N9" s="480" t="s">
        <v>1610</v>
      </c>
      <c r="O9" s="424">
        <v>88</v>
      </c>
      <c r="P9" s="425"/>
      <c r="Q9" s="426"/>
    </row>
    <row r="10" spans="2:17">
      <c r="B10" s="451" t="s">
        <v>1855</v>
      </c>
      <c r="C10" s="424">
        <v>34.9</v>
      </c>
      <c r="D10" s="429"/>
      <c r="E10" s="426"/>
      <c r="N10" s="480" t="s">
        <v>1848</v>
      </c>
      <c r="O10" s="424">
        <f>119.9/2</f>
        <v>59.95</v>
      </c>
      <c r="P10" s="425"/>
      <c r="Q10" s="426"/>
    </row>
    <row r="11" spans="2:17">
      <c r="B11" s="451" t="s">
        <v>1552</v>
      </c>
      <c r="C11" s="424">
        <v>85.05</v>
      </c>
      <c r="D11" s="429"/>
      <c r="E11" s="426"/>
      <c r="N11" s="480" t="s">
        <v>1849</v>
      </c>
      <c r="O11" s="424">
        <v>54</v>
      </c>
      <c r="P11" s="425"/>
      <c r="Q11" s="426"/>
    </row>
    <row r="12" spans="2:17">
      <c r="B12" s="451" t="s">
        <v>1868</v>
      </c>
      <c r="C12" s="424">
        <v>119.9</v>
      </c>
      <c r="D12" s="425"/>
      <c r="E12" s="426"/>
      <c r="N12" s="480" t="s">
        <v>1850</v>
      </c>
      <c r="O12" s="424">
        <v>58.97</v>
      </c>
      <c r="P12" s="425"/>
      <c r="Q12" s="426"/>
    </row>
    <row r="13" spans="2:17">
      <c r="B13" s="451" t="s">
        <v>1856</v>
      </c>
      <c r="C13" s="424">
        <v>185.68</v>
      </c>
      <c r="D13" s="425"/>
      <c r="E13" s="426"/>
      <c r="N13" s="480" t="s">
        <v>1851</v>
      </c>
      <c r="O13" s="424">
        <v>16.41</v>
      </c>
      <c r="P13" s="425"/>
      <c r="Q13" s="426"/>
    </row>
    <row r="14" spans="2:17">
      <c r="B14" s="482" t="s">
        <v>1860</v>
      </c>
      <c r="C14" s="424">
        <v>9</v>
      </c>
      <c r="D14" s="425"/>
      <c r="E14" s="426"/>
      <c r="N14" s="437" t="s">
        <v>1857</v>
      </c>
      <c r="O14" s="424">
        <v>30.7</v>
      </c>
      <c r="P14" s="425"/>
      <c r="Q14" s="426"/>
    </row>
    <row r="15" spans="2:17">
      <c r="B15" s="482" t="s">
        <v>1861</v>
      </c>
      <c r="C15" s="424">
        <v>50</v>
      </c>
      <c r="D15" s="425"/>
      <c r="E15" s="426"/>
      <c r="N15" s="481" t="s">
        <v>1858</v>
      </c>
      <c r="O15" s="424">
        <v>14.9</v>
      </c>
      <c r="P15" s="425"/>
      <c r="Q15" s="426"/>
    </row>
    <row r="16" spans="2:17">
      <c r="B16" s="482" t="s">
        <v>1876</v>
      </c>
      <c r="C16" s="424">
        <v>155.1</v>
      </c>
      <c r="D16" s="429"/>
      <c r="E16" s="426"/>
      <c r="N16" s="481" t="s">
        <v>1859</v>
      </c>
      <c r="O16" s="424">
        <v>571.71</v>
      </c>
      <c r="P16" s="425"/>
      <c r="Q16" s="426"/>
    </row>
    <row r="17" spans="2:17">
      <c r="B17" s="482" t="s">
        <v>1880</v>
      </c>
      <c r="C17" s="424">
        <v>38.049999999999997</v>
      </c>
      <c r="D17" s="429"/>
      <c r="E17" s="426"/>
      <c r="N17" s="481" t="s">
        <v>551</v>
      </c>
      <c r="O17" s="424">
        <f>2028.52/4</f>
        <v>507.13</v>
      </c>
      <c r="P17" s="425"/>
      <c r="Q17" s="426"/>
    </row>
    <row r="18" spans="2:17">
      <c r="B18" s="482" t="s">
        <v>1700</v>
      </c>
      <c r="C18" s="424">
        <v>52.67</v>
      </c>
      <c r="D18" s="429"/>
      <c r="E18" s="426"/>
      <c r="N18" s="482" t="s">
        <v>1478</v>
      </c>
      <c r="O18" s="424">
        <v>62.16</v>
      </c>
      <c r="P18" s="425"/>
      <c r="Q18" s="426"/>
    </row>
    <row r="19" spans="2:17">
      <c r="B19" s="482" t="s">
        <v>1482</v>
      </c>
      <c r="C19" s="424">
        <v>95</v>
      </c>
      <c r="D19" s="429"/>
      <c r="E19" s="426"/>
      <c r="N19" s="439" t="s">
        <v>1869</v>
      </c>
      <c r="O19" s="424">
        <v>47.3</v>
      </c>
      <c r="P19" s="425"/>
      <c r="Q19" s="426"/>
    </row>
    <row r="20" spans="2:17">
      <c r="B20" s="482" t="s">
        <v>1481</v>
      </c>
      <c r="C20" s="424">
        <v>293.2</v>
      </c>
      <c r="D20" s="429"/>
      <c r="E20" s="426"/>
      <c r="N20" s="439" t="s">
        <v>1870</v>
      </c>
      <c r="O20" s="424">
        <v>30.4</v>
      </c>
      <c r="P20" s="425"/>
      <c r="Q20" s="426"/>
    </row>
    <row r="21" spans="2:17">
      <c r="B21" s="482" t="s">
        <v>1881</v>
      </c>
      <c r="C21" s="424">
        <v>8.3000000000000007</v>
      </c>
      <c r="D21" s="429"/>
      <c r="E21" s="426"/>
      <c r="N21" s="439" t="s">
        <v>1871</v>
      </c>
      <c r="O21" s="424">
        <v>69</v>
      </c>
      <c r="P21" s="425"/>
      <c r="Q21" s="426"/>
    </row>
    <row r="22" spans="2:17">
      <c r="B22" s="482" t="s">
        <v>1498</v>
      </c>
      <c r="C22" s="424">
        <v>31.95</v>
      </c>
      <c r="D22" s="429"/>
      <c r="E22" s="426"/>
      <c r="N22" s="439" t="s">
        <v>1598</v>
      </c>
      <c r="O22" s="424">
        <v>23.66</v>
      </c>
      <c r="P22" s="425"/>
      <c r="Q22" s="426"/>
    </row>
    <row r="23" spans="2:17">
      <c r="B23" s="490" t="s">
        <v>1882</v>
      </c>
      <c r="C23" s="424">
        <v>29.5</v>
      </c>
      <c r="D23" s="429"/>
      <c r="E23" s="426"/>
      <c r="N23" s="439" t="s">
        <v>1872</v>
      </c>
      <c r="O23" s="424">
        <v>62.71</v>
      </c>
      <c r="P23" s="425"/>
      <c r="Q23" s="426"/>
    </row>
    <row r="24" spans="2:17">
      <c r="B24" s="482" t="s">
        <v>1883</v>
      </c>
      <c r="C24" s="424">
        <v>17.77</v>
      </c>
      <c r="D24" s="429"/>
      <c r="E24" s="426"/>
      <c r="N24" s="439" t="s">
        <v>1873</v>
      </c>
      <c r="O24" s="424">
        <v>40.24</v>
      </c>
      <c r="P24" s="425"/>
      <c r="Q24" s="426"/>
    </row>
    <row r="25" spans="2:17">
      <c r="B25" s="482" t="s">
        <v>1884</v>
      </c>
      <c r="C25" s="424">
        <v>162.80000000000001</v>
      </c>
      <c r="D25" s="429"/>
      <c r="E25" s="426"/>
      <c r="N25" s="489" t="s">
        <v>1478</v>
      </c>
      <c r="O25" s="488">
        <v>33.01</v>
      </c>
      <c r="P25" s="425"/>
      <c r="Q25" s="426"/>
    </row>
    <row r="26" spans="2:17">
      <c r="B26" s="482" t="s">
        <v>1885</v>
      </c>
      <c r="C26" s="424">
        <v>8.8000000000000007</v>
      </c>
      <c r="D26" s="429"/>
      <c r="E26" s="426"/>
      <c r="N26" s="489" t="s">
        <v>1478</v>
      </c>
      <c r="O26" s="488">
        <v>4</v>
      </c>
      <c r="P26" s="425"/>
      <c r="Q26" s="426"/>
    </row>
    <row r="27" spans="2:17">
      <c r="B27" s="482" t="s">
        <v>1886</v>
      </c>
      <c r="C27" s="424">
        <v>32.08</v>
      </c>
      <c r="D27" s="429"/>
      <c r="E27" s="426"/>
      <c r="N27" s="489" t="s">
        <v>1478</v>
      </c>
      <c r="O27" s="488">
        <v>21.86</v>
      </c>
      <c r="P27" s="425"/>
      <c r="Q27" s="426"/>
    </row>
    <row r="28" spans="2:17">
      <c r="B28" s="482" t="s">
        <v>1887</v>
      </c>
      <c r="C28" s="424">
        <v>28.61</v>
      </c>
      <c r="D28" s="429"/>
      <c r="E28" s="426"/>
      <c r="N28" s="439" t="s">
        <v>1610</v>
      </c>
      <c r="O28" s="424">
        <v>89</v>
      </c>
      <c r="P28" s="425"/>
      <c r="Q28" s="426"/>
    </row>
    <row r="29" spans="2:17">
      <c r="B29" s="482" t="s">
        <v>1526</v>
      </c>
      <c r="C29" s="424">
        <v>42.79</v>
      </c>
      <c r="D29" s="429"/>
      <c r="E29" s="426"/>
      <c r="N29" s="439" t="s">
        <v>1873</v>
      </c>
      <c r="O29" s="424">
        <v>14.94</v>
      </c>
      <c r="P29" s="425"/>
      <c r="Q29" s="426"/>
    </row>
    <row r="30" spans="2:17">
      <c r="B30" s="482" t="s">
        <v>1888</v>
      </c>
      <c r="C30" s="424">
        <v>141.9</v>
      </c>
      <c r="D30" s="429"/>
      <c r="E30" s="426"/>
      <c r="N30" s="486" t="s">
        <v>1877</v>
      </c>
      <c r="O30" s="424">
        <v>92.62</v>
      </c>
      <c r="P30" s="425"/>
      <c r="Q30" s="426"/>
    </row>
    <row r="31" spans="2:17">
      <c r="B31" s="482" t="s">
        <v>1482</v>
      </c>
      <c r="C31" s="424">
        <v>17.41</v>
      </c>
      <c r="D31" s="429"/>
      <c r="E31" s="426"/>
      <c r="N31" s="486" t="s">
        <v>1478</v>
      </c>
      <c r="O31" s="424">
        <v>25.32</v>
      </c>
      <c r="P31" s="425"/>
      <c r="Q31" s="426"/>
    </row>
    <row r="32" spans="2:17">
      <c r="B32" s="482" t="s">
        <v>1812</v>
      </c>
      <c r="C32" s="424">
        <v>58</v>
      </c>
      <c r="D32" s="429"/>
      <c r="E32" s="426"/>
      <c r="N32" s="487" t="s">
        <v>1478</v>
      </c>
      <c r="O32" s="488">
        <v>23.63</v>
      </c>
      <c r="P32" s="425"/>
      <c r="Q32" s="426"/>
    </row>
    <row r="33" spans="2:17">
      <c r="B33" s="482" t="s">
        <v>1889</v>
      </c>
      <c r="C33" s="424">
        <v>65</v>
      </c>
      <c r="D33" s="429"/>
      <c r="E33" s="426"/>
      <c r="N33" s="439" t="s">
        <v>1478</v>
      </c>
      <c r="O33" s="424">
        <v>6</v>
      </c>
      <c r="P33" s="425"/>
      <c r="Q33" s="426"/>
    </row>
    <row r="34" spans="2:17">
      <c r="B34" s="482" t="s">
        <v>1702</v>
      </c>
      <c r="C34" s="424">
        <v>15.9</v>
      </c>
      <c r="D34" s="429"/>
      <c r="E34" s="426"/>
      <c r="N34" s="439"/>
      <c r="O34" s="424"/>
      <c r="P34" s="425"/>
      <c r="Q34" s="426"/>
    </row>
    <row r="35" spans="2:17">
      <c r="B35" s="482" t="s">
        <v>1890</v>
      </c>
      <c r="C35" s="424">
        <v>35.57</v>
      </c>
      <c r="D35" s="429"/>
      <c r="E35" s="426"/>
      <c r="N35" s="439"/>
      <c r="O35" s="424"/>
      <c r="P35" s="425"/>
      <c r="Q35" s="426"/>
    </row>
    <row r="36" spans="2:17" ht="16.5" thickBot="1">
      <c r="B36" s="492" t="s">
        <v>1891</v>
      </c>
      <c r="C36" s="424">
        <v>25.9</v>
      </c>
      <c r="D36" s="429"/>
      <c r="E36" s="426"/>
      <c r="N36" s="286" t="s">
        <v>1534</v>
      </c>
      <c r="O36" s="287">
        <f>O3-SUM(O4:O35)</f>
        <v>-1833.4433333333341</v>
      </c>
      <c r="P36" s="286"/>
      <c r="Q36" s="286"/>
    </row>
    <row r="37" spans="2:17" ht="15.75" thickTop="1">
      <c r="B37" s="451"/>
      <c r="C37" s="424"/>
      <c r="D37" s="429"/>
      <c r="E37" s="426"/>
    </row>
    <row r="38" spans="2:17">
      <c r="B38" s="451"/>
      <c r="C38" s="424"/>
      <c r="D38" s="429"/>
      <c r="E38" s="426"/>
    </row>
    <row r="39" spans="2:17">
      <c r="B39" s="451"/>
      <c r="C39" s="424"/>
      <c r="D39" s="429"/>
      <c r="E39" s="426"/>
      <c r="N39" s="603" t="s">
        <v>704</v>
      </c>
      <c r="O39" s="603"/>
      <c r="P39" s="349">
        <f>SUM(C4:C40)</f>
        <v>2152.2400000000002</v>
      </c>
    </row>
    <row r="40" spans="2:17" ht="15.75" thickBot="1">
      <c r="B40" s="293"/>
      <c r="C40" s="424"/>
      <c r="D40" s="429"/>
      <c r="E40" s="426"/>
      <c r="N40" s="604" t="s">
        <v>1445</v>
      </c>
      <c r="O40" s="604"/>
      <c r="P40" s="349">
        <f>SUM(O4:O35)</f>
        <v>2481.2033333333338</v>
      </c>
    </row>
    <row r="41" spans="2:17" ht="15.75" thickBot="1">
      <c r="B41" s="420"/>
      <c r="C41" s="421"/>
      <c r="D41" s="422"/>
      <c r="E41" s="423"/>
      <c r="N41" s="590" t="s">
        <v>1629</v>
      </c>
      <c r="O41" s="590"/>
      <c r="P41" s="323">
        <f>SUM(P39:P40)</f>
        <v>4633.4433333333345</v>
      </c>
    </row>
    <row r="42" spans="2:17" ht="16.5" thickBot="1">
      <c r="B42" s="286" t="s">
        <v>1459</v>
      </c>
      <c r="C42" s="287">
        <f>C3-SUM(C4:C41)</f>
        <v>647.75999999999976</v>
      </c>
      <c r="D42" s="286"/>
      <c r="E42" s="286"/>
    </row>
    <row r="43" spans="2:17" ht="15.75" thickTop="1">
      <c r="B43" s="266" t="s">
        <v>1584</v>
      </c>
      <c r="C43" s="270">
        <f>AVERAGE(C4:C40)</f>
        <v>65.219393939393953</v>
      </c>
    </row>
    <row r="44" spans="2:17">
      <c r="C44" s="270"/>
    </row>
    <row r="45" spans="2:17">
      <c r="D45" s="266" t="s">
        <v>1458</v>
      </c>
      <c r="E45" s="269" t="s">
        <v>1457</v>
      </c>
    </row>
    <row r="46" spans="2:17">
      <c r="D46" s="266" t="s">
        <v>1456</v>
      </c>
      <c r="E46" s="268" t="s">
        <v>1455</v>
      </c>
    </row>
    <row r="47" spans="2:17">
      <c r="D47" s="266" t="s">
        <v>38</v>
      </c>
      <c r="E47" s="267" t="s">
        <v>1454</v>
      </c>
    </row>
    <row r="48" spans="2:17">
      <c r="D48" s="266" t="s">
        <v>1453</v>
      </c>
    </row>
    <row r="49" spans="4:4">
      <c r="D49" s="266" t="s">
        <v>1452</v>
      </c>
    </row>
    <row r="50" spans="4:4">
      <c r="D50" s="266" t="s">
        <v>17</v>
      </c>
    </row>
    <row r="51" spans="4:4">
      <c r="D51" s="266" t="s">
        <v>1451</v>
      </c>
    </row>
    <row r="52" spans="4:4">
      <c r="D52" s="266" t="s">
        <v>1450</v>
      </c>
    </row>
  </sheetData>
  <mergeCells count="5">
    <mergeCell ref="B1:E1"/>
    <mergeCell ref="N1:Q1"/>
    <mergeCell ref="N39:O39"/>
    <mergeCell ref="N40:O40"/>
    <mergeCell ref="N41:O41"/>
  </mergeCells>
  <conditionalFormatting sqref="Q4:Q35 E4:E41">
    <cfRule type="containsText" dxfId="38" priority="14" stopIfTrue="1" operator="containsText" text="Necessário">
      <formula>NOT(ISERROR(SEARCH("Necessário",E4)))</formula>
    </cfRule>
  </conditionalFormatting>
  <conditionalFormatting sqref="Q4:Q35 E4:E41">
    <cfRule type="containsText" dxfId="37" priority="13" stopIfTrue="1" operator="containsText" text="Frívolo">
      <formula>NOT(ISERROR(SEARCH("Frívolo",E4)))</formula>
    </cfRule>
  </conditionalFormatting>
  <conditionalFormatting sqref="C44">
    <cfRule type="dataBar" priority="12">
      <dataBar>
        <cfvo type="min" val="0"/>
        <cfvo type="max" val="0"/>
        <color rgb="FF638EC6"/>
      </dataBar>
    </cfRule>
  </conditionalFormatting>
  <conditionalFormatting sqref="C43">
    <cfRule type="dataBar" priority="11">
      <dataBar>
        <cfvo type="min" val="0"/>
        <cfvo type="max" val="0"/>
        <color rgb="FF638EC6"/>
      </dataBar>
    </cfRule>
  </conditionalFormatting>
  <dataValidations count="2">
    <dataValidation type="list" allowBlank="1" showInputMessage="1" showErrorMessage="1" sqref="P4:P35 D4:D41">
      <formula1>$D$45:$D$52</formula1>
    </dataValidation>
    <dataValidation type="list" allowBlank="1" showInputMessage="1" showErrorMessage="1" sqref="K5:L6 E4:E41 F5:F6 Q4:Q35">
      <formula1>$E$45:$E$47</formula1>
    </dataValidation>
  </dataValidations>
  <pageMargins left="0.511811024" right="0.511811024" top="0.78740157499999996" bottom="0.78740157499999996" header="0.31496062000000002" footer="0.31496062000000002"/>
  <pageSetup paperSize="9" orientation="portrait" r:id="rId1"/>
</worksheet>
</file>

<file path=xl/worksheets/sheet137.xml><?xml version="1.0" encoding="utf-8"?>
<worksheet xmlns="http://schemas.openxmlformats.org/spreadsheetml/2006/main" xmlns:r="http://schemas.openxmlformats.org/officeDocument/2006/relationships">
  <dimension ref="B2:AE50"/>
  <sheetViews>
    <sheetView zoomScale="75" zoomScaleNormal="75" workbookViewId="0">
      <selection activeCell="T5" sqref="T5"/>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13.28515625" bestFit="1" customWidth="1"/>
    <col min="13" max="13" width="13.5703125" bestFit="1" customWidth="1"/>
    <col min="14" max="14" width="1.140625" customWidth="1"/>
    <col min="15" max="15" width="13.140625" customWidth="1"/>
    <col min="16" max="16" width="16" customWidth="1"/>
    <col min="17" max="17" width="0.85546875" customWidth="1"/>
    <col min="18" max="18" width="0.7109375" customWidth="1"/>
    <col min="19" max="19" width="14.28515625" bestFit="1" customWidth="1"/>
    <col min="20" max="20" width="20" bestFit="1" customWidth="1"/>
    <col min="21" max="21" width="15.42578125" bestFit="1" customWidth="1"/>
    <col min="22" max="22" width="1.5703125" customWidth="1"/>
    <col min="23" max="23" width="14.42578125" bestFit="1" customWidth="1"/>
    <col min="24" max="24" width="14.5703125" bestFit="1" customWidth="1"/>
    <col min="25" max="25" width="12.85546875" bestFit="1" customWidth="1"/>
    <col min="26" max="26" width="12.5703125" bestFit="1" customWidth="1"/>
    <col min="27" max="27" width="13.28515625" bestFit="1" customWidth="1"/>
    <col min="28" max="28" width="14" bestFit="1" customWidth="1"/>
    <col min="29" max="29" width="14.42578125" bestFit="1" customWidth="1"/>
    <col min="30" max="31" width="12.85546875" bestFit="1" customWidth="1"/>
  </cols>
  <sheetData>
    <row r="2" spans="2:31" ht="23.25">
      <c r="B2" s="236" t="s">
        <v>1401</v>
      </c>
      <c r="C2" s="237" t="s">
        <v>1402</v>
      </c>
      <c r="D2" s="238" t="s">
        <v>1554</v>
      </c>
      <c r="F2" s="593" t="s">
        <v>1557</v>
      </c>
      <c r="G2" s="593"/>
      <c r="H2" s="593"/>
      <c r="J2" s="606" t="s">
        <v>1111</v>
      </c>
      <c r="K2" s="606"/>
      <c r="L2" s="606"/>
      <c r="M2" s="606"/>
      <c r="O2" s="594" t="s">
        <v>1667</v>
      </c>
      <c r="P2" s="594"/>
      <c r="S2" s="595" t="s">
        <v>1558</v>
      </c>
      <c r="T2" s="595"/>
      <c r="U2" s="595"/>
      <c r="W2" s="602" t="s">
        <v>1073</v>
      </c>
      <c r="X2" s="602"/>
      <c r="Y2" s="602"/>
      <c r="Z2" s="602"/>
    </row>
    <row r="3" spans="2:31" ht="18">
      <c r="B3" s="227" t="s">
        <v>135</v>
      </c>
      <c r="C3" s="224"/>
      <c r="D3" s="493" t="s">
        <v>0</v>
      </c>
      <c r="F3" s="494" t="s">
        <v>1577</v>
      </c>
      <c r="G3" s="494" t="s">
        <v>1143</v>
      </c>
      <c r="H3" s="494" t="s">
        <v>1631</v>
      </c>
      <c r="J3" s="389" t="s">
        <v>1687</v>
      </c>
      <c r="K3" s="389" t="s">
        <v>219</v>
      </c>
      <c r="L3" s="389" t="s">
        <v>1692</v>
      </c>
      <c r="M3" s="389" t="s">
        <v>1693</v>
      </c>
      <c r="O3" s="495" t="s">
        <v>1577</v>
      </c>
      <c r="P3" s="495" t="s">
        <v>1143</v>
      </c>
      <c r="S3" s="322" t="s">
        <v>1249</v>
      </c>
      <c r="T3" s="322" t="s">
        <v>646</v>
      </c>
      <c r="U3" s="322" t="s">
        <v>1913</v>
      </c>
      <c r="W3" s="591" t="s">
        <v>1591</v>
      </c>
      <c r="X3" s="591"/>
      <c r="Y3" s="295">
        <v>60</v>
      </c>
      <c r="Z3" s="295"/>
    </row>
    <row r="4" spans="2:31" ht="18" customHeight="1">
      <c r="B4" s="228" t="s">
        <v>7</v>
      </c>
      <c r="C4" s="191"/>
      <c r="D4" s="95">
        <v>-1481.21</v>
      </c>
      <c r="F4" s="111"/>
      <c r="G4" s="111"/>
      <c r="H4" s="348"/>
      <c r="J4" s="383" t="s">
        <v>1684</v>
      </c>
      <c r="K4" s="387">
        <v>0</v>
      </c>
      <c r="L4" s="392"/>
      <c r="M4" s="199"/>
      <c r="O4" s="305" t="s">
        <v>107</v>
      </c>
      <c r="P4" s="306">
        <v>0</v>
      </c>
      <c r="S4" s="295" t="s">
        <v>1308</v>
      </c>
      <c r="T4" s="298">
        <v>18810.57</v>
      </c>
      <c r="U4" s="297">
        <f>T4*(1-15%)</f>
        <v>15988.984499999999</v>
      </c>
      <c r="W4" s="591" t="s">
        <v>1592</v>
      </c>
      <c r="X4" s="591"/>
      <c r="Y4" s="295">
        <f>Y3/12</f>
        <v>5</v>
      </c>
      <c r="Z4" s="295"/>
    </row>
    <row r="5" spans="2:31" ht="17.25" customHeight="1">
      <c r="B5" s="228" t="s">
        <v>927</v>
      </c>
      <c r="C5" s="91">
        <v>244.88</v>
      </c>
      <c r="D5" s="95">
        <v>0</v>
      </c>
      <c r="F5" s="111"/>
      <c r="G5" s="111"/>
      <c r="H5" s="348"/>
      <c r="J5" s="390" t="s">
        <v>1685</v>
      </c>
      <c r="K5" s="411">
        <v>1326.58</v>
      </c>
      <c r="L5" s="404"/>
      <c r="M5" s="405"/>
      <c r="O5" s="305" t="s">
        <v>927</v>
      </c>
      <c r="P5" s="306">
        <v>0</v>
      </c>
      <c r="S5" s="295" t="s">
        <v>1309</v>
      </c>
      <c r="T5" s="298">
        <v>50640.79</v>
      </c>
      <c r="U5" s="297">
        <f>T5*(1-15%)</f>
        <v>43044.671499999997</v>
      </c>
      <c r="W5" s="295"/>
      <c r="X5" s="295" t="s">
        <v>1588</v>
      </c>
      <c r="Y5" s="295" t="s">
        <v>1589</v>
      </c>
      <c r="Z5" s="295" t="s">
        <v>21</v>
      </c>
    </row>
    <row r="6" spans="2:31" ht="15.75" thickBot="1">
      <c r="B6" s="228" t="s">
        <v>1274</v>
      </c>
      <c r="C6" s="91">
        <v>37</v>
      </c>
      <c r="D6" s="95">
        <v>0</v>
      </c>
      <c r="F6" s="111"/>
      <c r="G6" s="111"/>
      <c r="H6" s="348"/>
      <c r="J6" s="383" t="s">
        <v>1686</v>
      </c>
      <c r="K6" s="387">
        <v>6955.15</v>
      </c>
      <c r="L6" s="392"/>
      <c r="M6" s="199"/>
      <c r="O6" s="305" t="s">
        <v>9</v>
      </c>
      <c r="P6" s="306">
        <f>82.5+6.5</f>
        <v>89</v>
      </c>
      <c r="S6" s="215" t="s">
        <v>45</v>
      </c>
      <c r="T6" s="329">
        <f>SUM(T4:T5)</f>
        <v>69451.360000000001</v>
      </c>
      <c r="U6" s="215">
        <f>SUM(U4:U5)</f>
        <v>59033.655999999995</v>
      </c>
      <c r="W6" s="295" t="s">
        <v>1126</v>
      </c>
      <c r="X6" s="332">
        <v>40885</v>
      </c>
      <c r="Y6" s="333">
        <f ca="1">TODAY()</f>
        <v>42744</v>
      </c>
      <c r="Z6" s="295">
        <f ca="1">((YEAR(X6)-YEAR(Y6))*12+MONTH(X6)-MONTH(Y6))*-1</f>
        <v>61</v>
      </c>
    </row>
    <row r="7" spans="2:31" ht="13.5" thickTop="1">
      <c r="B7" s="228" t="s">
        <v>107</v>
      </c>
      <c r="C7" s="91">
        <v>25.32</v>
      </c>
      <c r="D7" s="95">
        <v>0</v>
      </c>
      <c r="F7" s="111"/>
      <c r="G7" s="111"/>
      <c r="H7" s="348"/>
      <c r="J7" s="390" t="s">
        <v>1277</v>
      </c>
      <c r="K7" s="391">
        <v>4074.41</v>
      </c>
      <c r="L7" s="404"/>
      <c r="M7" s="405"/>
      <c r="O7" s="305" t="s">
        <v>999</v>
      </c>
      <c r="P7" s="306">
        <v>0</v>
      </c>
      <c r="W7" s="295" t="s">
        <v>1590</v>
      </c>
      <c r="X7" s="332">
        <v>41578</v>
      </c>
      <c r="Y7" s="333">
        <f ca="1">TODAY()</f>
        <v>42744</v>
      </c>
      <c r="Z7" s="295">
        <f ca="1">((YEAR(X7)-YEAR(Y7))*12+MONTH(X7)-MONTH(Y7))*-1</f>
        <v>39</v>
      </c>
    </row>
    <row r="8" spans="2:31" ht="15.75">
      <c r="B8" s="228" t="s">
        <v>1879</v>
      </c>
      <c r="C8" s="91">
        <f>P6</f>
        <v>89</v>
      </c>
      <c r="D8" s="95">
        <v>0</v>
      </c>
      <c r="F8" s="111"/>
      <c r="G8" s="111"/>
      <c r="H8" s="348"/>
      <c r="J8" s="395" t="s">
        <v>45</v>
      </c>
      <c r="K8" s="397">
        <f>SUM(K4:K7)</f>
        <v>12356.14</v>
      </c>
      <c r="L8" s="398"/>
      <c r="M8" s="397"/>
      <c r="O8" s="305" t="s">
        <v>1274</v>
      </c>
      <c r="P8" s="306">
        <v>0</v>
      </c>
      <c r="S8" s="596" t="s">
        <v>1560</v>
      </c>
      <c r="T8" s="596"/>
    </row>
    <row r="9" spans="2:31" ht="15.75" thickBot="1">
      <c r="B9" s="228" t="s">
        <v>999</v>
      </c>
      <c r="C9" s="91">
        <v>42.57</v>
      </c>
      <c r="D9" s="95">
        <v>0</v>
      </c>
      <c r="F9" s="111"/>
      <c r="G9" s="111"/>
      <c r="H9" s="348"/>
      <c r="K9" s="193"/>
      <c r="O9" s="328" t="s">
        <v>1449</v>
      </c>
      <c r="P9" s="329">
        <f>SUM(P5:P8)</f>
        <v>89</v>
      </c>
      <c r="R9" s="219"/>
      <c r="S9" s="295" t="s">
        <v>1561</v>
      </c>
      <c r="T9" s="309">
        <v>14.28</v>
      </c>
      <c r="W9" s="602" t="s">
        <v>1605</v>
      </c>
      <c r="X9" s="602"/>
      <c r="Y9" s="399">
        <v>42531</v>
      </c>
      <c r="Z9" s="399">
        <v>42534</v>
      </c>
      <c r="AA9" s="399">
        <v>42536</v>
      </c>
      <c r="AB9" s="399">
        <v>42543</v>
      </c>
      <c r="AC9" s="399">
        <v>42550</v>
      </c>
      <c r="AD9" s="399">
        <v>42556</v>
      </c>
      <c r="AE9" s="399">
        <v>42584</v>
      </c>
    </row>
    <row r="10" spans="2:31" ht="14.25" customHeight="1" thickTop="1">
      <c r="B10" s="228" t="s">
        <v>5</v>
      </c>
      <c r="C10" s="91">
        <v>14066.98</v>
      </c>
      <c r="D10" s="95">
        <v>0</v>
      </c>
      <c r="F10" s="111"/>
      <c r="G10" s="111"/>
      <c r="H10" s="348"/>
      <c r="K10" s="52"/>
      <c r="S10" s="295" t="s">
        <v>1562</v>
      </c>
      <c r="T10" s="295">
        <v>40</v>
      </c>
      <c r="W10" s="297">
        <v>20000</v>
      </c>
      <c r="X10" s="297">
        <v>1119.81</v>
      </c>
      <c r="Y10" s="297">
        <v>1168.17</v>
      </c>
      <c r="Z10" s="400">
        <v>1196.06</v>
      </c>
      <c r="AA10" s="400">
        <v>1207.25</v>
      </c>
      <c r="AB10" s="400">
        <v>1246.0999999999999</v>
      </c>
      <c r="AC10" s="400">
        <v>1284.81</v>
      </c>
      <c r="AD10" s="400">
        <v>1150.54</v>
      </c>
      <c r="AE10" s="400">
        <v>1131.22</v>
      </c>
    </row>
    <row r="11" spans="2:31" ht="15">
      <c r="B11" s="229" t="s">
        <v>122</v>
      </c>
      <c r="C11" s="96">
        <v>-290.10000000000002</v>
      </c>
      <c r="D11" s="63">
        <v>0</v>
      </c>
      <c r="F11" s="111"/>
      <c r="G11" s="111"/>
      <c r="H11" s="348"/>
      <c r="K11" s="193"/>
      <c r="O11" s="605" t="s">
        <v>1680</v>
      </c>
      <c r="P11" s="605"/>
      <c r="S11" s="295" t="s">
        <v>45</v>
      </c>
      <c r="T11" s="310">
        <f>T9*T10</f>
        <v>571.19999999999993</v>
      </c>
      <c r="W11" s="297">
        <v>25000</v>
      </c>
      <c r="X11" s="297">
        <v>1063.0999999999999</v>
      </c>
      <c r="Y11" s="297">
        <v>1122.3900000000001</v>
      </c>
      <c r="Z11" s="400">
        <v>1157.1099999999999</v>
      </c>
      <c r="AA11" s="400">
        <v>1171.04</v>
      </c>
      <c r="AB11" s="400">
        <v>1219.47</v>
      </c>
      <c r="AC11" s="400">
        <v>1267.74</v>
      </c>
      <c r="AD11" s="400">
        <v>1100.6199999999999</v>
      </c>
      <c r="AE11" s="400">
        <v>1077.24</v>
      </c>
    </row>
    <row r="12" spans="2:31" ht="15">
      <c r="B12" s="229" t="s">
        <v>1339</v>
      </c>
      <c r="C12" s="96">
        <f>-1015.96-20.32</f>
        <v>-1036.28</v>
      </c>
      <c r="D12" s="63">
        <v>0</v>
      </c>
      <c r="F12" s="111"/>
      <c r="G12" s="111"/>
      <c r="H12" s="348"/>
      <c r="O12" s="496" t="s">
        <v>1577</v>
      </c>
      <c r="P12" s="496" t="s">
        <v>1143</v>
      </c>
      <c r="S12" s="295" t="s">
        <v>1033</v>
      </c>
      <c r="T12" s="309">
        <v>3.05</v>
      </c>
      <c r="W12" s="297">
        <v>30000</v>
      </c>
      <c r="X12" s="297">
        <v>1006.38</v>
      </c>
      <c r="Y12" s="297">
        <v>1076.5999999999999</v>
      </c>
      <c r="Z12" s="400">
        <v>1118.17</v>
      </c>
      <c r="AA12" s="400">
        <v>1134.83</v>
      </c>
      <c r="AB12" s="400">
        <v>1192.82</v>
      </c>
      <c r="AC12" s="400">
        <v>1250.68</v>
      </c>
      <c r="AD12" s="400">
        <v>1050.7</v>
      </c>
      <c r="AE12" s="400">
        <v>1023.27</v>
      </c>
    </row>
    <row r="13" spans="2:31">
      <c r="B13" s="242" t="s">
        <v>1415</v>
      </c>
      <c r="C13" s="243">
        <v>-1352.17</v>
      </c>
      <c r="D13" s="63">
        <v>0</v>
      </c>
      <c r="F13" s="111"/>
      <c r="G13" s="111"/>
      <c r="H13" s="348"/>
      <c r="O13" s="305" t="s">
        <v>15</v>
      </c>
      <c r="P13" s="306">
        <v>3.8</v>
      </c>
      <c r="S13" s="311" t="s">
        <v>1563</v>
      </c>
      <c r="T13" s="312">
        <v>0</v>
      </c>
      <c r="W13" s="297">
        <v>35000</v>
      </c>
      <c r="X13" s="297">
        <v>949.68</v>
      </c>
      <c r="Y13" s="295" t="s">
        <v>596</v>
      </c>
      <c r="Z13" s="295" t="s">
        <v>596</v>
      </c>
      <c r="AA13" s="295" t="s">
        <v>596</v>
      </c>
      <c r="AB13" s="295" t="s">
        <v>596</v>
      </c>
      <c r="AC13" s="295" t="s">
        <v>596</v>
      </c>
      <c r="AD13" s="295"/>
      <c r="AE13" s="295"/>
    </row>
    <row r="14" spans="2:31" ht="15.75" thickBot="1">
      <c r="B14" s="229" t="s">
        <v>586</v>
      </c>
      <c r="C14" s="96">
        <v>-199.78</v>
      </c>
      <c r="D14" s="63">
        <v>0</v>
      </c>
      <c r="F14" s="111"/>
      <c r="G14" s="111"/>
      <c r="H14" s="348"/>
      <c r="O14" s="305" t="s">
        <v>1681</v>
      </c>
      <c r="P14" s="377">
        <v>2</v>
      </c>
      <c r="S14" s="328" t="s">
        <v>45</v>
      </c>
      <c r="T14" s="329">
        <v>1820.7</v>
      </c>
      <c r="W14" s="297">
        <v>40000</v>
      </c>
      <c r="X14" s="297">
        <v>892.69</v>
      </c>
      <c r="Y14" s="295" t="s">
        <v>596</v>
      </c>
      <c r="Z14" s="295" t="s">
        <v>596</v>
      </c>
      <c r="AA14" s="295" t="s">
        <v>596</v>
      </c>
      <c r="AB14" s="295" t="s">
        <v>596</v>
      </c>
      <c r="AC14" s="295" t="s">
        <v>596</v>
      </c>
      <c r="AD14" s="295"/>
      <c r="AE14" s="295"/>
    </row>
    <row r="15" spans="2:31" ht="13.5" thickTop="1">
      <c r="B15" s="229" t="s">
        <v>1397</v>
      </c>
      <c r="C15" s="96">
        <f>-158.06-21.54</f>
        <v>-179.6</v>
      </c>
      <c r="D15" s="63">
        <v>0</v>
      </c>
      <c r="F15" s="111"/>
      <c r="G15" s="111"/>
      <c r="H15" s="348"/>
      <c r="O15" s="305" t="s">
        <v>1682</v>
      </c>
      <c r="P15" s="377">
        <v>20</v>
      </c>
    </row>
    <row r="16" spans="2:31" ht="15">
      <c r="B16" s="498" t="s">
        <v>1906</v>
      </c>
      <c r="C16" s="499">
        <v>-120</v>
      </c>
      <c r="D16" s="63">
        <v>0</v>
      </c>
      <c r="F16" s="111"/>
      <c r="G16" s="111"/>
      <c r="H16" s="348"/>
      <c r="L16" s="193"/>
      <c r="O16" s="305" t="s">
        <v>1896</v>
      </c>
      <c r="P16" s="305">
        <f>46+50</f>
        <v>96</v>
      </c>
      <c r="S16" s="608" t="s">
        <v>1564</v>
      </c>
      <c r="T16" s="608"/>
      <c r="U16" s="468" t="s">
        <v>1841</v>
      </c>
    </row>
    <row r="17" spans="2:21" ht="15.75" thickBot="1">
      <c r="B17" s="229" t="s">
        <v>1419</v>
      </c>
      <c r="C17" s="243">
        <f>-P17</f>
        <v>-56</v>
      </c>
      <c r="D17" s="63">
        <v>0</v>
      </c>
      <c r="F17" s="111"/>
      <c r="G17" s="111"/>
      <c r="H17" s="348"/>
      <c r="L17" s="193"/>
      <c r="O17" s="328" t="s">
        <v>1449</v>
      </c>
      <c r="P17" s="329">
        <f>(P13*P14*P15)-P16</f>
        <v>56</v>
      </c>
      <c r="S17" s="295" t="s">
        <v>1578</v>
      </c>
      <c r="T17" s="320">
        <v>63460.95</v>
      </c>
      <c r="U17" s="469">
        <v>42689</v>
      </c>
    </row>
    <row r="18" spans="2:21" ht="13.5" thickTop="1">
      <c r="B18" s="229" t="s">
        <v>1098</v>
      </c>
      <c r="C18" s="96">
        <v>-134.74</v>
      </c>
      <c r="D18" s="63">
        <v>0</v>
      </c>
      <c r="E18" s="143"/>
      <c r="F18" s="111"/>
      <c r="G18" s="111"/>
      <c r="H18" s="348"/>
      <c r="L18" s="193"/>
      <c r="S18" s="295" t="s">
        <v>1579</v>
      </c>
      <c r="T18" s="321">
        <v>22029.599999999999</v>
      </c>
      <c r="U18" s="491">
        <v>40908.21</v>
      </c>
    </row>
    <row r="19" spans="2:21" ht="15">
      <c r="B19" s="229" t="s">
        <v>1895</v>
      </c>
      <c r="C19" s="96">
        <v>-113</v>
      </c>
      <c r="D19" s="63">
        <v>0</v>
      </c>
      <c r="F19" s="111"/>
      <c r="G19" s="111"/>
      <c r="H19" s="348"/>
      <c r="L19" s="193"/>
      <c r="O19" s="597" t="s">
        <v>1162</v>
      </c>
      <c r="P19" s="598"/>
    </row>
    <row r="20" spans="2:21" ht="15">
      <c r="B20" s="229" t="s">
        <v>65</v>
      </c>
      <c r="C20" s="96">
        <v>-600</v>
      </c>
      <c r="D20" s="63">
        <v>0</v>
      </c>
      <c r="F20" s="111"/>
      <c r="G20" s="111"/>
      <c r="H20" s="348"/>
      <c r="L20" s="193"/>
      <c r="O20" t="s">
        <v>1169</v>
      </c>
      <c r="P20" s="299">
        <v>2477</v>
      </c>
      <c r="S20" s="607" t="s">
        <v>1696</v>
      </c>
      <c r="T20" s="607"/>
      <c r="U20" s="607"/>
    </row>
    <row r="21" spans="2:21">
      <c r="B21" s="229" t="s">
        <v>1069</v>
      </c>
      <c r="C21" s="96">
        <v>-1057.1300000000001</v>
      </c>
      <c r="D21" s="63">
        <v>0</v>
      </c>
      <c r="F21" s="111"/>
      <c r="G21" s="111"/>
      <c r="H21" s="348"/>
      <c r="L21" s="193"/>
      <c r="O21" t="s">
        <v>1319</v>
      </c>
      <c r="P21" s="302">
        <v>521</v>
      </c>
      <c r="S21" s="295" t="s">
        <v>1575</v>
      </c>
      <c r="T21" s="297">
        <v>18767.79</v>
      </c>
      <c r="U21" s="403">
        <v>8.5000000000000006E-2</v>
      </c>
    </row>
    <row r="22" spans="2:21">
      <c r="B22" s="498" t="s">
        <v>1275</v>
      </c>
      <c r="C22" s="499">
        <v>-25.5</v>
      </c>
      <c r="D22" s="63">
        <v>0</v>
      </c>
      <c r="F22" s="111"/>
      <c r="G22" s="111"/>
      <c r="H22" s="348"/>
      <c r="O22" t="s">
        <v>1172</v>
      </c>
      <c r="P22" s="301">
        <v>9.9999999999999995E-7</v>
      </c>
      <c r="S22" s="295" t="s">
        <v>1576</v>
      </c>
      <c r="T22" s="297">
        <v>19143.14</v>
      </c>
      <c r="U22" s="403">
        <v>2.1700000000000001E-2</v>
      </c>
    </row>
    <row r="23" spans="2:21">
      <c r="B23" s="501" t="s">
        <v>1912</v>
      </c>
      <c r="C23" s="502">
        <v>-40</v>
      </c>
      <c r="D23" s="63">
        <v>0</v>
      </c>
      <c r="F23" s="111"/>
      <c r="G23" s="111"/>
      <c r="H23" s="348"/>
      <c r="O23" t="s">
        <v>1173</v>
      </c>
      <c r="P23" s="300">
        <f>P21*P22</f>
        <v>5.2099999999999998E-4</v>
      </c>
      <c r="S23" s="295" t="s">
        <v>1691</v>
      </c>
      <c r="T23" s="297">
        <v>20995.78</v>
      </c>
      <c r="U23" s="295"/>
    </row>
    <row r="24" spans="2:21" ht="15.75" thickBot="1">
      <c r="B24" s="229" t="s">
        <v>1242</v>
      </c>
      <c r="C24" s="96">
        <v>-650</v>
      </c>
      <c r="D24" s="63">
        <v>0</v>
      </c>
      <c r="F24" s="111"/>
      <c r="G24" s="111"/>
      <c r="H24" s="348"/>
      <c r="O24" s="328" t="s">
        <v>1174</v>
      </c>
      <c r="P24" s="329">
        <f>P20*P23</f>
        <v>1.2905169999999999</v>
      </c>
      <c r="T24" s="193"/>
    </row>
    <row r="25" spans="2:21" ht="15.75" thickTop="1">
      <c r="B25" s="504" t="s">
        <v>1912</v>
      </c>
      <c r="C25" s="505">
        <v>-40</v>
      </c>
      <c r="D25" s="63">
        <v>0</v>
      </c>
      <c r="F25" s="111"/>
      <c r="G25" s="111"/>
      <c r="H25" s="348"/>
      <c r="S25" s="599" t="s">
        <v>1574</v>
      </c>
      <c r="T25" s="599"/>
      <c r="U25" s="599"/>
    </row>
    <row r="26" spans="2:21">
      <c r="B26" s="504" t="s">
        <v>1918</v>
      </c>
      <c r="C26" s="505">
        <v>-48.5</v>
      </c>
      <c r="D26" s="63">
        <v>0</v>
      </c>
      <c r="F26" s="111"/>
      <c r="G26" s="111"/>
      <c r="H26" s="348"/>
      <c r="S26" s="295" t="s">
        <v>102</v>
      </c>
      <c r="T26" s="318" t="e">
        <f ca="1">K8+G44</f>
        <v>#VALUE!</v>
      </c>
    </row>
    <row r="27" spans="2:21">
      <c r="B27" s="229" t="s">
        <v>1266</v>
      </c>
      <c r="C27" s="96">
        <v>-1766.88</v>
      </c>
      <c r="D27" s="63">
        <v>0</v>
      </c>
      <c r="F27" s="111"/>
      <c r="G27" s="111"/>
      <c r="H27" s="348"/>
      <c r="S27" s="295" t="s">
        <v>1777</v>
      </c>
      <c r="T27" s="318">
        <v>0</v>
      </c>
    </row>
    <row r="28" spans="2:21">
      <c r="B28" s="485" t="s">
        <v>1329</v>
      </c>
      <c r="C28" s="483">
        <v>-27.5</v>
      </c>
      <c r="D28" s="63">
        <v>0</v>
      </c>
      <c r="F28" s="111"/>
      <c r="G28" s="111"/>
      <c r="H28" s="348"/>
      <c r="S28" s="295" t="s">
        <v>1779</v>
      </c>
      <c r="T28" s="318">
        <v>0</v>
      </c>
    </row>
    <row r="29" spans="2:21">
      <c r="B29" s="475" t="s">
        <v>1445</v>
      </c>
      <c r="C29" s="476">
        <v>-2507.73</v>
      </c>
      <c r="D29" s="63">
        <v>0</v>
      </c>
      <c r="F29" s="111"/>
      <c r="G29" s="111"/>
      <c r="H29" s="348"/>
      <c r="S29" s="295" t="s">
        <v>1778</v>
      </c>
      <c r="T29" s="318">
        <f>T14</f>
        <v>1820.7</v>
      </c>
    </row>
    <row r="30" spans="2:21">
      <c r="B30" s="498" t="s">
        <v>1905</v>
      </c>
      <c r="C30" s="499">
        <v>-59.9</v>
      </c>
      <c r="D30" s="63">
        <v>0</v>
      </c>
      <c r="F30" s="111"/>
      <c r="G30" s="111"/>
      <c r="H30" s="348"/>
      <c r="S30" s="295" t="s">
        <v>602</v>
      </c>
      <c r="T30" s="318">
        <v>0</v>
      </c>
    </row>
    <row r="31" spans="2:21">
      <c r="B31" s="229" t="s">
        <v>106</v>
      </c>
      <c r="C31" s="243">
        <v>-2273.94</v>
      </c>
      <c r="D31" s="63">
        <v>0</v>
      </c>
      <c r="F31" s="111"/>
      <c r="G31" s="111"/>
      <c r="H31" s="348"/>
      <c r="S31" s="295" t="s">
        <v>429</v>
      </c>
      <c r="T31" s="318">
        <v>6500</v>
      </c>
    </row>
    <row r="32" spans="2:21" ht="18.75" thickBot="1">
      <c r="B32" s="229" t="s">
        <v>1926</v>
      </c>
      <c r="C32" s="505">
        <v>1544.53</v>
      </c>
      <c r="D32" s="63">
        <v>0</v>
      </c>
      <c r="E32" s="211"/>
      <c r="F32" s="111"/>
      <c r="G32" s="111"/>
      <c r="H32" s="348"/>
      <c r="S32" s="357" t="s">
        <v>1449</v>
      </c>
      <c r="T32" s="358" t="e">
        <f ca="1">SUM(T26:T31)</f>
        <v>#VALUE!</v>
      </c>
    </row>
    <row r="33" spans="2:20" ht="16.5" thickTop="1">
      <c r="B33" s="229" t="s">
        <v>125</v>
      </c>
      <c r="C33" s="96">
        <f>-3500+132.55</f>
        <v>-3367.45</v>
      </c>
      <c r="D33" s="63">
        <v>0</v>
      </c>
      <c r="F33" s="111"/>
      <c r="G33" s="111"/>
      <c r="H33" s="348"/>
      <c r="S33" s="315" t="s">
        <v>1568</v>
      </c>
      <c r="T33" s="316">
        <v>55000</v>
      </c>
    </row>
    <row r="34" spans="2:20" ht="18">
      <c r="B34" s="229" t="s">
        <v>73</v>
      </c>
      <c r="C34" s="96">
        <v>-262.33</v>
      </c>
      <c r="D34" s="63">
        <v>0</v>
      </c>
      <c r="F34" s="111"/>
      <c r="G34" s="111"/>
      <c r="H34" s="348"/>
      <c r="S34" s="412" t="s">
        <v>1709</v>
      </c>
      <c r="T34" s="410" t="e">
        <f ca="1">T32-T33</f>
        <v>#VALUE!</v>
      </c>
    </row>
    <row r="35" spans="2:20">
      <c r="B35" s="229" t="s">
        <v>1842</v>
      </c>
      <c r="C35" s="417">
        <v>-58.38</v>
      </c>
      <c r="D35" s="63">
        <v>0</v>
      </c>
      <c r="F35" s="111"/>
      <c r="G35" s="111"/>
      <c r="H35" s="348"/>
    </row>
    <row r="36" spans="2:20">
      <c r="B36" s="229" t="s">
        <v>1249</v>
      </c>
      <c r="C36" s="96">
        <v>-697.31</v>
      </c>
      <c r="D36" s="63">
        <v>0</v>
      </c>
      <c r="F36" s="111"/>
      <c r="G36" s="111"/>
      <c r="H36" s="348"/>
    </row>
    <row r="37" spans="2:20" ht="18">
      <c r="B37" s="74" t="s">
        <v>1580</v>
      </c>
      <c r="C37" s="188"/>
      <c r="D37" s="241">
        <f>SUM(D4:D36)</f>
        <v>-1481.21</v>
      </c>
      <c r="F37" s="111"/>
      <c r="G37" s="111"/>
      <c r="H37" s="348"/>
    </row>
    <row r="38" spans="2:20">
      <c r="F38" s="111"/>
      <c r="G38" s="111"/>
      <c r="H38" s="348"/>
    </row>
    <row r="39" spans="2:20">
      <c r="F39" s="111"/>
      <c r="G39" s="111"/>
      <c r="H39" s="348"/>
    </row>
    <row r="40" spans="2:20">
      <c r="F40" s="111"/>
      <c r="G40" s="111"/>
      <c r="H40" s="348"/>
    </row>
    <row r="41" spans="2:20">
      <c r="F41" s="111"/>
      <c r="G41" s="111"/>
      <c r="H41" s="348"/>
    </row>
    <row r="42" spans="2:20">
      <c r="F42" s="111" t="s">
        <v>1189</v>
      </c>
      <c r="G42" s="111">
        <v>4364.8599999999997</v>
      </c>
      <c r="H42" s="348"/>
    </row>
    <row r="43" spans="2:20">
      <c r="F43" s="111" t="s">
        <v>1560</v>
      </c>
      <c r="G43" s="111">
        <f>Acoes!I66</f>
        <v>10950</v>
      </c>
      <c r="H43" s="348"/>
    </row>
    <row r="44" spans="2:20" ht="15.75" thickBot="1">
      <c r="F44" s="401" t="s">
        <v>1762</v>
      </c>
      <c r="G44" s="484" t="e">
        <f ca="1">OFFSET(G3,COUNTA(G4:G40),0)+G41+G42+G43</f>
        <v>#VALUE!</v>
      </c>
      <c r="H44" s="401"/>
    </row>
    <row r="45" spans="2:20" ht="13.5" thickTop="1">
      <c r="F45" s="1"/>
      <c r="G45" s="193"/>
    </row>
    <row r="46" spans="2:20">
      <c r="F46" s="199"/>
      <c r="G46" s="193"/>
    </row>
    <row r="48" spans="2:20">
      <c r="F48" s="199"/>
      <c r="G48" s="199"/>
    </row>
    <row r="50" spans="6:7">
      <c r="F50" s="199"/>
      <c r="G50" s="199"/>
    </row>
  </sheetData>
  <mergeCells count="14">
    <mergeCell ref="S20:U20"/>
    <mergeCell ref="S25:U25"/>
    <mergeCell ref="W4:X4"/>
    <mergeCell ref="S8:T8"/>
    <mergeCell ref="O11:P11"/>
    <mergeCell ref="W9:X9"/>
    <mergeCell ref="S16:T16"/>
    <mergeCell ref="O19:P19"/>
    <mergeCell ref="W3:X3"/>
    <mergeCell ref="F2:H2"/>
    <mergeCell ref="J2:M2"/>
    <mergeCell ref="O2:P2"/>
    <mergeCell ref="S2:U2"/>
    <mergeCell ref="W2:Z2"/>
  </mergeCells>
  <conditionalFormatting sqref="T34 D4:D10">
    <cfRule type="cellIs" dxfId="36" priority="6" stopIfTrue="1" operator="lessThan">
      <formula>0</formula>
    </cfRule>
  </conditionalFormatting>
  <pageMargins left="0.511811024" right="0.511811024" top="0.78740157499999996" bottom="0.78740157499999996" header="0.31496062000000002" footer="0.31496062000000002"/>
  <tableParts count="1">
    <tablePart r:id="rId1"/>
  </tableParts>
</worksheet>
</file>

<file path=xl/worksheets/sheet138.xml><?xml version="1.0" encoding="utf-8"?>
<worksheet xmlns="http://schemas.openxmlformats.org/spreadsheetml/2006/main" xmlns:r="http://schemas.openxmlformats.org/officeDocument/2006/relationships">
  <dimension ref="B1:Q61"/>
  <sheetViews>
    <sheetView zoomScale="75" zoomScaleNormal="75" workbookViewId="0">
      <selection activeCell="E29" sqref="E29"/>
    </sheetView>
  </sheetViews>
  <sheetFormatPr defaultRowHeight="15"/>
  <cols>
    <col min="1" max="1" width="1" style="266" customWidth="1"/>
    <col min="2" max="2" width="45.140625" style="266" bestFit="1" customWidth="1"/>
    <col min="3" max="3" width="14" style="266" bestFit="1" customWidth="1"/>
    <col min="4" max="4" width="17.7109375" style="266" bestFit="1" customWidth="1"/>
    <col min="5" max="5" width="16.42578125" style="266" bestFit="1" customWidth="1"/>
    <col min="6" max="13" width="2.140625" style="266" customWidth="1"/>
    <col min="14" max="14" width="20" style="266" bestFit="1" customWidth="1"/>
    <col min="15" max="15" width="13.8554687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C51</f>
        <v>-251.17000000000053</v>
      </c>
      <c r="P3" s="418" t="s">
        <v>1513</v>
      </c>
      <c r="Q3" s="418" t="s">
        <v>1513</v>
      </c>
    </row>
    <row r="4" spans="2:17">
      <c r="B4" s="482" t="s">
        <v>1892</v>
      </c>
      <c r="C4" s="424">
        <v>134.25</v>
      </c>
      <c r="D4" s="429"/>
      <c r="E4" s="426"/>
      <c r="N4" s="449" t="s">
        <v>1847</v>
      </c>
      <c r="O4" s="447">
        <f>179.9/2</f>
        <v>89.95</v>
      </c>
      <c r="P4" s="448"/>
      <c r="Q4" s="426"/>
    </row>
    <row r="5" spans="2:17">
      <c r="B5" s="482" t="s">
        <v>1893</v>
      </c>
      <c r="C5" s="424">
        <v>79.45</v>
      </c>
      <c r="D5" s="429"/>
      <c r="E5" s="426"/>
      <c r="N5" s="500" t="s">
        <v>1599</v>
      </c>
      <c r="O5" s="424">
        <v>22.9</v>
      </c>
      <c r="P5" s="425" t="s">
        <v>1456</v>
      </c>
      <c r="Q5" s="426"/>
    </row>
    <row r="6" spans="2:17">
      <c r="B6" s="482" t="s">
        <v>1702</v>
      </c>
      <c r="C6" s="424">
        <v>15.9</v>
      </c>
      <c r="D6" s="429"/>
      <c r="E6" s="426"/>
      <c r="N6" s="500" t="s">
        <v>1632</v>
      </c>
      <c r="O6" s="424">
        <v>14.9</v>
      </c>
      <c r="P6" s="448" t="s">
        <v>1456</v>
      </c>
      <c r="Q6" s="426"/>
    </row>
    <row r="7" spans="2:17">
      <c r="B7" s="482" t="s">
        <v>1881</v>
      </c>
      <c r="C7" s="424">
        <v>20</v>
      </c>
      <c r="D7" s="429"/>
      <c r="E7" s="426"/>
      <c r="N7" s="497" t="s">
        <v>1894</v>
      </c>
      <c r="O7" s="447">
        <f>2028.52/4</f>
        <v>507.13</v>
      </c>
      <c r="P7" s="449"/>
      <c r="Q7" s="426"/>
    </row>
    <row r="8" spans="2:17">
      <c r="B8" s="482" t="s">
        <v>1897</v>
      </c>
      <c r="C8" s="424">
        <v>21</v>
      </c>
      <c r="D8" s="429"/>
      <c r="E8" s="426"/>
      <c r="N8" s="500" t="s">
        <v>1478</v>
      </c>
      <c r="O8" s="424">
        <v>6.5</v>
      </c>
      <c r="P8" s="425"/>
      <c r="Q8" s="426"/>
    </row>
    <row r="9" spans="2:17">
      <c r="B9" s="482" t="s">
        <v>1898</v>
      </c>
      <c r="C9" s="424">
        <v>110</v>
      </c>
      <c r="D9" s="429"/>
      <c r="E9" s="426"/>
      <c r="N9" s="500" t="s">
        <v>1478</v>
      </c>
      <c r="O9" s="424">
        <v>50.82</v>
      </c>
      <c r="P9" s="425"/>
      <c r="Q9" s="426"/>
    </row>
    <row r="10" spans="2:17">
      <c r="B10" s="482" t="s">
        <v>1881</v>
      </c>
      <c r="C10" s="424">
        <v>8.3000000000000007</v>
      </c>
      <c r="D10" s="429"/>
      <c r="E10" s="426"/>
      <c r="N10" s="506" t="s">
        <v>1478</v>
      </c>
      <c r="O10" s="424">
        <v>24.18</v>
      </c>
      <c r="P10" s="425"/>
      <c r="Q10" s="426"/>
    </row>
    <row r="11" spans="2:17">
      <c r="B11" s="482" t="s">
        <v>1899</v>
      </c>
      <c r="C11" s="424">
        <v>37.18</v>
      </c>
      <c r="D11" s="425"/>
      <c r="E11" s="426"/>
      <c r="N11" s="480" t="s">
        <v>1478</v>
      </c>
      <c r="O11" s="424">
        <v>46.08</v>
      </c>
      <c r="P11" s="425"/>
      <c r="Q11" s="426"/>
    </row>
    <row r="12" spans="2:17">
      <c r="B12" s="482" t="s">
        <v>1812</v>
      </c>
      <c r="C12" s="424">
        <v>117</v>
      </c>
      <c r="D12" s="425"/>
      <c r="E12" s="426"/>
      <c r="N12" s="480" t="s">
        <v>1478</v>
      </c>
      <c r="O12" s="424">
        <v>21.78</v>
      </c>
      <c r="P12" s="425"/>
      <c r="Q12" s="426"/>
    </row>
    <row r="13" spans="2:17">
      <c r="B13" s="482" t="s">
        <v>1900</v>
      </c>
      <c r="C13" s="424">
        <v>120.01</v>
      </c>
      <c r="D13" s="425"/>
      <c r="E13" s="426"/>
      <c r="N13" s="480" t="s">
        <v>1478</v>
      </c>
      <c r="O13" s="424">
        <v>32.42</v>
      </c>
      <c r="P13" s="425"/>
      <c r="Q13" s="426"/>
    </row>
    <row r="14" spans="2:17">
      <c r="B14" s="482" t="s">
        <v>1901</v>
      </c>
      <c r="C14" s="424">
        <v>185.68</v>
      </c>
      <c r="D14" s="425"/>
      <c r="E14" s="426"/>
      <c r="N14" s="480" t="s">
        <v>1478</v>
      </c>
      <c r="O14" s="424">
        <v>28.46</v>
      </c>
      <c r="P14" s="425"/>
      <c r="Q14" s="426"/>
    </row>
    <row r="15" spans="2:17">
      <c r="B15" s="482" t="s">
        <v>1902</v>
      </c>
      <c r="C15" s="424">
        <v>116.22</v>
      </c>
      <c r="D15" s="429"/>
      <c r="E15" s="426"/>
      <c r="N15" s="480" t="s">
        <v>1478</v>
      </c>
      <c r="O15" s="424">
        <v>46.08</v>
      </c>
      <c r="P15" s="425"/>
      <c r="Q15" s="426"/>
    </row>
    <row r="16" spans="2:17">
      <c r="B16" s="482" t="s">
        <v>1903</v>
      </c>
      <c r="C16" s="424">
        <v>18.3</v>
      </c>
      <c r="D16" s="429"/>
      <c r="E16" s="426"/>
      <c r="N16" s="480" t="s">
        <v>1478</v>
      </c>
      <c r="O16" s="424">
        <v>7.2</v>
      </c>
      <c r="P16" s="425"/>
      <c r="Q16" s="426"/>
    </row>
    <row r="17" spans="2:17">
      <c r="B17" s="482" t="s">
        <v>1482</v>
      </c>
      <c r="C17" s="424">
        <v>61.58</v>
      </c>
      <c r="D17" s="429"/>
      <c r="E17" s="426"/>
      <c r="N17" s="511" t="s">
        <v>1478</v>
      </c>
      <c r="O17" s="424">
        <v>27.8</v>
      </c>
      <c r="P17" s="425"/>
      <c r="Q17" s="426"/>
    </row>
    <row r="18" spans="2:17">
      <c r="B18" s="482" t="s">
        <v>1907</v>
      </c>
      <c r="C18" s="424">
        <v>25.9</v>
      </c>
      <c r="D18" s="429"/>
      <c r="E18" s="426"/>
      <c r="N18" s="480"/>
      <c r="O18" s="424"/>
      <c r="P18" s="425"/>
      <c r="Q18" s="426"/>
    </row>
    <row r="19" spans="2:17">
      <c r="B19" s="482" t="s">
        <v>1897</v>
      </c>
      <c r="C19" s="424">
        <v>26.5</v>
      </c>
      <c r="D19" s="429"/>
      <c r="E19" s="426"/>
      <c r="N19" s="439"/>
      <c r="O19" s="424"/>
      <c r="P19" s="425"/>
      <c r="Q19" s="426"/>
    </row>
    <row r="20" spans="2:17">
      <c r="B20" s="482" t="s">
        <v>1899</v>
      </c>
      <c r="C20" s="424">
        <v>33.22</v>
      </c>
      <c r="D20" s="429"/>
      <c r="E20" s="426"/>
      <c r="N20" s="439"/>
      <c r="O20" s="424"/>
      <c r="P20" s="425"/>
      <c r="Q20" s="426"/>
    </row>
    <row r="21" spans="2:17">
      <c r="B21" s="482" t="s">
        <v>1908</v>
      </c>
      <c r="C21" s="424">
        <v>95.7</v>
      </c>
      <c r="D21" s="429"/>
      <c r="E21" s="426"/>
      <c r="N21" s="439"/>
      <c r="O21" s="424"/>
      <c r="P21" s="425"/>
      <c r="Q21" s="426"/>
    </row>
    <row r="22" spans="2:17">
      <c r="B22" s="482" t="s">
        <v>1482</v>
      </c>
      <c r="C22" s="424">
        <v>9.17</v>
      </c>
      <c r="D22" s="429"/>
      <c r="E22" s="426"/>
      <c r="N22" s="439"/>
      <c r="O22" s="424"/>
      <c r="P22" s="425"/>
      <c r="Q22" s="426"/>
    </row>
    <row r="23" spans="2:17">
      <c r="B23" s="482" t="s">
        <v>1909</v>
      </c>
      <c r="C23" s="424">
        <v>58.5</v>
      </c>
      <c r="D23" s="429"/>
      <c r="E23" s="426"/>
      <c r="N23" s="439"/>
      <c r="O23" s="424"/>
      <c r="P23" s="425"/>
      <c r="Q23" s="426"/>
    </row>
    <row r="24" spans="2:17">
      <c r="B24" s="482" t="s">
        <v>1910</v>
      </c>
      <c r="C24" s="424">
        <v>78.88</v>
      </c>
      <c r="D24" s="429"/>
      <c r="E24" s="426"/>
      <c r="N24" s="439"/>
      <c r="O24" s="424"/>
      <c r="P24" s="425"/>
      <c r="Q24" s="426"/>
    </row>
    <row r="25" spans="2:17">
      <c r="B25" s="482" t="s">
        <v>1552</v>
      </c>
      <c r="C25" s="424">
        <v>175.22</v>
      </c>
      <c r="D25" s="429"/>
      <c r="E25" s="426"/>
      <c r="N25" s="439"/>
      <c r="O25" s="424"/>
      <c r="P25" s="425"/>
      <c r="Q25" s="426"/>
    </row>
    <row r="26" spans="2:17">
      <c r="B26" s="482" t="s">
        <v>1508</v>
      </c>
      <c r="C26" s="424">
        <v>246.78</v>
      </c>
      <c r="D26" s="429"/>
      <c r="E26" s="426"/>
      <c r="N26" s="439"/>
      <c r="O26" s="424"/>
      <c r="P26" s="425"/>
      <c r="Q26" s="426"/>
    </row>
    <row r="27" spans="2:17">
      <c r="B27" s="482" t="s">
        <v>1509</v>
      </c>
      <c r="C27" s="424">
        <v>30.9</v>
      </c>
      <c r="D27" s="429"/>
      <c r="E27" s="426"/>
      <c r="N27" s="439"/>
      <c r="O27" s="424"/>
      <c r="P27" s="425"/>
      <c r="Q27" s="426"/>
    </row>
    <row r="28" spans="2:17">
      <c r="B28" s="482" t="s">
        <v>1812</v>
      </c>
      <c r="C28" s="424">
        <v>56.6</v>
      </c>
      <c r="D28" s="429"/>
      <c r="E28" s="426"/>
      <c r="N28" s="439"/>
      <c r="O28" s="424"/>
      <c r="P28" s="425"/>
      <c r="Q28" s="426"/>
    </row>
    <row r="29" spans="2:17">
      <c r="B29" s="451" t="s">
        <v>1911</v>
      </c>
      <c r="C29" s="424">
        <v>114</v>
      </c>
      <c r="D29" s="429"/>
      <c r="E29" s="426"/>
      <c r="N29" s="439"/>
      <c r="O29" s="424"/>
      <c r="P29" s="425"/>
      <c r="Q29" s="426"/>
    </row>
    <row r="30" spans="2:17">
      <c r="B30" s="451" t="s">
        <v>1552</v>
      </c>
      <c r="C30" s="424">
        <v>15.99</v>
      </c>
      <c r="D30" s="429"/>
      <c r="E30" s="426"/>
      <c r="N30" s="439"/>
      <c r="O30" s="424"/>
      <c r="P30" s="425"/>
      <c r="Q30" s="426"/>
    </row>
    <row r="31" spans="2:17">
      <c r="B31" s="451" t="s">
        <v>1919</v>
      </c>
      <c r="C31" s="424">
        <v>11.7</v>
      </c>
      <c r="D31" s="429"/>
      <c r="E31" s="426"/>
      <c r="N31" s="439"/>
      <c r="O31" s="424"/>
      <c r="P31" s="425"/>
      <c r="Q31" s="426"/>
    </row>
    <row r="32" spans="2:17">
      <c r="B32" s="451" t="s">
        <v>1919</v>
      </c>
      <c r="C32" s="424">
        <v>20</v>
      </c>
      <c r="D32" s="429"/>
      <c r="E32" s="426"/>
      <c r="N32" s="439"/>
      <c r="O32" s="424"/>
      <c r="P32" s="425"/>
      <c r="Q32" s="426"/>
    </row>
    <row r="33" spans="2:17">
      <c r="B33" s="451" t="s">
        <v>1583</v>
      </c>
      <c r="C33" s="424">
        <v>24.7</v>
      </c>
      <c r="D33" s="429"/>
      <c r="E33" s="426"/>
      <c r="N33" s="439"/>
      <c r="O33" s="424"/>
      <c r="P33" s="425"/>
      <c r="Q33" s="426"/>
    </row>
    <row r="34" spans="2:17">
      <c r="B34" s="451" t="s">
        <v>1480</v>
      </c>
      <c r="C34" s="424">
        <v>176.88</v>
      </c>
      <c r="D34" s="429"/>
      <c r="E34" s="426"/>
      <c r="N34" s="439"/>
      <c r="O34" s="424"/>
      <c r="P34" s="425"/>
      <c r="Q34" s="426"/>
    </row>
    <row r="35" spans="2:17">
      <c r="B35" s="451" t="s">
        <v>1920</v>
      </c>
      <c r="C35" s="424">
        <v>39.99</v>
      </c>
      <c r="D35" s="429"/>
      <c r="E35" s="426"/>
      <c r="N35" s="439"/>
      <c r="O35" s="424"/>
      <c r="P35" s="425"/>
      <c r="Q35" s="426"/>
    </row>
    <row r="36" spans="2:17" ht="16.5" thickBot="1">
      <c r="B36" s="451" t="s">
        <v>1583</v>
      </c>
      <c r="C36" s="424">
        <v>8.57</v>
      </c>
      <c r="D36" s="429"/>
      <c r="E36" s="426"/>
      <c r="N36" s="286" t="s">
        <v>1534</v>
      </c>
      <c r="O36" s="287">
        <f>O3-SUM(O4:O35)</f>
        <v>-1177.3700000000006</v>
      </c>
      <c r="P36" s="286"/>
      <c r="Q36" s="286"/>
    </row>
    <row r="37" spans="2:17" ht="15.75" thickTop="1">
      <c r="B37" s="451" t="s">
        <v>1921</v>
      </c>
      <c r="C37" s="424">
        <v>54</v>
      </c>
      <c r="D37" s="429"/>
      <c r="E37" s="426"/>
    </row>
    <row r="38" spans="2:17">
      <c r="B38" s="451" t="s">
        <v>1503</v>
      </c>
      <c r="C38" s="424">
        <v>97</v>
      </c>
      <c r="D38" s="429"/>
      <c r="E38" s="426"/>
    </row>
    <row r="39" spans="2:17">
      <c r="B39" s="451" t="s">
        <v>1921</v>
      </c>
      <c r="C39" s="424">
        <v>262.89999999999998</v>
      </c>
      <c r="D39" s="429"/>
      <c r="E39" s="426"/>
      <c r="N39" s="603" t="s">
        <v>704</v>
      </c>
      <c r="O39" s="603"/>
      <c r="P39" s="349">
        <f>SUM(C4:C50)</f>
        <v>3051.1700000000005</v>
      </c>
    </row>
    <row r="40" spans="2:17">
      <c r="B40" s="451" t="s">
        <v>1881</v>
      </c>
      <c r="C40" s="424">
        <v>20</v>
      </c>
      <c r="D40" s="429"/>
      <c r="E40" s="426"/>
      <c r="N40" s="604" t="s">
        <v>1445</v>
      </c>
      <c r="O40" s="604"/>
      <c r="P40" s="349">
        <f>SUM(O4:O35)</f>
        <v>926.2</v>
      </c>
    </row>
    <row r="41" spans="2:17" ht="15.75" thickBot="1">
      <c r="B41" s="451" t="s">
        <v>1889</v>
      </c>
      <c r="C41" s="424">
        <v>71</v>
      </c>
      <c r="D41" s="429"/>
      <c r="E41" s="426"/>
      <c r="N41" s="590" t="s">
        <v>1629</v>
      </c>
      <c r="O41" s="590"/>
      <c r="P41" s="323">
        <f>SUM(P39:P40)</f>
        <v>3977.3700000000008</v>
      </c>
    </row>
    <row r="42" spans="2:17" ht="15.75" thickTop="1">
      <c r="B42" s="451" t="s">
        <v>1922</v>
      </c>
      <c r="C42" s="424">
        <v>96</v>
      </c>
      <c r="D42" s="429"/>
      <c r="E42" s="426"/>
    </row>
    <row r="43" spans="2:17">
      <c r="B43" s="451" t="s">
        <v>1923</v>
      </c>
      <c r="C43" s="424">
        <v>23.9</v>
      </c>
      <c r="D43" s="429"/>
      <c r="E43" s="426"/>
    </row>
    <row r="44" spans="2:17">
      <c r="B44" s="451" t="s">
        <v>1924</v>
      </c>
      <c r="C44" s="424">
        <v>103.8</v>
      </c>
      <c r="D44" s="429"/>
      <c r="E44" s="426"/>
    </row>
    <row r="45" spans="2:17">
      <c r="B45" s="451" t="s">
        <v>1477</v>
      </c>
      <c r="C45" s="424">
        <v>6</v>
      </c>
      <c r="D45" s="429"/>
      <c r="E45" s="426"/>
    </row>
    <row r="46" spans="2:17">
      <c r="B46" s="451" t="s">
        <v>1925</v>
      </c>
      <c r="C46" s="424">
        <v>22.5</v>
      </c>
      <c r="D46" s="429"/>
      <c r="E46" s="426"/>
    </row>
    <row r="47" spans="2:17">
      <c r="B47" s="451"/>
      <c r="C47" s="424"/>
      <c r="D47" s="429"/>
      <c r="E47" s="426"/>
    </row>
    <row r="48" spans="2:17">
      <c r="B48" s="451"/>
      <c r="C48" s="424"/>
      <c r="D48" s="429"/>
      <c r="E48" s="426"/>
    </row>
    <row r="49" spans="2:5">
      <c r="B49" s="451"/>
      <c r="C49" s="424"/>
      <c r="D49" s="429"/>
      <c r="E49" s="426"/>
    </row>
    <row r="50" spans="2:5">
      <c r="B50" s="451"/>
      <c r="C50" s="424"/>
      <c r="D50" s="429"/>
      <c r="E50" s="426"/>
    </row>
    <row r="51" spans="2:5" ht="16.5" thickBot="1">
      <c r="B51" s="286" t="s">
        <v>1459</v>
      </c>
      <c r="C51" s="287">
        <f>C3-SUM(C4:C50)</f>
        <v>-251.17000000000053</v>
      </c>
      <c r="D51" s="286"/>
      <c r="E51" s="286"/>
    </row>
    <row r="52" spans="2:5" ht="15.75" thickTop="1">
      <c r="B52" s="266" t="s">
        <v>1584</v>
      </c>
      <c r="C52" s="270">
        <f>AVERAGE(C4:C50)</f>
        <v>70.957441860465124</v>
      </c>
    </row>
    <row r="53" spans="2:5">
      <c r="C53" s="270"/>
    </row>
    <row r="54" spans="2:5">
      <c r="D54" s="266" t="s">
        <v>1458</v>
      </c>
      <c r="E54" s="269" t="s">
        <v>1457</v>
      </c>
    </row>
    <row r="55" spans="2:5">
      <c r="D55" s="266" t="s">
        <v>1456</v>
      </c>
      <c r="E55" s="268" t="s">
        <v>1455</v>
      </c>
    </row>
    <row r="56" spans="2:5">
      <c r="D56" s="266" t="s">
        <v>38</v>
      </c>
      <c r="E56" s="267" t="s">
        <v>1454</v>
      </c>
    </row>
    <row r="57" spans="2:5">
      <c r="D57" s="266" t="s">
        <v>1453</v>
      </c>
    </row>
    <row r="58" spans="2:5">
      <c r="D58" s="266" t="s">
        <v>1452</v>
      </c>
    </row>
    <row r="59" spans="2:5">
      <c r="D59" s="266" t="s">
        <v>17</v>
      </c>
    </row>
    <row r="60" spans="2:5">
      <c r="D60" s="266" t="s">
        <v>1451</v>
      </c>
    </row>
    <row r="61" spans="2:5">
      <c r="D61" s="266" t="s">
        <v>1450</v>
      </c>
    </row>
  </sheetData>
  <mergeCells count="5">
    <mergeCell ref="B1:E1"/>
    <mergeCell ref="N1:Q1"/>
    <mergeCell ref="N39:O39"/>
    <mergeCell ref="N40:O40"/>
    <mergeCell ref="N41:O41"/>
  </mergeCells>
  <conditionalFormatting sqref="Q4:Q35 E4:E50">
    <cfRule type="containsText" dxfId="31" priority="4" stopIfTrue="1" operator="containsText" text="Necessário">
      <formula>NOT(ISERROR(SEARCH("Necessário",E4)))</formula>
    </cfRule>
  </conditionalFormatting>
  <conditionalFormatting sqref="Q4:Q35 E4:E50">
    <cfRule type="containsText" dxfId="30" priority="3" stopIfTrue="1" operator="containsText" text="Frívolo">
      <formula>NOT(ISERROR(SEARCH("Frívolo",E4)))</formula>
    </cfRule>
  </conditionalFormatting>
  <conditionalFormatting sqref="C53">
    <cfRule type="dataBar" priority="2">
      <dataBar>
        <cfvo type="min" val="0"/>
        <cfvo type="max" val="0"/>
        <color rgb="FF638EC6"/>
      </dataBar>
    </cfRule>
  </conditionalFormatting>
  <conditionalFormatting sqref="C52">
    <cfRule type="dataBar" priority="1">
      <dataBar>
        <cfvo type="min" val="0"/>
        <cfvo type="max" val="0"/>
        <color rgb="FF638EC6"/>
      </dataBar>
    </cfRule>
  </conditionalFormatting>
  <dataValidations count="2">
    <dataValidation type="list" allowBlank="1" showInputMessage="1" showErrorMessage="1" sqref="K5:L6 Q4:Q35 F5:F6 E4:E50">
      <formula1>$E$54:$E$56</formula1>
    </dataValidation>
    <dataValidation type="list" allowBlank="1" showInputMessage="1" showErrorMessage="1" sqref="P4:P35 D4:D50">
      <formula1>$D$54:$D$61</formula1>
    </dataValidation>
  </dataValidations>
  <pageMargins left="0.511811024" right="0.511811024" top="0.78740157499999996" bottom="0.78740157499999996" header="0.31496062000000002" footer="0.31496062000000002"/>
  <pageSetup paperSize="9" orientation="portrait" r:id="rId1"/>
</worksheet>
</file>

<file path=xl/worksheets/sheet139.xml><?xml version="1.0" encoding="utf-8"?>
<worksheet xmlns="http://schemas.openxmlformats.org/spreadsheetml/2006/main" xmlns:r="http://schemas.openxmlformats.org/officeDocument/2006/relationships">
  <dimension ref="B2:Z35"/>
  <sheetViews>
    <sheetView zoomScale="75" zoomScaleNormal="75" workbookViewId="0">
      <selection activeCell="D19" sqref="D19"/>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13.28515625" bestFit="1" customWidth="1"/>
    <col min="13" max="13" width="13.5703125" bestFit="1" customWidth="1"/>
    <col min="14" max="14" width="1.140625" customWidth="1"/>
    <col min="15" max="15" width="13.140625" customWidth="1"/>
    <col min="16" max="16" width="16" customWidth="1"/>
    <col min="17" max="17" width="0.85546875" customWidth="1"/>
    <col min="18" max="18" width="0.7109375" customWidth="1"/>
    <col min="19" max="19" width="14.28515625" bestFit="1" customWidth="1"/>
    <col min="20" max="20" width="20" bestFit="1" customWidth="1"/>
    <col min="21" max="21" width="15.42578125" bestFit="1" customWidth="1"/>
    <col min="22" max="22" width="1.5703125" customWidth="1"/>
    <col min="23" max="23" width="14.42578125" bestFit="1" customWidth="1"/>
    <col min="24" max="24" width="14.5703125" bestFit="1" customWidth="1"/>
    <col min="25" max="25" width="12.85546875" bestFit="1" customWidth="1"/>
    <col min="26" max="26" width="12.5703125" bestFit="1" customWidth="1"/>
    <col min="27" max="27" width="13.28515625" bestFit="1" customWidth="1"/>
    <col min="28" max="28" width="14" bestFit="1" customWidth="1"/>
    <col min="29" max="29" width="14.42578125" bestFit="1" customWidth="1"/>
    <col min="30" max="31" width="12.85546875" bestFit="1" customWidth="1"/>
  </cols>
  <sheetData>
    <row r="2" spans="2:26" ht="23.25">
      <c r="B2" s="236" t="s">
        <v>1401</v>
      </c>
      <c r="C2" s="237" t="s">
        <v>1402</v>
      </c>
      <c r="D2" s="238" t="s">
        <v>1554</v>
      </c>
      <c r="F2" s="593" t="s">
        <v>1557</v>
      </c>
      <c r="G2" s="593"/>
      <c r="H2" s="593"/>
      <c r="J2" s="606" t="s">
        <v>1111</v>
      </c>
      <c r="K2" s="606"/>
      <c r="L2" s="606"/>
      <c r="M2" s="606"/>
      <c r="O2" s="594" t="s">
        <v>1667</v>
      </c>
      <c r="P2" s="594"/>
      <c r="S2" s="595" t="s">
        <v>1558</v>
      </c>
      <c r="T2" s="595"/>
      <c r="U2" s="595"/>
      <c r="W2" s="602" t="s">
        <v>1073</v>
      </c>
      <c r="X2" s="602"/>
      <c r="Y2" s="602"/>
      <c r="Z2" s="602"/>
    </row>
    <row r="3" spans="2:26" ht="18">
      <c r="B3" s="227" t="s">
        <v>135</v>
      </c>
      <c r="C3" s="224"/>
      <c r="D3" s="507" t="s">
        <v>0</v>
      </c>
      <c r="F3" s="508" t="s">
        <v>1577</v>
      </c>
      <c r="G3" s="508" t="s">
        <v>1143</v>
      </c>
      <c r="H3" s="508" t="s">
        <v>1631</v>
      </c>
      <c r="J3" s="389" t="s">
        <v>1687</v>
      </c>
      <c r="K3" s="389" t="s">
        <v>219</v>
      </c>
      <c r="L3" s="389" t="s">
        <v>1692</v>
      </c>
      <c r="M3" s="389" t="s">
        <v>1693</v>
      </c>
      <c r="O3" s="509" t="s">
        <v>1577</v>
      </c>
      <c r="P3" s="509" t="s">
        <v>1143</v>
      </c>
      <c r="S3" s="322" t="s">
        <v>1249</v>
      </c>
      <c r="T3" s="322" t="s">
        <v>646</v>
      </c>
      <c r="U3" s="322" t="s">
        <v>1913</v>
      </c>
      <c r="W3" s="591" t="s">
        <v>1591</v>
      </c>
      <c r="X3" s="591"/>
      <c r="Y3" s="295">
        <v>60</v>
      </c>
      <c r="Z3" s="295"/>
    </row>
    <row r="4" spans="2:26" ht="18" customHeight="1">
      <c r="B4" s="228" t="s">
        <v>7</v>
      </c>
      <c r="C4" s="191"/>
      <c r="D4" s="95">
        <v>81.87</v>
      </c>
      <c r="F4" s="111" t="s">
        <v>1438</v>
      </c>
      <c r="G4" s="111">
        <v>6512.78</v>
      </c>
      <c r="H4" s="348">
        <v>42683</v>
      </c>
      <c r="J4" s="383" t="s">
        <v>1684</v>
      </c>
      <c r="K4" s="387">
        <v>0</v>
      </c>
      <c r="L4" s="392"/>
      <c r="M4" s="199"/>
      <c r="O4" s="531" t="s">
        <v>927</v>
      </c>
      <c r="P4" s="532">
        <f>876.61-3.5</f>
        <v>873.11</v>
      </c>
      <c r="S4" s="295" t="s">
        <v>1308</v>
      </c>
      <c r="T4" s="298">
        <v>19669.84</v>
      </c>
      <c r="U4" s="297">
        <f>T4*(1-15%)</f>
        <v>16719.364000000001</v>
      </c>
      <c r="W4" s="591" t="s">
        <v>1592</v>
      </c>
      <c r="X4" s="591"/>
      <c r="Y4" s="295">
        <f>Y3/12</f>
        <v>5</v>
      </c>
      <c r="Z4" s="295"/>
    </row>
    <row r="5" spans="2:26" ht="17.25" customHeight="1">
      <c r="B5" s="228" t="s">
        <v>9</v>
      </c>
      <c r="C5" s="91">
        <v>90</v>
      </c>
      <c r="D5" s="95">
        <v>0</v>
      </c>
      <c r="F5" s="111"/>
      <c r="G5" s="111"/>
      <c r="H5" s="348"/>
      <c r="J5" s="390" t="s">
        <v>1685</v>
      </c>
      <c r="K5" s="411">
        <v>0</v>
      </c>
      <c r="L5" s="404"/>
      <c r="M5" s="405"/>
      <c r="O5" s="305" t="s">
        <v>1014</v>
      </c>
      <c r="P5" s="306">
        <v>52.57</v>
      </c>
      <c r="S5" s="295" t="s">
        <v>1309</v>
      </c>
      <c r="T5" s="298">
        <v>51314.66</v>
      </c>
      <c r="U5" s="297">
        <f>T5*(1-15%)</f>
        <v>43617.461000000003</v>
      </c>
      <c r="W5" s="295"/>
      <c r="X5" s="295" t="s">
        <v>1588</v>
      </c>
      <c r="Y5" s="295" t="s">
        <v>1589</v>
      </c>
      <c r="Z5" s="295" t="s">
        <v>21</v>
      </c>
    </row>
    <row r="6" spans="2:26" ht="15.75" thickBot="1">
      <c r="B6" s="228" t="str">
        <f>O5</f>
        <v>NF-Paulistana</v>
      </c>
      <c r="C6" s="91">
        <f>P5</f>
        <v>52.57</v>
      </c>
      <c r="D6" s="95">
        <v>0</v>
      </c>
      <c r="F6" s="111"/>
      <c r="G6" s="111"/>
      <c r="H6" s="348"/>
      <c r="J6" s="383" t="s">
        <v>1686</v>
      </c>
      <c r="K6" s="387">
        <v>6750.94</v>
      </c>
      <c r="L6" s="392"/>
      <c r="M6" s="199"/>
      <c r="O6" s="531" t="s">
        <v>1331</v>
      </c>
      <c r="P6" s="532">
        <v>750</v>
      </c>
      <c r="S6" s="215" t="s">
        <v>45</v>
      </c>
      <c r="T6" s="329">
        <f>SUM(T4:T5)</f>
        <v>70984.5</v>
      </c>
      <c r="U6" s="215">
        <f>SUM(U4:U5)</f>
        <v>60336.825000000004</v>
      </c>
      <c r="W6" s="295" t="s">
        <v>1126</v>
      </c>
      <c r="X6" s="332">
        <v>40885</v>
      </c>
      <c r="Y6" s="333">
        <f ca="1">TODAY()</f>
        <v>42744</v>
      </c>
      <c r="Z6" s="295">
        <f ca="1">((YEAR(X6)-YEAR(Y6))*12+MONTH(X6)-MONTH(Y6))*-1</f>
        <v>61</v>
      </c>
    </row>
    <row r="7" spans="2:26" ht="13.5" thickTop="1">
      <c r="B7" s="228" t="s">
        <v>5</v>
      </c>
      <c r="C7" s="91">
        <v>13894.71</v>
      </c>
      <c r="D7" s="95">
        <v>0</v>
      </c>
      <c r="F7" s="111"/>
      <c r="G7" s="111"/>
      <c r="H7" s="348"/>
      <c r="J7" s="390" t="s">
        <v>1277</v>
      </c>
      <c r="K7" s="391">
        <v>0</v>
      </c>
      <c r="L7" s="404"/>
      <c r="M7" s="405"/>
      <c r="O7" s="305" t="s">
        <v>9</v>
      </c>
      <c r="P7" s="306">
        <v>90</v>
      </c>
      <c r="W7" s="295" t="s">
        <v>1590</v>
      </c>
      <c r="X7" s="332">
        <v>41578</v>
      </c>
      <c r="Y7" s="333">
        <f ca="1">TODAY()</f>
        <v>42744</v>
      </c>
      <c r="Z7" s="295">
        <f ca="1">((YEAR(X7)-YEAR(Y7))*12+MONTH(X7)-MONTH(Y7))*-1</f>
        <v>39</v>
      </c>
    </row>
    <row r="8" spans="2:26" ht="15.75">
      <c r="B8" s="229" t="s">
        <v>122</v>
      </c>
      <c r="C8" s="96">
        <v>-242.99</v>
      </c>
      <c r="D8" s="63">
        <v>0</v>
      </c>
      <c r="F8" s="111"/>
      <c r="G8" s="111"/>
      <c r="H8" s="348"/>
      <c r="J8" s="395" t="s">
        <v>45</v>
      </c>
      <c r="K8" s="397">
        <f>SUM(K4:K7)</f>
        <v>6750.94</v>
      </c>
      <c r="L8" s="398"/>
      <c r="M8" s="397"/>
      <c r="O8" s="305"/>
      <c r="P8" s="306"/>
      <c r="S8" s="596" t="s">
        <v>1560</v>
      </c>
      <c r="T8" s="596"/>
    </row>
    <row r="9" spans="2:26" ht="15.75" thickBot="1">
      <c r="B9" s="514" t="s">
        <v>1912</v>
      </c>
      <c r="C9" s="515">
        <v>-60</v>
      </c>
      <c r="D9" s="63">
        <v>0</v>
      </c>
      <c r="F9" s="111"/>
      <c r="G9" s="111"/>
      <c r="H9" s="348"/>
      <c r="K9" s="193"/>
      <c r="O9" s="328" t="s">
        <v>1449</v>
      </c>
      <c r="P9" s="329">
        <f>SUM(P5:P8)</f>
        <v>892.57</v>
      </c>
      <c r="R9" s="219"/>
      <c r="S9" s="295" t="s">
        <v>1561</v>
      </c>
      <c r="T9" s="309">
        <v>14.99</v>
      </c>
    </row>
    <row r="10" spans="2:26" ht="14.25" customHeight="1" thickTop="1">
      <c r="B10" s="229" t="s">
        <v>1339</v>
      </c>
      <c r="C10" s="96">
        <f>-1015.26</f>
        <v>-1015.26</v>
      </c>
      <c r="D10" s="63">
        <v>0</v>
      </c>
      <c r="F10" s="111"/>
      <c r="G10" s="111"/>
      <c r="H10" s="348"/>
      <c r="K10" s="52"/>
      <c r="S10" s="295" t="s">
        <v>1562</v>
      </c>
      <c r="T10" s="295">
        <v>40</v>
      </c>
    </row>
    <row r="11" spans="2:26" ht="15">
      <c r="B11" s="242" t="s">
        <v>1415</v>
      </c>
      <c r="C11" s="243">
        <v>-1351.11</v>
      </c>
      <c r="D11" s="63">
        <v>0</v>
      </c>
      <c r="F11" s="111" t="s">
        <v>1560</v>
      </c>
      <c r="G11" s="111">
        <f>Acoes!O80</f>
        <v>8520</v>
      </c>
      <c r="H11" s="348"/>
      <c r="K11" s="193"/>
      <c r="O11" s="605" t="s">
        <v>1680</v>
      </c>
      <c r="P11" s="605"/>
      <c r="S11" s="295" t="s">
        <v>45</v>
      </c>
      <c r="T11" s="310">
        <f>T9*T10</f>
        <v>599.6</v>
      </c>
    </row>
    <row r="12" spans="2:26" ht="16.5" thickBot="1">
      <c r="B12" s="229" t="s">
        <v>586</v>
      </c>
      <c r="C12" s="96">
        <v>-199.78</v>
      </c>
      <c r="D12" s="63">
        <v>0</v>
      </c>
      <c r="F12" s="401" t="s">
        <v>1762</v>
      </c>
      <c r="G12" s="484">
        <f>SUM(G4:G11)</f>
        <v>15032.779999999999</v>
      </c>
      <c r="H12" s="401"/>
      <c r="O12" s="510" t="s">
        <v>1577</v>
      </c>
      <c r="P12" s="510" t="s">
        <v>1143</v>
      </c>
      <c r="S12" s="328" t="s">
        <v>1929</v>
      </c>
      <c r="T12" s="329">
        <f>(T11*1985.23)/584</f>
        <v>2038.2601164383564</v>
      </c>
    </row>
    <row r="13" spans="2:26" ht="13.5" thickTop="1">
      <c r="B13" s="229" t="s">
        <v>1397</v>
      </c>
      <c r="C13" s="96">
        <f>-63.61-12.5</f>
        <v>-76.11</v>
      </c>
      <c r="D13" s="63">
        <v>0</v>
      </c>
      <c r="F13" s="1"/>
      <c r="G13" s="193"/>
      <c r="O13" s="305" t="s">
        <v>15</v>
      </c>
      <c r="P13" s="306">
        <v>3.8</v>
      </c>
    </row>
    <row r="14" spans="2:26" ht="15">
      <c r="B14" s="229" t="s">
        <v>1419</v>
      </c>
      <c r="C14" s="243">
        <f>-P17</f>
        <v>-167.2</v>
      </c>
      <c r="D14" s="63">
        <v>0</v>
      </c>
      <c r="F14" s="199"/>
      <c r="G14" s="193"/>
      <c r="O14" s="305" t="s">
        <v>1681</v>
      </c>
      <c r="P14" s="377">
        <v>2</v>
      </c>
      <c r="S14" s="608" t="s">
        <v>1564</v>
      </c>
      <c r="T14" s="608"/>
      <c r="U14" s="468" t="s">
        <v>1841</v>
      </c>
    </row>
    <row r="15" spans="2:26">
      <c r="B15" s="229" t="s">
        <v>1098</v>
      </c>
      <c r="C15" s="96">
        <v>-237.74</v>
      </c>
      <c r="D15" s="63">
        <v>0</v>
      </c>
      <c r="O15" s="305" t="s">
        <v>1682</v>
      </c>
      <c r="P15" s="377">
        <v>22</v>
      </c>
      <c r="S15" s="295" t="s">
        <v>1578</v>
      </c>
      <c r="T15" s="320">
        <v>62987.44</v>
      </c>
      <c r="U15" s="469">
        <v>42750</v>
      </c>
    </row>
    <row r="16" spans="2:26">
      <c r="B16" s="229" t="s">
        <v>1895</v>
      </c>
      <c r="C16" s="96">
        <v>-113</v>
      </c>
      <c r="D16" s="63">
        <v>0</v>
      </c>
      <c r="F16" s="199"/>
      <c r="G16" s="199"/>
      <c r="L16" s="193"/>
      <c r="O16" s="305" t="s">
        <v>1896</v>
      </c>
      <c r="P16" s="305">
        <v>0</v>
      </c>
      <c r="S16" s="295" t="s">
        <v>1579</v>
      </c>
      <c r="T16" s="321">
        <v>23620.7</v>
      </c>
      <c r="U16" s="491">
        <v>42576.160000000003</v>
      </c>
    </row>
    <row r="17" spans="2:21" ht="15.75" thickBot="1">
      <c r="B17" s="229" t="s">
        <v>65</v>
      </c>
      <c r="C17" s="96">
        <v>-600</v>
      </c>
      <c r="D17" s="63">
        <v>0</v>
      </c>
      <c r="L17" s="193"/>
      <c r="O17" s="328" t="s">
        <v>1449</v>
      </c>
      <c r="P17" s="329">
        <f>(P13*P14*P15)-P16</f>
        <v>167.2</v>
      </c>
    </row>
    <row r="18" spans="2:21" ht="15.75" thickTop="1">
      <c r="B18" s="229" t="s">
        <v>1069</v>
      </c>
      <c r="C18" s="96">
        <v>-1207.1400000000001</v>
      </c>
      <c r="D18" s="63">
        <v>0</v>
      </c>
      <c r="E18" s="143"/>
      <c r="F18" s="199"/>
      <c r="G18" s="199"/>
      <c r="L18" s="193"/>
      <c r="S18" s="607" t="s">
        <v>1696</v>
      </c>
      <c r="T18" s="607"/>
      <c r="U18" s="607"/>
    </row>
    <row r="19" spans="2:21" ht="15">
      <c r="B19" s="518" t="s">
        <v>1950</v>
      </c>
      <c r="C19" s="519">
        <v>-12</v>
      </c>
      <c r="D19" s="63">
        <v>0</v>
      </c>
      <c r="L19" s="193"/>
      <c r="O19" s="597" t="s">
        <v>1162</v>
      </c>
      <c r="P19" s="598"/>
      <c r="S19" s="295" t="s">
        <v>1575</v>
      </c>
      <c r="T19" s="297">
        <v>18767.79</v>
      </c>
      <c r="U19" s="403">
        <v>8.5000000000000006E-2</v>
      </c>
    </row>
    <row r="20" spans="2:21">
      <c r="B20" s="229" t="s">
        <v>1242</v>
      </c>
      <c r="C20" s="96">
        <v>-650</v>
      </c>
      <c r="D20" s="63">
        <v>0</v>
      </c>
      <c r="L20" s="193"/>
      <c r="O20" t="s">
        <v>1169</v>
      </c>
      <c r="P20" s="299">
        <v>2477</v>
      </c>
      <c r="S20" s="295" t="s">
        <v>1576</v>
      </c>
      <c r="T20" s="297">
        <v>19143.14</v>
      </c>
      <c r="U20" s="403">
        <v>2.1700000000000001E-2</v>
      </c>
    </row>
    <row r="21" spans="2:21">
      <c r="B21" s="229" t="s">
        <v>1266</v>
      </c>
      <c r="C21" s="96">
        <v>-1856.81</v>
      </c>
      <c r="D21" s="63">
        <v>0</v>
      </c>
      <c r="L21" s="193"/>
      <c r="O21" t="s">
        <v>1319</v>
      </c>
      <c r="P21" s="302">
        <v>521</v>
      </c>
      <c r="T21" s="193"/>
    </row>
    <row r="22" spans="2:21" ht="15">
      <c r="B22" s="485" t="s">
        <v>1329</v>
      </c>
      <c r="C22" s="483">
        <v>-144.1</v>
      </c>
      <c r="D22" s="63">
        <v>0</v>
      </c>
      <c r="O22" t="s">
        <v>1172</v>
      </c>
      <c r="P22" s="301">
        <v>9.9999999999999995E-7</v>
      </c>
      <c r="S22" s="599" t="s">
        <v>1574</v>
      </c>
      <c r="T22" s="599"/>
      <c r="U22" s="599"/>
    </row>
    <row r="23" spans="2:21">
      <c r="B23" s="475" t="s">
        <v>1445</v>
      </c>
      <c r="C23" s="476">
        <v>-951.61</v>
      </c>
      <c r="D23" s="63">
        <v>0</v>
      </c>
      <c r="H23" s="298">
        <v>51314.66</v>
      </c>
      <c r="O23" t="s">
        <v>1173</v>
      </c>
      <c r="P23" s="300">
        <f>P21*P22</f>
        <v>5.2099999999999998E-4</v>
      </c>
      <c r="S23" s="295" t="s">
        <v>102</v>
      </c>
      <c r="T23" s="318">
        <f>K8+G12</f>
        <v>21783.719999999998</v>
      </c>
    </row>
    <row r="24" spans="2:21" ht="15.75" thickBot="1">
      <c r="B24" s="229" t="s">
        <v>106</v>
      </c>
      <c r="C24" s="243">
        <v>-3553.25</v>
      </c>
      <c r="D24" s="63">
        <v>0</v>
      </c>
      <c r="O24" s="328" t="s">
        <v>1174</v>
      </c>
      <c r="P24" s="329">
        <f>P20*P23</f>
        <v>1.2905169999999999</v>
      </c>
      <c r="S24" s="295" t="s">
        <v>1777</v>
      </c>
      <c r="T24" s="318">
        <v>0</v>
      </c>
    </row>
    <row r="25" spans="2:21" ht="13.5" thickTop="1">
      <c r="B25" s="229" t="s">
        <v>125</v>
      </c>
      <c r="C25" s="96">
        <f>-3900+1700</f>
        <v>-2200</v>
      </c>
      <c r="D25" s="63">
        <v>0</v>
      </c>
      <c r="S25" s="295" t="s">
        <v>1779</v>
      </c>
      <c r="T25" s="318">
        <v>0</v>
      </c>
    </row>
    <row r="26" spans="2:21">
      <c r="B26" s="521" t="s">
        <v>1121</v>
      </c>
      <c r="C26" s="522">
        <v>-181.36</v>
      </c>
      <c r="D26" s="190">
        <f t="shared" ref="D26" si="0">C26</f>
        <v>-181.36</v>
      </c>
      <c r="S26" s="295" t="s">
        <v>1778</v>
      </c>
      <c r="T26" s="318">
        <f>T12</f>
        <v>2038.2601164383564</v>
      </c>
    </row>
    <row r="27" spans="2:21">
      <c r="B27" s="521" t="s">
        <v>1247</v>
      </c>
      <c r="C27" s="522">
        <v>2722.43</v>
      </c>
      <c r="D27" s="63">
        <v>0</v>
      </c>
      <c r="S27" s="295" t="s">
        <v>602</v>
      </c>
      <c r="T27" s="318">
        <v>0</v>
      </c>
    </row>
    <row r="28" spans="2:21">
      <c r="B28" s="521" t="s">
        <v>1202</v>
      </c>
      <c r="C28" s="522">
        <v>489.5</v>
      </c>
      <c r="D28" s="63">
        <v>0</v>
      </c>
      <c r="S28" s="295" t="s">
        <v>429</v>
      </c>
      <c r="T28" s="318">
        <v>4500</v>
      </c>
    </row>
    <row r="29" spans="2:21" ht="15.75" thickBot="1">
      <c r="B29" s="229" t="s">
        <v>1866</v>
      </c>
      <c r="C29" s="526">
        <v>272.33</v>
      </c>
      <c r="D29" s="63">
        <v>0</v>
      </c>
      <c r="S29" s="357" t="s">
        <v>1449</v>
      </c>
      <c r="T29" s="358">
        <f>SUM(T23:T28)</f>
        <v>28321.980116438353</v>
      </c>
    </row>
    <row r="30" spans="2:21" ht="16.5" thickTop="1">
      <c r="B30" s="229" t="s">
        <v>73</v>
      </c>
      <c r="C30" s="96">
        <v>-228.5</v>
      </c>
      <c r="D30" s="63">
        <v>0</v>
      </c>
      <c r="S30" s="315" t="s">
        <v>1568</v>
      </c>
      <c r="T30" s="316">
        <v>55000</v>
      </c>
    </row>
    <row r="31" spans="2:21" ht="18">
      <c r="B31" s="229" t="s">
        <v>1371</v>
      </c>
      <c r="C31" s="417">
        <v>-58.38</v>
      </c>
      <c r="D31" s="63">
        <v>0</v>
      </c>
      <c r="S31" s="412" t="s">
        <v>1709</v>
      </c>
      <c r="T31" s="410">
        <f>T29-T30</f>
        <v>-26678.019883561647</v>
      </c>
    </row>
    <row r="32" spans="2:21" ht="18">
      <c r="B32" s="229" t="s">
        <v>1249</v>
      </c>
      <c r="C32" s="96">
        <v>-805.62</v>
      </c>
      <c r="D32" s="63">
        <v>0</v>
      </c>
      <c r="E32" s="211"/>
    </row>
    <row r="33" spans="2:4" ht="18">
      <c r="B33" s="74" t="s">
        <v>1580</v>
      </c>
      <c r="C33" s="188"/>
      <c r="D33" s="241">
        <f>SUM(D4:D32)</f>
        <v>-99.490000000000009</v>
      </c>
    </row>
    <row r="35" spans="2:4">
      <c r="B35" s="512" t="s">
        <v>1934</v>
      </c>
      <c r="C35" s="96">
        <v>-1700</v>
      </c>
    </row>
  </sheetData>
  <mergeCells count="13">
    <mergeCell ref="S22:U22"/>
    <mergeCell ref="W4:X4"/>
    <mergeCell ref="S8:T8"/>
    <mergeCell ref="F2:H2"/>
    <mergeCell ref="J2:M2"/>
    <mergeCell ref="O2:P2"/>
    <mergeCell ref="S2:U2"/>
    <mergeCell ref="S18:U18"/>
    <mergeCell ref="W2:Z2"/>
    <mergeCell ref="W3:X3"/>
    <mergeCell ref="O11:P11"/>
    <mergeCell ref="S14:T14"/>
    <mergeCell ref="O19:P19"/>
  </mergeCells>
  <conditionalFormatting sqref="T31 D4:D7">
    <cfRule type="cellIs" dxfId="29" priority="4" stopIfTrue="1" operator="lessThan">
      <formula>0</formula>
    </cfRule>
  </conditionalFormatting>
  <conditionalFormatting sqref="D26">
    <cfRule type="cellIs" dxfId="28" priority="3" stopIfTrue="1" operator="greaterThan">
      <formula>0</formula>
    </cfRule>
  </conditionalFormatting>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sheetPr>
    <pageSetUpPr autoPageBreaks="0"/>
  </sheetPr>
  <dimension ref="B2:H22"/>
  <sheetViews>
    <sheetView showGridLines="0" workbookViewId="0">
      <selection activeCell="B6" activeCellId="1" sqref="G13 B6"/>
    </sheetView>
  </sheetViews>
  <sheetFormatPr defaultColWidth="8.85546875" defaultRowHeight="12.75"/>
  <cols>
    <col min="2" max="2" width="30.42578125" customWidth="1"/>
    <col min="3" max="3" width="21.42578125" customWidth="1"/>
    <col min="4" max="4" width="14.140625" customWidth="1"/>
    <col min="5" max="5" width="11" customWidth="1"/>
    <col min="6" max="6" width="4.42578125" customWidth="1"/>
    <col min="7" max="7" width="18" customWidth="1"/>
    <col min="8" max="8" width="13.28515625" customWidth="1"/>
  </cols>
  <sheetData>
    <row r="2" spans="2:8" ht="18">
      <c r="B2" s="579" t="s">
        <v>0</v>
      </c>
      <c r="C2" s="579"/>
      <c r="D2" s="82" t="s">
        <v>1</v>
      </c>
      <c r="E2" s="82" t="s">
        <v>57</v>
      </c>
      <c r="G2" s="84" t="s">
        <v>112</v>
      </c>
      <c r="H2" s="84" t="s">
        <v>1</v>
      </c>
    </row>
    <row r="3" spans="2:8">
      <c r="B3" s="62" t="s">
        <v>7</v>
      </c>
      <c r="C3" s="62">
        <v>-17.86</v>
      </c>
      <c r="D3" s="61"/>
      <c r="E3" s="61"/>
      <c r="G3" s="10">
        <v>11611.31</v>
      </c>
      <c r="H3" s="16">
        <v>39141</v>
      </c>
    </row>
    <row r="4" spans="2:8">
      <c r="B4" s="62" t="s">
        <v>11</v>
      </c>
      <c r="C4" s="62">
        <v>-576.76</v>
      </c>
      <c r="D4" s="61"/>
      <c r="E4" s="61"/>
      <c r="G4" s="10">
        <v>11612.95</v>
      </c>
      <c r="H4" s="16">
        <v>39142</v>
      </c>
    </row>
    <row r="5" spans="2:8" ht="12" customHeight="1">
      <c r="B5" s="71" t="s">
        <v>56</v>
      </c>
      <c r="C5" s="71">
        <v>7.77</v>
      </c>
      <c r="D5" s="72"/>
      <c r="E5" s="72"/>
      <c r="G5" s="10">
        <v>11814.65</v>
      </c>
      <c r="H5" s="16">
        <v>39143</v>
      </c>
    </row>
    <row r="6" spans="2:8" ht="12" customHeight="1">
      <c r="B6" s="63" t="s">
        <v>69</v>
      </c>
      <c r="C6" s="63">
        <v>0</v>
      </c>
      <c r="D6" s="64"/>
      <c r="E6" s="64"/>
      <c r="G6" s="10">
        <v>11837.39</v>
      </c>
      <c r="H6" s="16">
        <v>39146</v>
      </c>
    </row>
    <row r="7" spans="2:8" ht="12" customHeight="1">
      <c r="B7" s="63" t="s">
        <v>83</v>
      </c>
      <c r="C7" s="63">
        <v>0</v>
      </c>
      <c r="D7" s="64"/>
      <c r="E7" s="64" t="s">
        <v>58</v>
      </c>
      <c r="G7" s="10">
        <v>11839</v>
      </c>
      <c r="H7" s="16">
        <v>39147</v>
      </c>
    </row>
    <row r="8" spans="2:8" ht="12" customHeight="1">
      <c r="B8" s="63" t="s">
        <v>65</v>
      </c>
      <c r="C8" s="63">
        <v>0</v>
      </c>
      <c r="D8" s="64"/>
      <c r="E8" s="64" t="s">
        <v>58</v>
      </c>
      <c r="G8" s="10">
        <v>11826.25</v>
      </c>
      <c r="H8" s="16">
        <v>39148</v>
      </c>
    </row>
    <row r="9" spans="2:8">
      <c r="B9" s="63" t="s">
        <v>123</v>
      </c>
      <c r="C9" s="63">
        <v>0</v>
      </c>
      <c r="D9" s="64">
        <v>39142</v>
      </c>
      <c r="E9" s="64" t="s">
        <v>58</v>
      </c>
      <c r="G9" s="10">
        <v>11829.36</v>
      </c>
      <c r="H9" s="16">
        <v>39149</v>
      </c>
    </row>
    <row r="10" spans="2:8">
      <c r="B10" s="63" t="s">
        <v>110</v>
      </c>
      <c r="C10" s="63">
        <v>0</v>
      </c>
      <c r="D10" s="64">
        <v>39142</v>
      </c>
      <c r="E10" s="64" t="s">
        <v>58</v>
      </c>
      <c r="G10" s="10">
        <v>11833.36</v>
      </c>
      <c r="H10" s="16">
        <v>39150</v>
      </c>
    </row>
    <row r="11" spans="2:8">
      <c r="B11" s="63" t="s">
        <v>28</v>
      </c>
      <c r="C11" s="63">
        <v>0</v>
      </c>
      <c r="D11" s="64">
        <v>39146</v>
      </c>
      <c r="E11" s="64" t="s">
        <v>58</v>
      </c>
      <c r="G11" s="10">
        <v>11835.21</v>
      </c>
      <c r="H11" s="16">
        <v>39153</v>
      </c>
    </row>
    <row r="12" spans="2:8">
      <c r="B12" s="63" t="s">
        <v>103</v>
      </c>
      <c r="C12" s="63">
        <v>0</v>
      </c>
      <c r="D12" s="64">
        <v>39142</v>
      </c>
      <c r="E12" s="64" t="s">
        <v>58</v>
      </c>
      <c r="G12" s="10">
        <v>11838.04</v>
      </c>
      <c r="H12" s="16">
        <v>39154</v>
      </c>
    </row>
    <row r="13" spans="2:8">
      <c r="B13" s="63" t="s">
        <v>124</v>
      </c>
      <c r="C13" s="63">
        <v>0</v>
      </c>
      <c r="D13" s="64">
        <v>39158</v>
      </c>
      <c r="E13" s="64" t="s">
        <v>58</v>
      </c>
      <c r="G13" s="10">
        <v>11843.27</v>
      </c>
      <c r="H13" s="16">
        <v>39155</v>
      </c>
    </row>
    <row r="14" spans="2:8">
      <c r="B14" s="71" t="s">
        <v>125</v>
      </c>
      <c r="C14" s="71">
        <v>0</v>
      </c>
      <c r="D14" s="72"/>
      <c r="E14" s="72"/>
      <c r="G14" s="10">
        <v>11845.19</v>
      </c>
      <c r="H14" s="16">
        <v>39156</v>
      </c>
    </row>
    <row r="15" spans="2:8">
      <c r="B15" s="63" t="s">
        <v>96</v>
      </c>
      <c r="C15" s="63">
        <v>0</v>
      </c>
      <c r="D15" s="64">
        <v>39145</v>
      </c>
      <c r="E15" s="64" t="s">
        <v>58</v>
      </c>
      <c r="G15" s="10">
        <v>11849.07</v>
      </c>
      <c r="H15" s="16">
        <v>39157</v>
      </c>
    </row>
    <row r="16" spans="2:8">
      <c r="B16" s="63" t="s">
        <v>29</v>
      </c>
      <c r="C16" s="63">
        <v>0</v>
      </c>
      <c r="D16" s="64">
        <v>39148</v>
      </c>
      <c r="E16" s="64" t="s">
        <v>58</v>
      </c>
      <c r="G16" s="10">
        <v>11859.8</v>
      </c>
      <c r="H16" s="16">
        <v>39162</v>
      </c>
    </row>
    <row r="17" spans="2:8">
      <c r="B17" s="63" t="s">
        <v>41</v>
      </c>
      <c r="C17" s="63">
        <v>0</v>
      </c>
      <c r="D17" s="64">
        <v>39152</v>
      </c>
      <c r="E17" s="64" t="s">
        <v>58</v>
      </c>
      <c r="G17" s="10">
        <v>11860.18</v>
      </c>
      <c r="H17" s="16">
        <v>39163</v>
      </c>
    </row>
    <row r="18" spans="2:8">
      <c r="B18" s="63" t="s">
        <v>98</v>
      </c>
      <c r="C18" s="63">
        <v>0</v>
      </c>
      <c r="D18" s="64">
        <v>39153</v>
      </c>
      <c r="E18" s="64" t="s">
        <v>58</v>
      </c>
      <c r="G18" s="10">
        <v>11863.37</v>
      </c>
      <c r="H18" s="16">
        <v>39164</v>
      </c>
    </row>
    <row r="19" spans="2:8">
      <c r="B19" s="71" t="s">
        <v>9</v>
      </c>
      <c r="C19" s="71">
        <v>0</v>
      </c>
      <c r="D19" s="72"/>
      <c r="E19" s="72"/>
      <c r="G19" s="10">
        <v>11866.63</v>
      </c>
      <c r="H19" s="16">
        <v>39167</v>
      </c>
    </row>
    <row r="20" spans="2:8">
      <c r="B20" s="63" t="s">
        <v>77</v>
      </c>
      <c r="C20" s="63">
        <v>0</v>
      </c>
      <c r="D20" s="64">
        <v>39161</v>
      </c>
      <c r="E20" s="64" t="s">
        <v>58</v>
      </c>
      <c r="G20" s="10">
        <v>11868.42</v>
      </c>
      <c r="H20" s="16">
        <v>39168</v>
      </c>
    </row>
    <row r="21" spans="2:8">
      <c r="B21" s="63" t="s">
        <v>122</v>
      </c>
      <c r="C21" s="63">
        <v>0</v>
      </c>
      <c r="D21" s="64">
        <v>39168</v>
      </c>
      <c r="E21" s="64" t="s">
        <v>58</v>
      </c>
    </row>
    <row r="22" spans="2:8" ht="18">
      <c r="B22" s="74" t="s">
        <v>21</v>
      </c>
      <c r="C22" s="74">
        <f>SUM(C3:C21)</f>
        <v>-586.85</v>
      </c>
      <c r="D22" s="75"/>
      <c r="E22" s="75"/>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40.xml><?xml version="1.0" encoding="utf-8"?>
<worksheet xmlns="http://schemas.openxmlformats.org/spreadsheetml/2006/main" xmlns:r="http://schemas.openxmlformats.org/officeDocument/2006/relationships">
  <dimension ref="B1:Q65"/>
  <sheetViews>
    <sheetView zoomScale="75" zoomScaleNormal="75" workbookViewId="0">
      <selection activeCell="E29" sqref="E29"/>
    </sheetView>
  </sheetViews>
  <sheetFormatPr defaultRowHeight="15"/>
  <cols>
    <col min="1" max="1" width="1" style="266" customWidth="1"/>
    <col min="2" max="2" width="45.140625" style="266" bestFit="1" customWidth="1"/>
    <col min="3" max="3" width="14" style="266" bestFit="1" customWidth="1"/>
    <col min="4" max="4" width="17.7109375" style="266" bestFit="1" customWidth="1"/>
    <col min="5" max="5" width="16.42578125" style="266" bestFit="1" customWidth="1"/>
    <col min="6" max="13" width="2.140625" style="266" customWidth="1"/>
    <col min="14" max="14" width="20" style="266" bestFit="1" customWidth="1"/>
    <col min="15" max="15" width="13.8554687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C55</f>
        <v>-11.2800000000002</v>
      </c>
      <c r="P3" s="418" t="s">
        <v>1513</v>
      </c>
      <c r="Q3" s="418" t="s">
        <v>1513</v>
      </c>
    </row>
    <row r="4" spans="2:17">
      <c r="B4" s="482" t="s">
        <v>1951</v>
      </c>
      <c r="C4" s="424">
        <v>99.9</v>
      </c>
      <c r="D4" s="429"/>
      <c r="E4" s="426"/>
      <c r="N4" s="513" t="s">
        <v>1478</v>
      </c>
      <c r="O4" s="424">
        <v>28.7</v>
      </c>
      <c r="P4" s="425"/>
      <c r="Q4" s="426"/>
    </row>
    <row r="5" spans="2:17">
      <c r="B5" s="482" t="s">
        <v>1930</v>
      </c>
      <c r="C5" s="424">
        <v>22.75</v>
      </c>
      <c r="D5" s="429"/>
      <c r="E5" s="426"/>
      <c r="N5" s="513" t="s">
        <v>1599</v>
      </c>
      <c r="O5" s="424">
        <v>22.9</v>
      </c>
      <c r="P5" s="425" t="s">
        <v>1456</v>
      </c>
      <c r="Q5" s="426"/>
    </row>
    <row r="6" spans="2:17">
      <c r="B6" s="482" t="s">
        <v>1931</v>
      </c>
      <c r="C6" s="424">
        <v>122.87</v>
      </c>
      <c r="D6" s="429"/>
      <c r="E6" s="426"/>
      <c r="N6" s="497" t="s">
        <v>1632</v>
      </c>
      <c r="O6" s="447">
        <v>14.9</v>
      </c>
      <c r="P6" s="449" t="s">
        <v>1456</v>
      </c>
      <c r="Q6" s="426"/>
    </row>
    <row r="7" spans="2:17">
      <c r="B7" s="482" t="s">
        <v>1583</v>
      </c>
      <c r="C7" s="424">
        <v>11.66</v>
      </c>
      <c r="D7" s="429"/>
      <c r="E7" s="426"/>
      <c r="N7" s="513" t="s">
        <v>1935</v>
      </c>
      <c r="O7" s="424">
        <v>29.4</v>
      </c>
      <c r="P7" s="425"/>
      <c r="Q7" s="426"/>
    </row>
    <row r="8" spans="2:17">
      <c r="B8" s="482" t="s">
        <v>1812</v>
      </c>
      <c r="C8" s="424">
        <v>89</v>
      </c>
      <c r="D8" s="429"/>
      <c r="E8" s="426"/>
      <c r="N8" s="516" t="s">
        <v>1936</v>
      </c>
      <c r="O8" s="424">
        <v>10.8</v>
      </c>
      <c r="P8" s="425"/>
      <c r="Q8" s="426"/>
    </row>
    <row r="9" spans="2:17">
      <c r="B9" s="482" t="s">
        <v>1907</v>
      </c>
      <c r="C9" s="424">
        <v>25.9</v>
      </c>
      <c r="D9" s="429"/>
      <c r="E9" s="426"/>
      <c r="N9" s="517" t="s">
        <v>1451</v>
      </c>
      <c r="O9" s="424">
        <v>24.6</v>
      </c>
      <c r="P9" s="425"/>
      <c r="Q9" s="426"/>
    </row>
    <row r="10" spans="2:17">
      <c r="B10" s="482" t="s">
        <v>1932</v>
      </c>
      <c r="C10" s="424">
        <v>7.9</v>
      </c>
      <c r="D10" s="429"/>
      <c r="E10" s="426"/>
      <c r="N10" s="517" t="s">
        <v>1478</v>
      </c>
      <c r="O10" s="424">
        <v>21.19</v>
      </c>
      <c r="P10" s="425"/>
      <c r="Q10" s="426"/>
    </row>
    <row r="11" spans="2:17">
      <c r="B11" s="482" t="s">
        <v>1933</v>
      </c>
      <c r="C11" s="424">
        <v>31</v>
      </c>
      <c r="D11" s="429"/>
      <c r="E11" s="426"/>
      <c r="N11" s="517" t="s">
        <v>1943</v>
      </c>
      <c r="O11" s="424">
        <v>45</v>
      </c>
      <c r="P11" s="425"/>
      <c r="Q11" s="426"/>
    </row>
    <row r="12" spans="2:17">
      <c r="B12" s="482" t="s">
        <v>1475</v>
      </c>
      <c r="C12" s="424">
        <v>39</v>
      </c>
      <c r="D12" s="425"/>
      <c r="E12" s="426"/>
      <c r="N12" s="520" t="s">
        <v>1478</v>
      </c>
      <c r="O12" s="424">
        <v>14.87</v>
      </c>
      <c r="P12" s="425"/>
      <c r="Q12" s="426"/>
    </row>
    <row r="13" spans="2:17">
      <c r="B13" s="482" t="s">
        <v>1498</v>
      </c>
      <c r="C13" s="424">
        <v>10.56</v>
      </c>
      <c r="D13" s="425"/>
      <c r="E13" s="426"/>
      <c r="N13" s="525" t="s">
        <v>1478</v>
      </c>
      <c r="O13" s="424">
        <v>43.3</v>
      </c>
      <c r="P13" s="425"/>
      <c r="Q13" s="426"/>
    </row>
    <row r="14" spans="2:17">
      <c r="B14" s="482" t="s">
        <v>1498</v>
      </c>
      <c r="C14" s="424">
        <v>25.48</v>
      </c>
      <c r="D14" s="425"/>
      <c r="E14" s="426"/>
      <c r="N14" s="439" t="s">
        <v>1478</v>
      </c>
      <c r="O14" s="424">
        <v>7.15</v>
      </c>
      <c r="P14" s="425"/>
      <c r="Q14" s="426"/>
    </row>
    <row r="15" spans="2:17">
      <c r="B15" s="482" t="s">
        <v>1886</v>
      </c>
      <c r="C15" s="424">
        <v>26.07</v>
      </c>
      <c r="D15" s="425"/>
      <c r="E15" s="426"/>
      <c r="N15" s="439"/>
      <c r="O15" s="424"/>
      <c r="P15" s="425"/>
      <c r="Q15" s="426"/>
    </row>
    <row r="16" spans="2:17">
      <c r="B16" s="482" t="s">
        <v>1937</v>
      </c>
      <c r="C16" s="424">
        <v>12.8</v>
      </c>
      <c r="D16" s="429"/>
      <c r="E16" s="426"/>
      <c r="N16" s="439"/>
      <c r="O16" s="424"/>
      <c r="P16" s="425"/>
      <c r="Q16" s="426"/>
    </row>
    <row r="17" spans="2:17">
      <c r="B17" s="482" t="s">
        <v>1938</v>
      </c>
      <c r="C17" s="424">
        <v>28.61</v>
      </c>
      <c r="D17" s="429"/>
      <c r="E17" s="426"/>
      <c r="N17" s="497" t="s">
        <v>1894</v>
      </c>
      <c r="O17" s="447">
        <f>2028.52/4</f>
        <v>507.13</v>
      </c>
      <c r="P17" s="449"/>
      <c r="Q17" s="426"/>
    </row>
    <row r="18" spans="2:17" ht="16.5" thickBot="1">
      <c r="B18" s="482" t="s">
        <v>1939</v>
      </c>
      <c r="C18" s="424">
        <v>40</v>
      </c>
      <c r="D18" s="429"/>
      <c r="E18" s="426"/>
      <c r="N18" s="286" t="s">
        <v>1534</v>
      </c>
      <c r="O18" s="287">
        <f>O3-SUM(O4:O17)</f>
        <v>-781.22000000000025</v>
      </c>
      <c r="P18" s="286"/>
      <c r="Q18" s="286"/>
    </row>
    <row r="19" spans="2:17" ht="15.75" thickTop="1">
      <c r="B19" s="482" t="s">
        <v>1940</v>
      </c>
      <c r="C19" s="424">
        <v>182</v>
      </c>
      <c r="D19" s="429"/>
      <c r="E19" s="426"/>
      <c r="N19" s="266" t="s">
        <v>1584</v>
      </c>
      <c r="O19" s="270">
        <f>AVERAGE(O4:O12)</f>
        <v>23.595555555555556</v>
      </c>
    </row>
    <row r="20" spans="2:17">
      <c r="B20" s="482" t="s">
        <v>1941</v>
      </c>
      <c r="C20" s="424">
        <v>22</v>
      </c>
      <c r="D20" s="429"/>
      <c r="E20" s="426"/>
    </row>
    <row r="21" spans="2:17">
      <c r="B21" s="482" t="s">
        <v>1552</v>
      </c>
      <c r="C21" s="424">
        <v>38.89</v>
      </c>
      <c r="D21" s="429"/>
      <c r="E21" s="426"/>
      <c r="N21" s="603" t="s">
        <v>704</v>
      </c>
      <c r="O21" s="603"/>
      <c r="P21" s="349">
        <f>SUM(C4:C54)</f>
        <v>2811.28</v>
      </c>
    </row>
    <row r="22" spans="2:17">
      <c r="B22" s="482" t="s">
        <v>1544</v>
      </c>
      <c r="C22" s="424">
        <v>54.62</v>
      </c>
      <c r="D22" s="429"/>
      <c r="E22" s="426"/>
      <c r="N22" s="604" t="s">
        <v>1445</v>
      </c>
      <c r="O22" s="604"/>
      <c r="P22" s="349">
        <f>SUM(O4:O17)</f>
        <v>769.94</v>
      </c>
    </row>
    <row r="23" spans="2:17" ht="15.75" thickBot="1">
      <c r="B23" s="482" t="s">
        <v>1583</v>
      </c>
      <c r="C23" s="424">
        <v>15.5</v>
      </c>
      <c r="D23" s="429"/>
      <c r="E23" s="426"/>
      <c r="N23" s="590" t="s">
        <v>1629</v>
      </c>
      <c r="O23" s="590"/>
      <c r="P23" s="323">
        <f>SUM(P21:P22)</f>
        <v>3581.2200000000003</v>
      </c>
    </row>
    <row r="24" spans="2:17" ht="15.75" thickTop="1">
      <c r="B24" s="482" t="s">
        <v>1942</v>
      </c>
      <c r="C24" s="424">
        <v>92.48</v>
      </c>
      <c r="D24" s="429"/>
      <c r="E24" s="426"/>
    </row>
    <row r="25" spans="2:17">
      <c r="B25" s="482" t="s">
        <v>1492</v>
      </c>
      <c r="C25" s="424">
        <v>32</v>
      </c>
      <c r="D25" s="429"/>
      <c r="E25" s="426"/>
    </row>
    <row r="26" spans="2:17">
      <c r="B26" s="482" t="s">
        <v>1490</v>
      </c>
      <c r="C26" s="424">
        <v>133.25</v>
      </c>
      <c r="D26" s="429"/>
      <c r="E26" s="426"/>
    </row>
    <row r="27" spans="2:17">
      <c r="B27" s="482" t="s">
        <v>1881</v>
      </c>
      <c r="C27" s="424">
        <v>17.5</v>
      </c>
      <c r="D27" s="429"/>
      <c r="E27" s="426"/>
    </row>
    <row r="28" spans="2:17">
      <c r="B28" s="482" t="s">
        <v>1482</v>
      </c>
      <c r="C28" s="424">
        <v>18.77</v>
      </c>
      <c r="D28" s="429"/>
      <c r="E28" s="426"/>
    </row>
    <row r="29" spans="2:17">
      <c r="B29" s="482" t="s">
        <v>1944</v>
      </c>
      <c r="C29" s="424">
        <v>104.45</v>
      </c>
      <c r="D29" s="429"/>
      <c r="E29" s="426"/>
    </row>
    <row r="30" spans="2:17">
      <c r="B30" s="482" t="s">
        <v>1475</v>
      </c>
      <c r="C30" s="424">
        <v>39</v>
      </c>
      <c r="D30" s="429"/>
      <c r="E30" s="426"/>
    </row>
    <row r="31" spans="2:17">
      <c r="B31" s="482" t="s">
        <v>1945</v>
      </c>
      <c r="C31" s="424">
        <v>17.100000000000001</v>
      </c>
      <c r="D31" s="429"/>
      <c r="E31" s="426"/>
    </row>
    <row r="32" spans="2:17">
      <c r="B32" s="482" t="s">
        <v>1946</v>
      </c>
      <c r="C32" s="424">
        <v>23.98</v>
      </c>
      <c r="D32" s="429"/>
      <c r="E32" s="426"/>
    </row>
    <row r="33" spans="2:5">
      <c r="B33" s="482" t="s">
        <v>1947</v>
      </c>
      <c r="C33" s="424">
        <v>62</v>
      </c>
      <c r="D33" s="429"/>
      <c r="E33" s="426"/>
    </row>
    <row r="34" spans="2:5">
      <c r="B34" s="482" t="s">
        <v>1948</v>
      </c>
      <c r="C34" s="424">
        <v>179.51</v>
      </c>
      <c r="D34" s="429"/>
      <c r="E34" s="426"/>
    </row>
    <row r="35" spans="2:5">
      <c r="B35" s="482" t="s">
        <v>1482</v>
      </c>
      <c r="C35" s="424">
        <v>51.28</v>
      </c>
      <c r="D35" s="429"/>
      <c r="E35" s="426"/>
    </row>
    <row r="36" spans="2:5">
      <c r="B36" s="482" t="s">
        <v>1949</v>
      </c>
      <c r="C36" s="424">
        <v>205.92</v>
      </c>
      <c r="D36" s="429"/>
      <c r="E36" s="426"/>
    </row>
    <row r="37" spans="2:5">
      <c r="B37" s="482" t="s">
        <v>1954</v>
      </c>
      <c r="C37" s="424">
        <v>67.099999999999994</v>
      </c>
      <c r="D37" s="429"/>
      <c r="E37" s="426"/>
    </row>
    <row r="38" spans="2:5">
      <c r="B38" s="482" t="s">
        <v>1552</v>
      </c>
      <c r="C38" s="424">
        <v>11.57</v>
      </c>
      <c r="D38" s="429"/>
      <c r="E38" s="426"/>
    </row>
    <row r="39" spans="2:5">
      <c r="B39" s="482" t="s">
        <v>1702</v>
      </c>
      <c r="C39" s="424">
        <v>13.1</v>
      </c>
      <c r="D39" s="429"/>
      <c r="E39" s="426"/>
    </row>
    <row r="40" spans="2:5">
      <c r="B40" s="482" t="s">
        <v>1552</v>
      </c>
      <c r="C40" s="424">
        <v>24.64</v>
      </c>
      <c r="D40" s="429"/>
      <c r="E40" s="426"/>
    </row>
    <row r="41" spans="2:5">
      <c r="B41" s="482" t="s">
        <v>1955</v>
      </c>
      <c r="C41" s="424">
        <v>39</v>
      </c>
      <c r="D41" s="429"/>
      <c r="E41" s="426"/>
    </row>
    <row r="42" spans="2:5">
      <c r="B42" s="482" t="s">
        <v>1956</v>
      </c>
      <c r="C42" s="424">
        <v>133.1</v>
      </c>
      <c r="D42" s="429"/>
      <c r="E42" s="426"/>
    </row>
    <row r="43" spans="2:5">
      <c r="B43" s="482" t="s">
        <v>1481</v>
      </c>
      <c r="C43" s="424">
        <v>149.99</v>
      </c>
      <c r="D43" s="429"/>
      <c r="E43" s="426"/>
    </row>
    <row r="44" spans="2:5">
      <c r="B44" s="482" t="s">
        <v>1481</v>
      </c>
      <c r="C44" s="424">
        <v>25.96</v>
      </c>
      <c r="D44" s="429"/>
      <c r="E44" s="426"/>
    </row>
    <row r="45" spans="2:5">
      <c r="B45" s="482" t="s">
        <v>1482</v>
      </c>
      <c r="C45" s="424">
        <v>31.1</v>
      </c>
      <c r="D45" s="429"/>
      <c r="E45" s="426"/>
    </row>
    <row r="46" spans="2:5">
      <c r="B46" s="482" t="s">
        <v>1957</v>
      </c>
      <c r="C46" s="424">
        <v>41.62</v>
      </c>
      <c r="D46" s="429"/>
      <c r="E46" s="426"/>
    </row>
    <row r="47" spans="2:5">
      <c r="B47" s="482" t="s">
        <v>1958</v>
      </c>
      <c r="C47" s="424">
        <v>43.3</v>
      </c>
      <c r="D47" s="429"/>
      <c r="E47" s="426"/>
    </row>
    <row r="48" spans="2:5">
      <c r="B48" s="482" t="s">
        <v>1482</v>
      </c>
      <c r="C48" s="424">
        <v>47.94</v>
      </c>
      <c r="D48" s="429"/>
      <c r="E48" s="426"/>
    </row>
    <row r="49" spans="2:5">
      <c r="B49" s="482" t="s">
        <v>1959</v>
      </c>
      <c r="C49" s="424">
        <v>16.5</v>
      </c>
      <c r="D49" s="429"/>
      <c r="E49" s="426"/>
    </row>
    <row r="50" spans="2:5">
      <c r="B50" s="482" t="s">
        <v>1678</v>
      </c>
      <c r="C50" s="424">
        <v>90.31</v>
      </c>
      <c r="D50" s="429"/>
      <c r="E50" s="426"/>
    </row>
    <row r="51" spans="2:5">
      <c r="B51" s="482" t="s">
        <v>1960</v>
      </c>
      <c r="C51" s="424">
        <v>192.3</v>
      </c>
      <c r="D51" s="429"/>
      <c r="E51" s="426"/>
    </row>
    <row r="52" spans="2:5">
      <c r="B52" s="451"/>
      <c r="C52" s="424"/>
      <c r="D52" s="429"/>
      <c r="E52" s="426"/>
    </row>
    <row r="53" spans="2:5">
      <c r="B53" s="451"/>
      <c r="C53" s="424"/>
      <c r="D53" s="429"/>
      <c r="E53" s="426"/>
    </row>
    <row r="54" spans="2:5">
      <c r="B54" s="451"/>
      <c r="C54" s="424"/>
      <c r="D54" s="429"/>
      <c r="E54" s="426"/>
    </row>
    <row r="55" spans="2:5" ht="16.5" thickBot="1">
      <c r="B55" s="286" t="s">
        <v>1459</v>
      </c>
      <c r="C55" s="287">
        <f>C3-SUM(C4:C54)</f>
        <v>-11.2800000000002</v>
      </c>
      <c r="D55" s="286"/>
      <c r="E55" s="286"/>
    </row>
    <row r="56" spans="2:5" ht="15.75" thickTop="1">
      <c r="B56" s="266" t="s">
        <v>1584</v>
      </c>
      <c r="C56" s="270">
        <f>AVERAGE(C4:C54)</f>
        <v>58.568333333333335</v>
      </c>
    </row>
    <row r="57" spans="2:5">
      <c r="C57" s="270"/>
    </row>
    <row r="58" spans="2:5">
      <c r="D58" s="266" t="s">
        <v>1458</v>
      </c>
      <c r="E58" s="269" t="s">
        <v>1457</v>
      </c>
    </row>
    <row r="59" spans="2:5">
      <c r="D59" s="266" t="s">
        <v>1456</v>
      </c>
      <c r="E59" s="268" t="s">
        <v>1455</v>
      </c>
    </row>
    <row r="60" spans="2:5">
      <c r="D60" s="266" t="s">
        <v>38</v>
      </c>
      <c r="E60" s="267" t="s">
        <v>1454</v>
      </c>
    </row>
    <row r="61" spans="2:5">
      <c r="D61" s="266" t="s">
        <v>1453</v>
      </c>
    </row>
    <row r="62" spans="2:5">
      <c r="D62" s="266" t="s">
        <v>1452</v>
      </c>
    </row>
    <row r="63" spans="2:5">
      <c r="D63" s="266" t="s">
        <v>17</v>
      </c>
    </row>
    <row r="64" spans="2:5">
      <c r="D64" s="266" t="s">
        <v>1451</v>
      </c>
    </row>
    <row r="65" spans="4:4">
      <c r="D65" s="266" t="s">
        <v>1450</v>
      </c>
    </row>
  </sheetData>
  <mergeCells count="5">
    <mergeCell ref="B1:E1"/>
    <mergeCell ref="N1:Q1"/>
    <mergeCell ref="N21:O21"/>
    <mergeCell ref="N22:O22"/>
    <mergeCell ref="N23:O23"/>
  </mergeCells>
  <conditionalFormatting sqref="Q4:Q17 E4:E54">
    <cfRule type="containsText" dxfId="23" priority="7" stopIfTrue="1" operator="containsText" text="Necessário">
      <formula>NOT(ISERROR(SEARCH("Necessário",E4)))</formula>
    </cfRule>
  </conditionalFormatting>
  <conditionalFormatting sqref="Q4:Q17 E4:E54">
    <cfRule type="containsText" dxfId="22" priority="6" stopIfTrue="1" operator="containsText" text="Frívolo">
      <formula>NOT(ISERROR(SEARCH("Frívolo",E4)))</formula>
    </cfRule>
  </conditionalFormatting>
  <conditionalFormatting sqref="C57">
    <cfRule type="dataBar" priority="5">
      <dataBar>
        <cfvo type="min" val="0"/>
        <cfvo type="max" val="0"/>
        <color rgb="FF638EC6"/>
      </dataBar>
    </cfRule>
  </conditionalFormatting>
  <conditionalFormatting sqref="C56">
    <cfRule type="dataBar" priority="4">
      <dataBar>
        <cfvo type="min" val="0"/>
        <cfvo type="max" val="0"/>
        <color rgb="FF638EC6"/>
      </dataBar>
    </cfRule>
  </conditionalFormatting>
  <conditionalFormatting sqref="O19">
    <cfRule type="dataBar" priority="3">
      <dataBar>
        <cfvo type="min" val="0"/>
        <cfvo type="max" val="0"/>
        <color rgb="FF638EC6"/>
      </dataBar>
    </cfRule>
  </conditionalFormatting>
  <dataValidations count="2">
    <dataValidation type="list" allowBlank="1" showInputMessage="1" showErrorMessage="1" sqref="P4:P17 D4:D54">
      <formula1>$D$58:$D$65</formula1>
    </dataValidation>
    <dataValidation type="list" allowBlank="1" showInputMessage="1" showErrorMessage="1" sqref="K5:L6 F5:F6 Q4:Q17 E4:E54">
      <formula1>$E$58:$E$60</formula1>
    </dataValidation>
  </dataValidations>
  <pageMargins left="0.511811024" right="0.511811024" top="0.78740157499999996" bottom="0.78740157499999996" header="0.31496062000000002" footer="0.31496062000000002"/>
  <pageSetup paperSize="9" orientation="portrait" r:id="rId1"/>
</worksheet>
</file>

<file path=xl/worksheets/sheet141.xml><?xml version="1.0" encoding="utf-8"?>
<worksheet xmlns="http://schemas.openxmlformats.org/spreadsheetml/2006/main" xmlns:r="http://schemas.openxmlformats.org/officeDocument/2006/relationships">
  <dimension ref="B2:Z39"/>
  <sheetViews>
    <sheetView topLeftCell="A7" zoomScale="75" zoomScaleNormal="75" workbookViewId="0">
      <selection activeCell="F20" sqref="F20:G25"/>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1.140625" customWidth="1"/>
    <col min="7" max="7" width="16" bestFit="1" customWidth="1"/>
    <col min="8" max="8" width="11.140625" bestFit="1" customWidth="1"/>
    <col min="9" max="9" width="1.85546875" customWidth="1"/>
    <col min="10" max="10" width="20.140625" customWidth="1"/>
    <col min="11" max="11" width="14.7109375" bestFit="1" customWidth="1"/>
    <col min="12" max="12" width="13.28515625" bestFit="1" customWidth="1"/>
    <col min="13" max="13" width="13.5703125" bestFit="1" customWidth="1"/>
    <col min="14" max="14" width="1.140625" customWidth="1"/>
    <col min="15" max="15" width="13.140625" customWidth="1"/>
    <col min="16" max="16" width="16" customWidth="1"/>
    <col min="17" max="17" width="0.85546875" customWidth="1"/>
    <col min="18" max="18" width="0.7109375" customWidth="1"/>
    <col min="19" max="19" width="14.28515625" bestFit="1" customWidth="1"/>
    <col min="20" max="20" width="20" bestFit="1" customWidth="1"/>
    <col min="21" max="21" width="15.42578125" bestFit="1" customWidth="1"/>
    <col min="22" max="22" width="1.5703125" customWidth="1"/>
    <col min="23" max="24" width="15.5703125" bestFit="1" customWidth="1"/>
    <col min="25" max="25" width="12.85546875" bestFit="1" customWidth="1"/>
    <col min="26" max="26" width="12.5703125" bestFit="1" customWidth="1"/>
    <col min="27" max="27" width="13.28515625" bestFit="1" customWidth="1"/>
    <col min="28" max="28" width="14" bestFit="1" customWidth="1"/>
    <col min="29" max="29" width="14.42578125" bestFit="1" customWidth="1"/>
    <col min="30" max="31" width="12.85546875" bestFit="1" customWidth="1"/>
  </cols>
  <sheetData>
    <row r="2" spans="2:26" ht="23.25">
      <c r="B2" s="236" t="s">
        <v>1401</v>
      </c>
      <c r="C2" s="237" t="s">
        <v>1402</v>
      </c>
      <c r="D2" s="238" t="s">
        <v>1554</v>
      </c>
      <c r="F2" s="593" t="s">
        <v>1557</v>
      </c>
      <c r="G2" s="593"/>
      <c r="H2" s="593"/>
      <c r="J2" s="606" t="s">
        <v>1111</v>
      </c>
      <c r="K2" s="606"/>
      <c r="L2" s="606"/>
      <c r="M2" s="606"/>
      <c r="O2" s="594" t="s">
        <v>1667</v>
      </c>
      <c r="P2" s="594"/>
      <c r="S2" s="595" t="s">
        <v>1558</v>
      </c>
      <c r="T2" s="595"/>
      <c r="U2" s="595"/>
      <c r="W2" s="602" t="s">
        <v>1073</v>
      </c>
      <c r="X2" s="602"/>
      <c r="Y2" s="602"/>
      <c r="Z2" s="602"/>
    </row>
    <row r="3" spans="2:26" ht="18">
      <c r="B3" s="227" t="s">
        <v>135</v>
      </c>
      <c r="C3" s="224"/>
      <c r="D3" s="527" t="s">
        <v>0</v>
      </c>
      <c r="F3" s="528" t="s">
        <v>1577</v>
      </c>
      <c r="G3" s="528" t="s">
        <v>1143</v>
      </c>
      <c r="H3" s="528" t="s">
        <v>1631</v>
      </c>
      <c r="J3" s="389" t="s">
        <v>1687</v>
      </c>
      <c r="K3" s="389" t="s">
        <v>219</v>
      </c>
      <c r="L3" s="389" t="s">
        <v>1692</v>
      </c>
      <c r="M3" s="389" t="s">
        <v>1693</v>
      </c>
      <c r="O3" s="529" t="s">
        <v>1577</v>
      </c>
      <c r="P3" s="529" t="s">
        <v>1143</v>
      </c>
      <c r="S3" s="322" t="s">
        <v>1249</v>
      </c>
      <c r="T3" s="322" t="s">
        <v>646</v>
      </c>
      <c r="U3" s="322" t="s">
        <v>1913</v>
      </c>
      <c r="W3" s="591" t="s">
        <v>1591</v>
      </c>
      <c r="X3" s="591"/>
      <c r="Y3" s="295">
        <v>60</v>
      </c>
      <c r="Z3" s="295"/>
    </row>
    <row r="4" spans="2:26" ht="18" customHeight="1">
      <c r="B4" s="228" t="s">
        <v>7</v>
      </c>
      <c r="C4" s="191"/>
      <c r="D4" s="95">
        <v>-1703.36</v>
      </c>
      <c r="F4" s="111"/>
      <c r="G4" s="111"/>
      <c r="H4" s="348"/>
      <c r="J4" s="383" t="s">
        <v>1684</v>
      </c>
      <c r="K4" s="387">
        <v>0</v>
      </c>
      <c r="L4" s="392"/>
      <c r="M4" s="199"/>
      <c r="O4" s="531" t="s">
        <v>927</v>
      </c>
      <c r="P4" s="532">
        <f>876.61-3</f>
        <v>873.61</v>
      </c>
      <c r="S4" s="295" t="s">
        <v>1308</v>
      </c>
      <c r="T4" s="298">
        <v>20525.400000000001</v>
      </c>
      <c r="U4" s="297">
        <f>T4*(1-15%)</f>
        <v>17446.59</v>
      </c>
      <c r="W4" s="591" t="s">
        <v>1592</v>
      </c>
      <c r="X4" s="591"/>
      <c r="Y4" s="295">
        <f>Y3/12</f>
        <v>5</v>
      </c>
      <c r="Z4" s="295"/>
    </row>
    <row r="5" spans="2:26" ht="17.25" customHeight="1">
      <c r="B5" s="228" t="s">
        <v>927</v>
      </c>
      <c r="C5" s="91">
        <f>P4</f>
        <v>873.61</v>
      </c>
      <c r="D5" s="95">
        <v>0</v>
      </c>
      <c r="F5" s="111"/>
      <c r="G5" s="111"/>
      <c r="H5" s="348"/>
      <c r="J5" s="390" t="s">
        <v>1685</v>
      </c>
      <c r="K5" s="411">
        <v>0</v>
      </c>
      <c r="L5" s="404"/>
      <c r="M5" s="405"/>
      <c r="O5" s="305"/>
      <c r="P5" s="306"/>
      <c r="S5" s="295" t="s">
        <v>1309</v>
      </c>
      <c r="T5" s="298">
        <v>52153.06</v>
      </c>
      <c r="U5" s="297">
        <f>T5*(1-15%)</f>
        <v>44330.100999999995</v>
      </c>
      <c r="W5" s="295"/>
      <c r="X5" s="295" t="s">
        <v>1588</v>
      </c>
      <c r="Y5" s="295" t="s">
        <v>1589</v>
      </c>
      <c r="Z5" s="295" t="s">
        <v>21</v>
      </c>
    </row>
    <row r="6" spans="2:26" ht="15.75" thickBot="1">
      <c r="B6" s="228" t="s">
        <v>5</v>
      </c>
      <c r="C6" s="91">
        <f>14263.14+187.68</f>
        <v>14450.82</v>
      </c>
      <c r="D6" s="95">
        <v>0</v>
      </c>
      <c r="F6" s="111"/>
      <c r="G6" s="111"/>
      <c r="H6" s="348"/>
      <c r="J6" s="383" t="s">
        <v>1686</v>
      </c>
      <c r="K6" s="387">
        <v>6749.97</v>
      </c>
      <c r="L6" s="392"/>
      <c r="M6" s="199"/>
      <c r="O6" s="531" t="s">
        <v>1331</v>
      </c>
      <c r="P6" s="532">
        <v>750</v>
      </c>
      <c r="S6" s="215" t="s">
        <v>45</v>
      </c>
      <c r="T6" s="329">
        <f>SUM(T4:T5)</f>
        <v>72678.459999999992</v>
      </c>
      <c r="U6" s="215">
        <f>SUM(U4:U5)</f>
        <v>61776.690999999992</v>
      </c>
      <c r="W6" s="295" t="s">
        <v>1126</v>
      </c>
      <c r="X6" s="332">
        <v>40885</v>
      </c>
      <c r="Y6" s="333">
        <f ca="1">TODAY()</f>
        <v>42744</v>
      </c>
      <c r="Z6" s="295">
        <f ca="1">((YEAR(X6)-YEAR(Y6))*12+MONTH(X6)-MONTH(Y6))*-1</f>
        <v>61</v>
      </c>
    </row>
    <row r="7" spans="2:26" ht="13.5" thickTop="1">
      <c r="B7" s="229" t="s">
        <v>122</v>
      </c>
      <c r="C7" s="96">
        <v>-222.98</v>
      </c>
      <c r="D7" s="63">
        <v>0</v>
      </c>
      <c r="F7" s="111"/>
      <c r="G7" s="111"/>
      <c r="H7" s="348"/>
      <c r="J7" s="390" t="s">
        <v>1277</v>
      </c>
      <c r="K7" s="391">
        <v>0</v>
      </c>
      <c r="L7" s="404"/>
      <c r="M7" s="405"/>
      <c r="O7" s="305" t="s">
        <v>1879</v>
      </c>
      <c r="P7" s="306">
        <v>139.25</v>
      </c>
      <c r="W7" s="295" t="s">
        <v>1590</v>
      </c>
      <c r="X7" s="332">
        <v>41578</v>
      </c>
      <c r="Y7" s="333">
        <f ca="1">TODAY()</f>
        <v>42744</v>
      </c>
      <c r="Z7" s="295">
        <f ca="1">((YEAR(X7)-YEAR(Y7))*12+MONTH(X7)-MONTH(Y7))*-1</f>
        <v>39</v>
      </c>
    </row>
    <row r="8" spans="2:26" ht="15.75">
      <c r="B8" s="229" t="s">
        <v>1339</v>
      </c>
      <c r="C8" s="96">
        <f>-1015.26</f>
        <v>-1015.26</v>
      </c>
      <c r="D8" s="63">
        <v>0</v>
      </c>
      <c r="F8" s="111"/>
      <c r="G8" s="111"/>
      <c r="H8" s="348"/>
      <c r="J8" s="395" t="s">
        <v>45</v>
      </c>
      <c r="K8" s="397">
        <f>SUM(K4:K7)</f>
        <v>6749.97</v>
      </c>
      <c r="L8" s="398"/>
      <c r="M8" s="397"/>
      <c r="O8" s="305"/>
      <c r="P8" s="306"/>
      <c r="S8" s="596" t="s">
        <v>1560</v>
      </c>
      <c r="T8" s="596"/>
    </row>
    <row r="9" spans="2:26" ht="15.75" thickBot="1">
      <c r="B9" s="242" t="s">
        <v>1415</v>
      </c>
      <c r="C9" s="243">
        <v>-1350.19</v>
      </c>
      <c r="D9" s="63">
        <v>0</v>
      </c>
      <c r="F9" s="111"/>
      <c r="G9" s="111"/>
      <c r="H9" s="348"/>
      <c r="K9" s="193"/>
      <c r="O9" s="328" t="s">
        <v>1449</v>
      </c>
      <c r="P9" s="329">
        <f>SUM(P4:P8)</f>
        <v>1762.8600000000001</v>
      </c>
      <c r="R9" s="219"/>
      <c r="S9" s="295" t="s">
        <v>1561</v>
      </c>
      <c r="T9" s="309">
        <v>14.67</v>
      </c>
    </row>
    <row r="10" spans="2:26" ht="14.25" customHeight="1" thickTop="1">
      <c r="B10" s="229" t="s">
        <v>586</v>
      </c>
      <c r="C10" s="96">
        <v>-234.79</v>
      </c>
      <c r="D10" s="63">
        <v>0</v>
      </c>
      <c r="F10" s="111"/>
      <c r="G10" s="111"/>
      <c r="H10" s="348"/>
      <c r="K10" s="52"/>
      <c r="S10" s="295" t="s">
        <v>1562</v>
      </c>
      <c r="T10" s="295">
        <v>40</v>
      </c>
    </row>
    <row r="11" spans="2:26" ht="15">
      <c r="B11" s="533" t="s">
        <v>1966</v>
      </c>
      <c r="C11" s="534">
        <v>-412</v>
      </c>
      <c r="D11" s="63">
        <v>0</v>
      </c>
      <c r="F11" s="111" t="s">
        <v>1560</v>
      </c>
      <c r="G11" s="111">
        <f>Acoes!O80+Acoes!F98</f>
        <v>10965</v>
      </c>
      <c r="H11" s="348"/>
      <c r="K11" s="193"/>
      <c r="O11" s="605" t="s">
        <v>1680</v>
      </c>
      <c r="P11" s="605"/>
      <c r="S11" s="295" t="s">
        <v>45</v>
      </c>
      <c r="T11" s="310">
        <f>T9*T10</f>
        <v>586.79999999999995</v>
      </c>
    </row>
    <row r="12" spans="2:26" ht="16.5" thickBot="1">
      <c r="B12" s="229" t="s">
        <v>1419</v>
      </c>
      <c r="C12" s="243">
        <v>-120</v>
      </c>
      <c r="D12" s="63">
        <v>0</v>
      </c>
      <c r="F12" s="401" t="s">
        <v>1762</v>
      </c>
      <c r="G12" s="484">
        <f>SUM(G4:G11)</f>
        <v>10965</v>
      </c>
      <c r="H12" s="401"/>
      <c r="O12" s="530" t="s">
        <v>1577</v>
      </c>
      <c r="P12" s="530" t="s">
        <v>1143</v>
      </c>
      <c r="S12" s="328" t="s">
        <v>1929</v>
      </c>
      <c r="T12" s="329">
        <f>(T11*2045.5)/608</f>
        <v>1974.176644736842</v>
      </c>
    </row>
    <row r="13" spans="2:26" ht="13.5" thickTop="1">
      <c r="B13" s="533" t="s">
        <v>1963</v>
      </c>
      <c r="C13" s="534">
        <v>-400</v>
      </c>
      <c r="D13" s="63">
        <v>0</v>
      </c>
      <c r="F13" s="1"/>
      <c r="G13" s="193"/>
      <c r="O13" s="305" t="s">
        <v>15</v>
      </c>
      <c r="P13" s="306">
        <v>3.8</v>
      </c>
    </row>
    <row r="14" spans="2:26" ht="15">
      <c r="B14" s="533" t="s">
        <v>1395</v>
      </c>
      <c r="C14" s="534">
        <v>-66</v>
      </c>
      <c r="D14" s="63">
        <v>0</v>
      </c>
      <c r="F14" s="199"/>
      <c r="G14" s="193"/>
      <c r="O14" s="305" t="s">
        <v>1681</v>
      </c>
      <c r="P14" s="377">
        <v>2</v>
      </c>
      <c r="S14" s="608" t="s">
        <v>1564</v>
      </c>
      <c r="T14" s="608"/>
      <c r="U14" s="468" t="s">
        <v>1841</v>
      </c>
    </row>
    <row r="15" spans="2:26">
      <c r="B15" s="533" t="s">
        <v>1965</v>
      </c>
      <c r="C15" s="534">
        <v>-28</v>
      </c>
      <c r="D15" s="63">
        <v>0</v>
      </c>
      <c r="O15" s="305" t="s">
        <v>1682</v>
      </c>
      <c r="P15" s="377">
        <v>22</v>
      </c>
      <c r="S15" s="295" t="s">
        <v>1578</v>
      </c>
      <c r="T15" s="320">
        <v>53735.49</v>
      </c>
      <c r="U15" s="469">
        <v>42740</v>
      </c>
    </row>
    <row r="16" spans="2:26">
      <c r="B16" s="533" t="s">
        <v>1964</v>
      </c>
      <c r="C16" s="534">
        <v>-140</v>
      </c>
      <c r="D16" s="63">
        <v>0</v>
      </c>
      <c r="F16" s="199"/>
      <c r="G16" s="199"/>
      <c r="L16" s="193"/>
      <c r="O16" s="305" t="s">
        <v>1896</v>
      </c>
      <c r="P16" s="305">
        <v>55</v>
      </c>
      <c r="S16" s="295" t="s">
        <v>1579</v>
      </c>
      <c r="T16" s="321">
        <v>25259.200000000001</v>
      </c>
      <c r="U16" s="491">
        <v>44288.52</v>
      </c>
    </row>
    <row r="17" spans="2:20" ht="15.75" thickBot="1">
      <c r="B17" s="533" t="s">
        <v>879</v>
      </c>
      <c r="C17" s="534">
        <v>-181.36</v>
      </c>
      <c r="D17" s="63">
        <v>0</v>
      </c>
      <c r="L17" s="193"/>
      <c r="O17" s="328" t="s">
        <v>1449</v>
      </c>
      <c r="P17" s="329">
        <f>(P13*P14*P15)-P16</f>
        <v>112.19999999999999</v>
      </c>
    </row>
    <row r="18" spans="2:20" ht="15.75" thickTop="1">
      <c r="B18" s="229" t="s">
        <v>1098</v>
      </c>
      <c r="C18" s="96">
        <v>-53.74</v>
      </c>
      <c r="D18" s="63">
        <v>0</v>
      </c>
      <c r="E18" s="143"/>
      <c r="F18" s="199"/>
      <c r="G18" s="199"/>
      <c r="L18" s="193"/>
      <c r="S18" s="611" t="s">
        <v>1696</v>
      </c>
      <c r="T18" s="612"/>
    </row>
    <row r="19" spans="2:20" ht="15">
      <c r="B19" s="229" t="s">
        <v>1895</v>
      </c>
      <c r="C19" s="96">
        <v>-113</v>
      </c>
      <c r="D19" s="63">
        <v>0</v>
      </c>
      <c r="L19" s="193"/>
      <c r="O19" s="597" t="s">
        <v>1162</v>
      </c>
      <c r="P19" s="598"/>
      <c r="S19" s="295" t="s">
        <v>1576</v>
      </c>
      <c r="T19" s="297">
        <v>19143.14</v>
      </c>
    </row>
    <row r="20" spans="2:20" ht="15">
      <c r="B20" s="229" t="s">
        <v>65</v>
      </c>
      <c r="C20" s="96">
        <v>-600</v>
      </c>
      <c r="D20" s="63">
        <v>0</v>
      </c>
      <c r="F20" s="554" t="s">
        <v>2007</v>
      </c>
      <c r="G20" s="554">
        <v>1624070</v>
      </c>
      <c r="L20" s="193"/>
      <c r="O20" t="s">
        <v>1169</v>
      </c>
      <c r="P20" s="299">
        <v>2477</v>
      </c>
      <c r="T20" s="193"/>
    </row>
    <row r="21" spans="2:20" ht="15">
      <c r="B21" s="229" t="s">
        <v>1069</v>
      </c>
      <c r="C21" s="96">
        <v>-1207.1400000000001</v>
      </c>
      <c r="D21" s="63">
        <v>0</v>
      </c>
      <c r="F21" t="s">
        <v>1978</v>
      </c>
      <c r="G21" s="193">
        <v>1082.17</v>
      </c>
      <c r="L21" s="193"/>
      <c r="O21" t="s">
        <v>1319</v>
      </c>
      <c r="P21" s="302">
        <v>521</v>
      </c>
      <c r="S21" s="609" t="s">
        <v>1574</v>
      </c>
      <c r="T21" s="610"/>
    </row>
    <row r="22" spans="2:20">
      <c r="B22" s="229" t="s">
        <v>1242</v>
      </c>
      <c r="C22" s="96">
        <v>-650</v>
      </c>
      <c r="D22" s="63">
        <v>0</v>
      </c>
      <c r="F22" t="s">
        <v>1979</v>
      </c>
      <c r="G22" s="193">
        <v>68.08</v>
      </c>
      <c r="H22" s="193"/>
      <c r="O22" t="s">
        <v>1172</v>
      </c>
      <c r="P22" s="301">
        <v>9.9999999999999995E-7</v>
      </c>
      <c r="S22" s="295" t="s">
        <v>102</v>
      </c>
      <c r="T22" s="318">
        <f>K8+G12</f>
        <v>17714.97</v>
      </c>
    </row>
    <row r="23" spans="2:20">
      <c r="B23" s="537" t="s">
        <v>1987</v>
      </c>
      <c r="C23" s="538">
        <f>-3*15</f>
        <v>-45</v>
      </c>
      <c r="D23" s="63">
        <v>0</v>
      </c>
      <c r="F23" t="s">
        <v>1980</v>
      </c>
      <c r="G23" s="193">
        <v>85.24</v>
      </c>
      <c r="H23" s="193"/>
      <c r="O23" t="s">
        <v>1173</v>
      </c>
      <c r="P23" s="300">
        <f>P21*P22</f>
        <v>5.2099999999999998E-4</v>
      </c>
      <c r="S23" s="295" t="s">
        <v>1777</v>
      </c>
      <c r="T23" s="318">
        <v>0</v>
      </c>
    </row>
    <row r="24" spans="2:20" ht="15.75" thickBot="1">
      <c r="B24" s="537" t="s">
        <v>1988</v>
      </c>
      <c r="C24" s="538">
        <v>-160</v>
      </c>
      <c r="D24" s="63">
        <v>0</v>
      </c>
      <c r="F24" t="s">
        <v>1981</v>
      </c>
      <c r="G24" s="193">
        <v>11</v>
      </c>
      <c r="O24" s="328" t="s">
        <v>1174</v>
      </c>
      <c r="P24" s="329">
        <f>P20*P23</f>
        <v>1.2905169999999999</v>
      </c>
      <c r="S24" s="295" t="s">
        <v>1779</v>
      </c>
      <c r="T24" s="318">
        <v>0</v>
      </c>
    </row>
    <row r="25" spans="2:20" ht="16.5" thickTop="1" thickBot="1">
      <c r="B25" s="537" t="s">
        <v>1989</v>
      </c>
      <c r="C25" s="538">
        <v>-66</v>
      </c>
      <c r="D25" s="63">
        <v>0</v>
      </c>
      <c r="F25" s="216" t="s">
        <v>45</v>
      </c>
      <c r="G25" s="215">
        <f>SUM(G21:G24)</f>
        <v>1246.49</v>
      </c>
      <c r="S25" s="295" t="s">
        <v>1778</v>
      </c>
      <c r="T25" s="318">
        <f>T12</f>
        <v>1974.176644736842</v>
      </c>
    </row>
    <row r="26" spans="2:20" ht="13.5" thickTop="1">
      <c r="B26" s="229" t="s">
        <v>1266</v>
      </c>
      <c r="C26" s="96">
        <v>-1856.81</v>
      </c>
      <c r="D26" s="63">
        <v>0</v>
      </c>
      <c r="S26" s="295" t="s">
        <v>602</v>
      </c>
      <c r="T26" s="318">
        <v>0</v>
      </c>
    </row>
    <row r="27" spans="2:20">
      <c r="B27" s="485" t="s">
        <v>1329</v>
      </c>
      <c r="C27" s="483">
        <v>-2.4700000000000002</v>
      </c>
      <c r="D27" s="63">
        <v>0</v>
      </c>
      <c r="S27" s="295" t="s">
        <v>429</v>
      </c>
      <c r="T27" s="318">
        <f>4268.54*1.1067</f>
        <v>4723.9932179999996</v>
      </c>
    </row>
    <row r="28" spans="2:20" ht="15.75" thickBot="1">
      <c r="B28" s="475" t="s">
        <v>1445</v>
      </c>
      <c r="C28" s="476">
        <v>-769.94</v>
      </c>
      <c r="D28" s="63">
        <v>0</v>
      </c>
      <c r="S28" s="357" t="s">
        <v>1449</v>
      </c>
      <c r="T28" s="358">
        <f>SUM(T22:T27)</f>
        <v>24413.139862736843</v>
      </c>
    </row>
    <row r="29" spans="2:20" ht="16.5" thickTop="1">
      <c r="B29" s="537" t="s">
        <v>1986</v>
      </c>
      <c r="C29" s="538">
        <v>-200</v>
      </c>
      <c r="D29" s="63">
        <v>0</v>
      </c>
      <c r="S29" s="315" t="s">
        <v>1568</v>
      </c>
      <c r="T29" s="316">
        <v>55000</v>
      </c>
    </row>
    <row r="30" spans="2:20" ht="18">
      <c r="B30" s="229" t="s">
        <v>106</v>
      </c>
      <c r="C30" s="243">
        <v>-2811.28</v>
      </c>
      <c r="D30" s="63">
        <v>0</v>
      </c>
      <c r="S30" s="412" t="s">
        <v>1709</v>
      </c>
      <c r="T30" s="410">
        <f>T28-T29</f>
        <v>-30586.860137263157</v>
      </c>
    </row>
    <row r="31" spans="2:20">
      <c r="B31" s="533" t="s">
        <v>1961</v>
      </c>
      <c r="C31" s="534">
        <v>-5300</v>
      </c>
      <c r="D31" s="63">
        <v>0</v>
      </c>
    </row>
    <row r="32" spans="2:20" ht="18">
      <c r="B32" s="229" t="s">
        <v>1962</v>
      </c>
      <c r="C32" s="96">
        <v>-1700</v>
      </c>
      <c r="D32" s="63">
        <v>0</v>
      </c>
      <c r="E32" s="211"/>
    </row>
    <row r="33" spans="2:4">
      <c r="B33" s="229" t="s">
        <v>1866</v>
      </c>
      <c r="C33" s="526">
        <v>3850</v>
      </c>
      <c r="D33" s="63">
        <v>0</v>
      </c>
    </row>
    <row r="34" spans="2:4">
      <c r="B34" s="544" t="s">
        <v>1998</v>
      </c>
      <c r="C34" s="545">
        <v>361.6</v>
      </c>
      <c r="D34" s="63">
        <v>0</v>
      </c>
    </row>
    <row r="35" spans="2:4">
      <c r="B35" s="229" t="s">
        <v>73</v>
      </c>
      <c r="C35" s="96">
        <v>-273.64</v>
      </c>
      <c r="D35" s="63">
        <v>0</v>
      </c>
    </row>
    <row r="36" spans="2:4">
      <c r="B36" s="544" t="s">
        <v>1394</v>
      </c>
      <c r="C36" s="545">
        <v>-64.22</v>
      </c>
      <c r="D36" s="535">
        <f>Tabela134567891012111314[[#This Row],[Colunas2]]</f>
        <v>-64.22</v>
      </c>
    </row>
    <row r="37" spans="2:4">
      <c r="B37" s="229" t="s">
        <v>1383</v>
      </c>
      <c r="C37" s="417">
        <v>-60.19</v>
      </c>
      <c r="D37" s="63">
        <v>0</v>
      </c>
    </row>
    <row r="38" spans="2:4">
      <c r="B38" s="229" t="s">
        <v>1249</v>
      </c>
      <c r="C38" s="96">
        <v>-751.46</v>
      </c>
      <c r="D38" s="63">
        <v>0</v>
      </c>
    </row>
    <row r="39" spans="2:4" ht="18">
      <c r="B39" s="74" t="s">
        <v>1580</v>
      </c>
      <c r="C39" s="188"/>
      <c r="D39" s="241">
        <f>SUM(D4:D38)</f>
        <v>-1767.58</v>
      </c>
    </row>
  </sheetData>
  <mergeCells count="13">
    <mergeCell ref="S21:T21"/>
    <mergeCell ref="W3:X3"/>
    <mergeCell ref="F2:H2"/>
    <mergeCell ref="J2:M2"/>
    <mergeCell ref="O2:P2"/>
    <mergeCell ref="S2:U2"/>
    <mergeCell ref="W2:Z2"/>
    <mergeCell ref="W4:X4"/>
    <mergeCell ref="S8:T8"/>
    <mergeCell ref="O11:P11"/>
    <mergeCell ref="S14:T14"/>
    <mergeCell ref="O19:P19"/>
    <mergeCell ref="S18:T18"/>
  </mergeCells>
  <conditionalFormatting sqref="T30 D4:D6">
    <cfRule type="cellIs" dxfId="21" priority="2" stopIfTrue="1" operator="lessThan">
      <formula>0</formula>
    </cfRule>
  </conditionalFormatting>
  <pageMargins left="0.511811024" right="0.511811024" top="0.78740157499999996" bottom="0.78740157499999996" header="0.31496062000000002" footer="0.31496062000000002"/>
  <tableParts count="1">
    <tablePart r:id="rId1"/>
  </tableParts>
</worksheet>
</file>

<file path=xl/worksheets/sheet142.xml><?xml version="1.0" encoding="utf-8"?>
<worksheet xmlns="http://schemas.openxmlformats.org/spreadsheetml/2006/main" xmlns:r="http://schemas.openxmlformats.org/officeDocument/2006/relationships">
  <dimension ref="B1:Q71"/>
  <sheetViews>
    <sheetView zoomScale="75" zoomScaleNormal="75" workbookViewId="0">
      <selection activeCell="C12" sqref="C12"/>
    </sheetView>
  </sheetViews>
  <sheetFormatPr defaultRowHeight="15"/>
  <cols>
    <col min="1" max="1" width="1" style="266" customWidth="1"/>
    <col min="2" max="2" width="45.140625" style="266" bestFit="1" customWidth="1"/>
    <col min="3" max="3" width="14" style="266" bestFit="1" customWidth="1"/>
    <col min="4" max="4" width="17.7109375" style="266" bestFit="1" customWidth="1"/>
    <col min="5" max="5" width="16.42578125" style="266" bestFit="1" customWidth="1"/>
    <col min="6" max="13" width="2.140625" style="266" customWidth="1"/>
    <col min="14" max="14" width="20" style="266" bestFit="1" customWidth="1"/>
    <col min="15" max="15" width="13.8554687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C61</f>
        <v>139.49000000000069</v>
      </c>
      <c r="P3" s="418" t="s">
        <v>1513</v>
      </c>
      <c r="Q3" s="418" t="s">
        <v>1513</v>
      </c>
    </row>
    <row r="4" spans="2:17">
      <c r="B4" s="451" t="s">
        <v>1994</v>
      </c>
      <c r="C4" s="424">
        <v>92.47</v>
      </c>
      <c r="D4" s="429"/>
      <c r="E4" s="426"/>
      <c r="N4" s="482" t="s">
        <v>1599</v>
      </c>
      <c r="O4" s="424">
        <v>22.9</v>
      </c>
      <c r="P4" s="449" t="s">
        <v>1456</v>
      </c>
      <c r="Q4" s="426"/>
    </row>
    <row r="5" spans="2:17">
      <c r="B5" s="451" t="s">
        <v>1482</v>
      </c>
      <c r="C5" s="424">
        <v>19.489999999999998</v>
      </c>
      <c r="D5" s="429"/>
      <c r="E5" s="426"/>
      <c r="N5" s="497" t="s">
        <v>1632</v>
      </c>
      <c r="O5" s="447">
        <v>14.9</v>
      </c>
      <c r="P5" s="449" t="s">
        <v>1456</v>
      </c>
      <c r="Q5" s="426"/>
    </row>
    <row r="6" spans="2:17">
      <c r="B6" s="451" t="s">
        <v>1526</v>
      </c>
      <c r="C6" s="424">
        <v>57.8</v>
      </c>
      <c r="D6" s="429"/>
      <c r="E6" s="426"/>
      <c r="N6" s="539" t="s">
        <v>1478</v>
      </c>
      <c r="O6" s="424">
        <v>33.630000000000003</v>
      </c>
      <c r="P6" s="425"/>
      <c r="Q6" s="426"/>
    </row>
    <row r="7" spans="2:17">
      <c r="B7" s="451" t="s">
        <v>1968</v>
      </c>
      <c r="C7" s="424">
        <v>82.72</v>
      </c>
      <c r="D7" s="429"/>
      <c r="E7" s="426"/>
      <c r="N7" s="539" t="s">
        <v>1478</v>
      </c>
      <c r="O7" s="424">
        <v>62.62</v>
      </c>
      <c r="P7" s="425"/>
      <c r="Q7" s="426"/>
    </row>
    <row r="8" spans="2:17">
      <c r="B8" s="451" t="s">
        <v>1969</v>
      </c>
      <c r="C8" s="424">
        <v>90</v>
      </c>
      <c r="D8" s="429"/>
      <c r="E8" s="426"/>
      <c r="N8" s="541" t="s">
        <v>1478</v>
      </c>
      <c r="O8" s="424">
        <v>70.739999999999995</v>
      </c>
      <c r="P8" s="425"/>
      <c r="Q8" s="426"/>
    </row>
    <row r="9" spans="2:17">
      <c r="B9" s="451" t="s">
        <v>1702</v>
      </c>
      <c r="C9" s="424">
        <v>15.9</v>
      </c>
      <c r="D9" s="429"/>
      <c r="E9" s="426"/>
      <c r="N9" s="547" t="s">
        <v>1879</v>
      </c>
      <c r="O9" s="548">
        <v>62.5</v>
      </c>
      <c r="P9" s="425"/>
      <c r="Q9" s="426"/>
    </row>
    <row r="10" spans="2:17">
      <c r="B10" s="451" t="s">
        <v>1897</v>
      </c>
      <c r="C10" s="424">
        <v>26.5</v>
      </c>
      <c r="D10" s="429"/>
      <c r="E10" s="426"/>
      <c r="N10" s="543" t="s">
        <v>1478</v>
      </c>
      <c r="O10" s="424">
        <v>31.66</v>
      </c>
      <c r="P10" s="425"/>
      <c r="Q10" s="426"/>
    </row>
    <row r="11" spans="2:17">
      <c r="B11" s="451" t="s">
        <v>1475</v>
      </c>
      <c r="C11" s="424">
        <v>39</v>
      </c>
      <c r="D11" s="429"/>
      <c r="E11" s="426"/>
      <c r="N11" s="546" t="s">
        <v>1999</v>
      </c>
      <c r="O11" s="424">
        <f>198.99/3</f>
        <v>66.33</v>
      </c>
      <c r="P11" s="425"/>
      <c r="Q11" s="426"/>
    </row>
    <row r="12" spans="2:17">
      <c r="B12" s="451" t="s">
        <v>1970</v>
      </c>
      <c r="C12" s="424">
        <v>11</v>
      </c>
      <c r="D12" s="429"/>
      <c r="E12" s="426"/>
      <c r="N12" s="547" t="s">
        <v>1879</v>
      </c>
      <c r="O12" s="548">
        <v>40.119999999999997</v>
      </c>
      <c r="P12" s="425"/>
      <c r="Q12" s="426"/>
    </row>
    <row r="13" spans="2:17">
      <c r="B13" s="451" t="s">
        <v>1971</v>
      </c>
      <c r="C13" s="424">
        <v>15.57</v>
      </c>
      <c r="D13" s="429"/>
      <c r="E13" s="426"/>
      <c r="N13" s="547" t="s">
        <v>1879</v>
      </c>
      <c r="O13" s="548">
        <v>36.630000000000003</v>
      </c>
      <c r="P13" s="425"/>
      <c r="Q13" s="426"/>
    </row>
    <row r="14" spans="2:17">
      <c r="B14" s="451" t="s">
        <v>1972</v>
      </c>
      <c r="C14" s="424">
        <v>18</v>
      </c>
      <c r="D14" s="429"/>
      <c r="E14" s="426"/>
      <c r="N14" s="439"/>
      <c r="O14" s="424"/>
      <c r="P14" s="425"/>
      <c r="Q14" s="426"/>
    </row>
    <row r="15" spans="2:17">
      <c r="B15" s="451" t="s">
        <v>1973</v>
      </c>
      <c r="C15" s="424">
        <v>30</v>
      </c>
      <c r="D15" s="429"/>
      <c r="E15" s="426"/>
      <c r="N15" s="439"/>
      <c r="O15" s="424"/>
      <c r="P15" s="425"/>
      <c r="Q15" s="426"/>
    </row>
    <row r="16" spans="2:17">
      <c r="B16" s="451" t="s">
        <v>1650</v>
      </c>
      <c r="C16" s="424">
        <v>44.9</v>
      </c>
      <c r="D16" s="429"/>
      <c r="E16" s="426"/>
      <c r="N16" s="536" t="s">
        <v>1967</v>
      </c>
      <c r="O16" s="447">
        <f>2028.52/4</f>
        <v>507.13</v>
      </c>
      <c r="P16" s="449"/>
      <c r="Q16" s="426"/>
    </row>
    <row r="17" spans="2:17" ht="16.5" thickBot="1">
      <c r="B17" s="451" t="s">
        <v>1974</v>
      </c>
      <c r="C17" s="424">
        <v>45.41</v>
      </c>
      <c r="D17" s="429"/>
      <c r="E17" s="426"/>
      <c r="N17" s="286" t="s">
        <v>1534</v>
      </c>
      <c r="O17" s="287">
        <f>O3-SUM(O4:O16)</f>
        <v>-809.66999999999939</v>
      </c>
      <c r="P17" s="286"/>
      <c r="Q17" s="286"/>
    </row>
    <row r="18" spans="2:17" ht="15.75" thickTop="1">
      <c r="B18" s="451" t="s">
        <v>1975</v>
      </c>
      <c r="C18" s="424">
        <v>177</v>
      </c>
      <c r="D18" s="429"/>
      <c r="E18" s="426"/>
      <c r="N18" s="266" t="s">
        <v>1584</v>
      </c>
      <c r="O18" s="270">
        <f>AVERAGE(O4:O15)</f>
        <v>44.203000000000003</v>
      </c>
    </row>
    <row r="19" spans="2:17">
      <c r="B19" s="451" t="s">
        <v>1976</v>
      </c>
      <c r="C19" s="424">
        <v>25.08</v>
      </c>
      <c r="D19" s="429"/>
      <c r="E19" s="426"/>
    </row>
    <row r="20" spans="2:17">
      <c r="B20" s="451" t="s">
        <v>1509</v>
      </c>
      <c r="C20" s="424">
        <v>46.86</v>
      </c>
      <c r="D20" s="429"/>
      <c r="E20" s="426"/>
      <c r="N20" s="603" t="s">
        <v>704</v>
      </c>
      <c r="O20" s="603"/>
      <c r="P20" s="349">
        <f>SUM(C4:C60)</f>
        <v>2660.5099999999993</v>
      </c>
    </row>
    <row r="21" spans="2:17">
      <c r="B21" s="451" t="s">
        <v>1977</v>
      </c>
      <c r="C21" s="424">
        <v>63.49</v>
      </c>
      <c r="D21" s="429"/>
      <c r="E21" s="426"/>
      <c r="N21" s="604" t="s">
        <v>1445</v>
      </c>
      <c r="O21" s="604"/>
      <c r="P21" s="349">
        <f>SUM(O4:O16)</f>
        <v>949.16000000000008</v>
      </c>
    </row>
    <row r="22" spans="2:17" ht="15.75" thickBot="1">
      <c r="B22" s="451" t="s">
        <v>1475</v>
      </c>
      <c r="C22" s="424">
        <v>86</v>
      </c>
      <c r="D22" s="429"/>
      <c r="E22" s="426"/>
      <c r="N22" s="590" t="s">
        <v>1629</v>
      </c>
      <c r="O22" s="590"/>
      <c r="P22" s="323">
        <f>SUM(P20:P21)</f>
        <v>3609.6699999999992</v>
      </c>
    </row>
    <row r="23" spans="2:17" ht="15.75" thickTop="1">
      <c r="B23" s="451" t="s">
        <v>1897</v>
      </c>
      <c r="C23" s="424">
        <v>28</v>
      </c>
      <c r="D23" s="429"/>
      <c r="E23" s="426"/>
    </row>
    <row r="24" spans="2:17">
      <c r="B24" s="451" t="s">
        <v>1853</v>
      </c>
      <c r="C24" s="424">
        <v>37</v>
      </c>
      <c r="D24" s="429"/>
      <c r="E24" s="426"/>
    </row>
    <row r="25" spans="2:17">
      <c r="B25" s="451" t="s">
        <v>1982</v>
      </c>
      <c r="C25" s="424">
        <v>31.5</v>
      </c>
      <c r="D25" s="429"/>
      <c r="E25" s="426"/>
    </row>
    <row r="26" spans="2:17">
      <c r="B26" s="451" t="s">
        <v>1983</v>
      </c>
      <c r="C26" s="424">
        <v>75.900000000000006</v>
      </c>
      <c r="D26" s="429"/>
      <c r="E26" s="426"/>
    </row>
    <row r="27" spans="2:17">
      <c r="B27" s="451" t="s">
        <v>1511</v>
      </c>
      <c r="C27" s="424">
        <v>10</v>
      </c>
      <c r="D27" s="429"/>
      <c r="E27" s="426"/>
    </row>
    <row r="28" spans="2:17">
      <c r="B28" s="451" t="s">
        <v>1583</v>
      </c>
      <c r="C28" s="424">
        <v>13.67</v>
      </c>
      <c r="D28" s="429"/>
      <c r="E28" s="426"/>
    </row>
    <row r="29" spans="2:17">
      <c r="B29" s="451" t="s">
        <v>1511</v>
      </c>
      <c r="C29" s="424">
        <v>50.33</v>
      </c>
      <c r="D29" s="429"/>
      <c r="E29" s="426"/>
    </row>
    <row r="30" spans="2:17">
      <c r="B30" s="451" t="s">
        <v>1974</v>
      </c>
      <c r="C30" s="424">
        <v>87.56</v>
      </c>
      <c r="D30" s="429"/>
      <c r="E30" s="426"/>
    </row>
    <row r="31" spans="2:17">
      <c r="B31" s="451" t="s">
        <v>1984</v>
      </c>
      <c r="C31" s="424">
        <v>22.16</v>
      </c>
      <c r="D31" s="429"/>
      <c r="E31" s="426"/>
    </row>
    <row r="32" spans="2:17">
      <c r="B32" s="451" t="s">
        <v>1583</v>
      </c>
      <c r="C32" s="424">
        <v>26.45</v>
      </c>
      <c r="D32" s="429"/>
      <c r="E32" s="426"/>
    </row>
    <row r="33" spans="2:5">
      <c r="B33" s="451" t="s">
        <v>1481</v>
      </c>
      <c r="C33" s="424">
        <v>83.62</v>
      </c>
      <c r="D33" s="429"/>
      <c r="E33" s="426"/>
    </row>
    <row r="34" spans="2:5">
      <c r="B34" s="451" t="s">
        <v>1985</v>
      </c>
      <c r="C34" s="424">
        <v>111.2</v>
      </c>
      <c r="D34" s="429"/>
      <c r="E34" s="426"/>
    </row>
    <row r="35" spans="2:5">
      <c r="B35" s="451" t="s">
        <v>1990</v>
      </c>
      <c r="C35" s="424">
        <v>9.3000000000000007</v>
      </c>
      <c r="D35" s="429"/>
      <c r="E35" s="426"/>
    </row>
    <row r="36" spans="2:5">
      <c r="B36" s="451" t="s">
        <v>1992</v>
      </c>
      <c r="C36" s="424">
        <v>5</v>
      </c>
      <c r="D36" s="429"/>
      <c r="E36" s="426"/>
    </row>
    <row r="37" spans="2:5">
      <c r="B37" s="451" t="s">
        <v>1993</v>
      </c>
      <c r="C37" s="424">
        <v>14</v>
      </c>
      <c r="D37" s="429"/>
      <c r="E37" s="426"/>
    </row>
    <row r="38" spans="2:5">
      <c r="B38" s="451" t="s">
        <v>1702</v>
      </c>
      <c r="C38" s="424">
        <v>15.9</v>
      </c>
      <c r="D38" s="429"/>
      <c r="E38" s="426"/>
    </row>
    <row r="39" spans="2:5">
      <c r="B39" s="451" t="s">
        <v>1486</v>
      </c>
      <c r="C39" s="424">
        <v>14.71</v>
      </c>
      <c r="D39" s="429"/>
      <c r="E39" s="426"/>
    </row>
    <row r="40" spans="2:5">
      <c r="B40" s="451" t="s">
        <v>1992</v>
      </c>
      <c r="C40" s="424">
        <v>8.5</v>
      </c>
      <c r="D40" s="429"/>
      <c r="E40" s="426"/>
    </row>
    <row r="41" spans="2:5">
      <c r="B41" s="451" t="s">
        <v>1583</v>
      </c>
      <c r="C41" s="424">
        <v>21.54</v>
      </c>
      <c r="D41" s="429"/>
      <c r="E41" s="426"/>
    </row>
    <row r="42" spans="2:5">
      <c r="B42" s="451" t="s">
        <v>1511</v>
      </c>
      <c r="C42" s="424">
        <v>11.5</v>
      </c>
      <c r="D42" s="429"/>
      <c r="E42" s="426"/>
    </row>
    <row r="43" spans="2:5">
      <c r="B43" s="451" t="s">
        <v>1996</v>
      </c>
      <c r="C43" s="424">
        <v>269.79000000000002</v>
      </c>
      <c r="D43" s="429"/>
      <c r="E43" s="426"/>
    </row>
    <row r="44" spans="2:5">
      <c r="B44" s="451" t="s">
        <v>1481</v>
      </c>
      <c r="C44" s="424">
        <v>14.99</v>
      </c>
      <c r="D44" s="429"/>
      <c r="E44" s="426"/>
    </row>
    <row r="45" spans="2:5">
      <c r="B45" s="451" t="s">
        <v>1583</v>
      </c>
      <c r="C45" s="424">
        <v>15.48</v>
      </c>
      <c r="D45" s="429"/>
      <c r="E45" s="426"/>
    </row>
    <row r="46" spans="2:5">
      <c r="B46" s="451" t="s">
        <v>1997</v>
      </c>
      <c r="C46" s="424">
        <v>57.84</v>
      </c>
      <c r="D46" s="429"/>
      <c r="E46" s="426"/>
    </row>
    <row r="47" spans="2:5">
      <c r="B47" s="451" t="s">
        <v>1889</v>
      </c>
      <c r="C47" s="424">
        <v>77</v>
      </c>
      <c r="D47" s="429"/>
      <c r="E47" s="426"/>
    </row>
    <row r="48" spans="2:5">
      <c r="B48" s="451" t="s">
        <v>1482</v>
      </c>
      <c r="C48" s="424">
        <v>23.47</v>
      </c>
      <c r="D48" s="429"/>
      <c r="E48" s="426"/>
    </row>
    <row r="49" spans="2:5">
      <c r="B49" s="451" t="s">
        <v>1482</v>
      </c>
      <c r="C49" s="424">
        <v>8.57</v>
      </c>
      <c r="D49" s="429"/>
      <c r="E49" s="426"/>
    </row>
    <row r="50" spans="2:5">
      <c r="B50" s="451" t="s">
        <v>2001</v>
      </c>
      <c r="C50" s="424">
        <v>22.7</v>
      </c>
      <c r="D50" s="429"/>
      <c r="E50" s="426"/>
    </row>
    <row r="51" spans="2:5">
      <c r="B51" s="451" t="s">
        <v>2002</v>
      </c>
      <c r="C51" s="424">
        <v>69</v>
      </c>
      <c r="D51" s="429"/>
      <c r="E51" s="426"/>
    </row>
    <row r="52" spans="2:5">
      <c r="B52" s="451" t="s">
        <v>2003</v>
      </c>
      <c r="C52" s="424">
        <v>107.1</v>
      </c>
      <c r="D52" s="429"/>
      <c r="E52" s="426"/>
    </row>
    <row r="53" spans="2:5">
      <c r="B53" s="451" t="s">
        <v>1482</v>
      </c>
      <c r="C53" s="424">
        <v>14.64</v>
      </c>
      <c r="D53" s="429"/>
      <c r="E53" s="426"/>
    </row>
    <row r="54" spans="2:5">
      <c r="B54" s="451" t="s">
        <v>2004</v>
      </c>
      <c r="C54" s="424">
        <v>40.97</v>
      </c>
      <c r="D54" s="429"/>
      <c r="E54" s="426"/>
    </row>
    <row r="55" spans="2:5">
      <c r="B55" s="451" t="s">
        <v>2004</v>
      </c>
      <c r="C55" s="424">
        <v>65.77</v>
      </c>
      <c r="D55" s="429"/>
      <c r="E55" s="426"/>
    </row>
    <row r="56" spans="2:5">
      <c r="B56" s="451" t="s">
        <v>1475</v>
      </c>
      <c r="C56" s="424">
        <v>80</v>
      </c>
      <c r="D56" s="429"/>
      <c r="E56" s="426"/>
    </row>
    <row r="57" spans="2:5">
      <c r="B57" s="451" t="s">
        <v>1482</v>
      </c>
      <c r="C57" s="424">
        <v>26.89</v>
      </c>
      <c r="D57" s="429"/>
      <c r="E57" s="426"/>
    </row>
    <row r="58" spans="2:5">
      <c r="B58" s="451" t="s">
        <v>2005</v>
      </c>
      <c r="C58" s="424">
        <v>39.97</v>
      </c>
      <c r="D58" s="429"/>
      <c r="E58" s="426"/>
    </row>
    <row r="59" spans="2:5">
      <c r="B59" s="451" t="s">
        <v>2006</v>
      </c>
      <c r="C59" s="424">
        <v>61.3</v>
      </c>
      <c r="D59" s="429"/>
      <c r="E59" s="426"/>
    </row>
    <row r="60" spans="2:5">
      <c r="B60" s="451"/>
      <c r="C60" s="424"/>
      <c r="D60" s="429"/>
      <c r="E60" s="426"/>
    </row>
    <row r="61" spans="2:5" ht="16.5" thickBot="1">
      <c r="B61" s="286" t="s">
        <v>1459</v>
      </c>
      <c r="C61" s="287">
        <f>C3-SUM(C4:C60)</f>
        <v>139.49000000000069</v>
      </c>
      <c r="D61" s="286"/>
      <c r="E61" s="286"/>
    </row>
    <row r="62" spans="2:5" ht="15.75" thickTop="1">
      <c r="B62" s="266" t="s">
        <v>1584</v>
      </c>
      <c r="C62" s="270">
        <f>AVERAGE(C5:C60)</f>
        <v>46.691636363636356</v>
      </c>
    </row>
    <row r="63" spans="2:5">
      <c r="C63" s="270"/>
    </row>
    <row r="64" spans="2:5">
      <c r="D64" s="266" t="s">
        <v>1458</v>
      </c>
      <c r="E64" s="269" t="s">
        <v>1457</v>
      </c>
    </row>
    <row r="65" spans="4:5">
      <c r="D65" s="266" t="s">
        <v>1456</v>
      </c>
      <c r="E65" s="268" t="s">
        <v>1455</v>
      </c>
    </row>
    <row r="66" spans="4:5">
      <c r="D66" s="266" t="s">
        <v>38</v>
      </c>
      <c r="E66" s="267" t="s">
        <v>1454</v>
      </c>
    </row>
    <row r="67" spans="4:5">
      <c r="D67" s="266" t="s">
        <v>1453</v>
      </c>
    </row>
    <row r="68" spans="4:5">
      <c r="D68" s="266" t="s">
        <v>1452</v>
      </c>
    </row>
    <row r="69" spans="4:5">
      <c r="D69" s="266" t="s">
        <v>17</v>
      </c>
    </row>
    <row r="70" spans="4:5">
      <c r="D70" s="266" t="s">
        <v>1451</v>
      </c>
    </row>
    <row r="71" spans="4:5">
      <c r="D71" s="266" t="s">
        <v>1450</v>
      </c>
    </row>
  </sheetData>
  <mergeCells count="5">
    <mergeCell ref="B1:E1"/>
    <mergeCell ref="N1:Q1"/>
    <mergeCell ref="N20:O20"/>
    <mergeCell ref="N21:O21"/>
    <mergeCell ref="N22:O22"/>
  </mergeCells>
  <conditionalFormatting sqref="Q4:Q16 E5:E60">
    <cfRule type="containsText" dxfId="16" priority="7" stopIfTrue="1" operator="containsText" text="Necessário">
      <formula>NOT(ISERROR(SEARCH("Necessário",E4)))</formula>
    </cfRule>
  </conditionalFormatting>
  <conditionalFormatting sqref="Q4:Q16 E5:E60">
    <cfRule type="containsText" dxfId="15" priority="6" stopIfTrue="1" operator="containsText" text="Frívolo">
      <formula>NOT(ISERROR(SEARCH("Frívolo",E4)))</formula>
    </cfRule>
  </conditionalFormatting>
  <conditionalFormatting sqref="C63">
    <cfRule type="dataBar" priority="5">
      <dataBar>
        <cfvo type="min" val="0"/>
        <cfvo type="max" val="0"/>
        <color rgb="FF638EC6"/>
      </dataBar>
    </cfRule>
  </conditionalFormatting>
  <conditionalFormatting sqref="C62">
    <cfRule type="dataBar" priority="4">
      <dataBar>
        <cfvo type="min" val="0"/>
        <cfvo type="max" val="0"/>
        <color rgb="FF638EC6"/>
      </dataBar>
    </cfRule>
  </conditionalFormatting>
  <conditionalFormatting sqref="O18">
    <cfRule type="dataBar" priority="3">
      <dataBar>
        <cfvo type="min" val="0"/>
        <cfvo type="max" val="0"/>
        <color rgb="FF638EC6"/>
      </dataBar>
    </cfRule>
  </conditionalFormatting>
  <conditionalFormatting sqref="E4">
    <cfRule type="containsText" dxfId="14" priority="2" stopIfTrue="1" operator="containsText" text="Necessário">
      <formula>NOT(ISERROR(SEARCH("Necessário",E4)))</formula>
    </cfRule>
  </conditionalFormatting>
  <conditionalFormatting sqref="E4">
    <cfRule type="containsText" dxfId="13" priority="1" stopIfTrue="1" operator="containsText" text="Frívolo">
      <formula>NOT(ISERROR(SEARCH("Frívolo",E4)))</formula>
    </cfRule>
  </conditionalFormatting>
  <dataValidations count="2">
    <dataValidation type="list" allowBlank="1" showInputMessage="1" showErrorMessage="1" sqref="K5:L6 F5:F6 Q4:Q16 E4:E60">
      <formula1>$E$64:$E$66</formula1>
    </dataValidation>
    <dataValidation type="list" allowBlank="1" showInputMessage="1" showErrorMessage="1" sqref="P4:P16 D4:D60">
      <formula1>$D$64:$D$71</formula1>
    </dataValidation>
  </dataValidations>
  <pageMargins left="0.511811024" right="0.511811024" top="0.78740157499999996" bottom="0.78740157499999996" header="0.31496062000000002" footer="0.31496062000000002"/>
  <pageSetup paperSize="9" orientation="portrait" r:id="rId1"/>
</worksheet>
</file>

<file path=xl/worksheets/sheet143.xml><?xml version="1.0" encoding="utf-8"?>
<worksheet xmlns="http://schemas.openxmlformats.org/spreadsheetml/2006/main" xmlns:r="http://schemas.openxmlformats.org/officeDocument/2006/relationships">
  <dimension ref="B2:Z35"/>
  <sheetViews>
    <sheetView tabSelected="1" topLeftCell="B1" zoomScale="75" zoomScaleNormal="75" workbookViewId="0">
      <selection activeCell="T10" sqref="T10"/>
    </sheetView>
  </sheetViews>
  <sheetFormatPr defaultColWidth="8.85546875" defaultRowHeight="12.75"/>
  <cols>
    <col min="1" max="1" width="1.42578125" customWidth="1"/>
    <col min="2" max="2" width="32.28515625" bestFit="1" customWidth="1"/>
    <col min="3" max="3" width="22.42578125" customWidth="1"/>
    <col min="4" max="4" width="20.42578125" bestFit="1" customWidth="1"/>
    <col min="5" max="5" width="1.28515625" customWidth="1"/>
    <col min="6" max="6" width="17.85546875" bestFit="1" customWidth="1"/>
    <col min="7" max="7" width="16" bestFit="1" customWidth="1"/>
    <col min="8" max="8" width="11.140625" bestFit="1" customWidth="1"/>
    <col min="9" max="9" width="1.85546875" customWidth="1"/>
    <col min="10" max="10" width="20.140625" customWidth="1"/>
    <col min="11" max="11" width="14.7109375" bestFit="1" customWidth="1"/>
    <col min="12" max="12" width="13.28515625" bestFit="1" customWidth="1"/>
    <col min="13" max="13" width="13.5703125" bestFit="1" customWidth="1"/>
    <col min="14" max="14" width="1.140625" customWidth="1"/>
    <col min="15" max="15" width="13.140625" customWidth="1"/>
    <col min="16" max="16" width="16" customWidth="1"/>
    <col min="17" max="17" width="0.85546875" customWidth="1"/>
    <col min="18" max="18" width="0.7109375" customWidth="1"/>
    <col min="19" max="19" width="14.28515625" bestFit="1" customWidth="1"/>
    <col min="20" max="20" width="20" bestFit="1" customWidth="1"/>
    <col min="21" max="21" width="15.42578125" bestFit="1" customWidth="1"/>
    <col min="22" max="22" width="1.5703125" customWidth="1"/>
    <col min="23" max="24" width="15.5703125" bestFit="1" customWidth="1"/>
    <col min="25" max="25" width="12.85546875" bestFit="1" customWidth="1"/>
    <col min="26" max="26" width="12.5703125" bestFit="1" customWidth="1"/>
    <col min="27" max="27" width="13.28515625" bestFit="1" customWidth="1"/>
    <col min="28" max="28" width="14" bestFit="1" customWidth="1"/>
    <col min="29" max="29" width="14.42578125" bestFit="1" customWidth="1"/>
    <col min="30" max="31" width="12.85546875" bestFit="1" customWidth="1"/>
  </cols>
  <sheetData>
    <row r="2" spans="2:26" ht="23.25">
      <c r="B2" s="236" t="s">
        <v>1401</v>
      </c>
      <c r="C2" s="237" t="s">
        <v>1402</v>
      </c>
      <c r="D2" s="238" t="s">
        <v>1554</v>
      </c>
      <c r="F2" s="593" t="s">
        <v>1557</v>
      </c>
      <c r="G2" s="593"/>
      <c r="H2" s="593"/>
      <c r="J2" s="613" t="s">
        <v>1111</v>
      </c>
      <c r="K2" s="613"/>
      <c r="L2" s="613"/>
      <c r="M2" s="613"/>
      <c r="O2" s="594" t="s">
        <v>1667</v>
      </c>
      <c r="P2" s="594"/>
      <c r="S2" s="595" t="s">
        <v>1558</v>
      </c>
      <c r="T2" s="595"/>
      <c r="U2" s="595"/>
      <c r="W2" s="602" t="s">
        <v>1073</v>
      </c>
      <c r="X2" s="602"/>
      <c r="Y2" s="602"/>
      <c r="Z2" s="602"/>
    </row>
    <row r="3" spans="2:26" ht="18">
      <c r="B3" s="227" t="s">
        <v>135</v>
      </c>
      <c r="C3" s="224"/>
      <c r="D3" s="549" t="s">
        <v>0</v>
      </c>
      <c r="F3" s="551" t="s">
        <v>1577</v>
      </c>
      <c r="G3" s="551" t="s">
        <v>1143</v>
      </c>
      <c r="H3" s="551" t="s">
        <v>1631</v>
      </c>
      <c r="J3" s="555" t="s">
        <v>1687</v>
      </c>
      <c r="K3" s="555" t="s">
        <v>219</v>
      </c>
      <c r="L3" s="555" t="s">
        <v>1692</v>
      </c>
      <c r="M3" s="555" t="s">
        <v>1693</v>
      </c>
      <c r="O3" s="552" t="s">
        <v>1577</v>
      </c>
      <c r="P3" s="552" t="s">
        <v>1143</v>
      </c>
      <c r="S3" s="322" t="s">
        <v>1249</v>
      </c>
      <c r="T3" s="322" t="s">
        <v>646</v>
      </c>
      <c r="U3" s="322" t="s">
        <v>1913</v>
      </c>
      <c r="W3" s="591" t="s">
        <v>1591</v>
      </c>
      <c r="X3" s="591"/>
      <c r="Y3" s="295">
        <v>60</v>
      </c>
      <c r="Z3" s="295"/>
    </row>
    <row r="4" spans="2:26" ht="18" customHeight="1">
      <c r="B4" s="228" t="s">
        <v>7</v>
      </c>
      <c r="C4" s="191"/>
      <c r="D4" s="95">
        <v>-37.75</v>
      </c>
      <c r="F4" s="111"/>
      <c r="G4" s="111"/>
      <c r="H4" s="348"/>
      <c r="J4" s="556" t="s">
        <v>1684</v>
      </c>
      <c r="K4" s="557">
        <v>0</v>
      </c>
      <c r="L4" s="558"/>
      <c r="M4" s="559"/>
      <c r="O4" s="305"/>
      <c r="P4" s="306"/>
      <c r="S4" s="295" t="s">
        <v>1308</v>
      </c>
      <c r="T4" s="298">
        <v>21393.42</v>
      </c>
      <c r="U4" s="297">
        <f>T4*(1-15%)</f>
        <v>18184.406999999999</v>
      </c>
      <c r="W4" s="591" t="s">
        <v>1592</v>
      </c>
      <c r="X4" s="591"/>
      <c r="Y4" s="295">
        <f>Y3/12</f>
        <v>5</v>
      </c>
      <c r="Z4" s="295"/>
    </row>
    <row r="5" spans="2:26" ht="17.25" customHeight="1">
      <c r="B5" s="228" t="s">
        <v>1331</v>
      </c>
      <c r="C5" s="91">
        <f>P6</f>
        <v>750</v>
      </c>
      <c r="D5" s="95">
        <v>0</v>
      </c>
      <c r="F5" s="111"/>
      <c r="G5" s="111"/>
      <c r="H5" s="348"/>
      <c r="J5" s="560" t="s">
        <v>1685</v>
      </c>
      <c r="K5" s="561">
        <v>0</v>
      </c>
      <c r="L5" s="562"/>
      <c r="M5" s="563"/>
      <c r="O5" s="305" t="s">
        <v>927</v>
      </c>
      <c r="P5" s="306">
        <f>118.99-3</f>
        <v>115.99</v>
      </c>
      <c r="S5" s="295" t="s">
        <v>1309</v>
      </c>
      <c r="T5" s="298">
        <v>53233.25</v>
      </c>
      <c r="U5" s="297">
        <f>T5*(1-15%)</f>
        <v>45248.262499999997</v>
      </c>
      <c r="W5" s="295"/>
      <c r="X5" s="295" t="s">
        <v>1588</v>
      </c>
      <c r="Y5" s="295" t="s">
        <v>1589</v>
      </c>
      <c r="Z5" s="295" t="s">
        <v>21</v>
      </c>
    </row>
    <row r="6" spans="2:26" ht="15.75" thickBot="1">
      <c r="B6" s="228" t="s">
        <v>2011</v>
      </c>
      <c r="C6" s="91">
        <f>P8</f>
        <v>183.66</v>
      </c>
      <c r="D6" s="95">
        <v>0</v>
      </c>
      <c r="F6" s="111"/>
      <c r="G6" s="111"/>
      <c r="H6" s="348"/>
      <c r="J6" s="556" t="s">
        <v>1686</v>
      </c>
      <c r="K6" s="557">
        <f>7333.25+731.65</f>
        <v>8064.9</v>
      </c>
      <c r="L6" s="558"/>
      <c r="M6" s="559"/>
      <c r="O6" s="305" t="s">
        <v>1331</v>
      </c>
      <c r="P6" s="306">
        <f>750</f>
        <v>750</v>
      </c>
      <c r="S6" s="215" t="s">
        <v>45</v>
      </c>
      <c r="T6" s="329">
        <f>SUM(T4:T5)</f>
        <v>74626.67</v>
      </c>
      <c r="U6" s="215">
        <f>SUM(U4:U5)</f>
        <v>63432.669499999996</v>
      </c>
      <c r="W6" s="295" t="s">
        <v>1126</v>
      </c>
      <c r="X6" s="332">
        <v>40885</v>
      </c>
      <c r="Y6" s="333">
        <f ca="1">TODAY()</f>
        <v>42744</v>
      </c>
      <c r="Z6" s="295">
        <f ca="1">((YEAR(X6)-YEAR(Y6))*12+MONTH(X6)-MONTH(Y6))*-1</f>
        <v>61</v>
      </c>
    </row>
    <row r="7" spans="2:26" ht="13.5" thickTop="1">
      <c r="B7" s="228" t="s">
        <v>9</v>
      </c>
      <c r="C7" s="91">
        <f>P7</f>
        <v>230.83999999999997</v>
      </c>
      <c r="D7" s="95">
        <f>Tabela13456789101211131415[[#This Row],[Colunas2]]</f>
        <v>230.83999999999997</v>
      </c>
      <c r="F7" s="111" t="s">
        <v>1439</v>
      </c>
      <c r="G7" s="111">
        <v>6.5</v>
      </c>
      <c r="H7" s="348"/>
      <c r="J7" s="560" t="s">
        <v>1277</v>
      </c>
      <c r="K7" s="564">
        <f>1683.66+1689.24</f>
        <v>3372.9</v>
      </c>
      <c r="L7" s="562"/>
      <c r="M7" s="563"/>
      <c r="O7" s="305" t="s">
        <v>1879</v>
      </c>
      <c r="P7" s="306">
        <f>40.12+36.93+31.66+62.5+33.63+26</f>
        <v>230.83999999999997</v>
      </c>
      <c r="W7" s="295" t="s">
        <v>1590</v>
      </c>
      <c r="X7" s="332">
        <v>41578</v>
      </c>
      <c r="Y7" s="333">
        <f ca="1">TODAY()</f>
        <v>42744</v>
      </c>
      <c r="Z7" s="295">
        <f ca="1">((YEAR(X7)-YEAR(Y7))*12+MONTH(X7)-MONTH(Y7))*-1</f>
        <v>39</v>
      </c>
    </row>
    <row r="8" spans="2:26" ht="15.75">
      <c r="B8" s="228" t="s">
        <v>927</v>
      </c>
      <c r="C8" s="91">
        <f>P5</f>
        <v>115.99</v>
      </c>
      <c r="D8" s="95">
        <f>Tabela13456789101211131415[[#This Row],[Colunas2]]</f>
        <v>115.99</v>
      </c>
      <c r="F8" s="111" t="s">
        <v>1215</v>
      </c>
      <c r="G8" s="111">
        <v>5463.86</v>
      </c>
      <c r="H8" s="348"/>
      <c r="J8" s="565" t="s">
        <v>45</v>
      </c>
      <c r="K8" s="566">
        <f>SUM(K4:K7)</f>
        <v>11437.8</v>
      </c>
      <c r="L8" s="567"/>
      <c r="M8" s="566"/>
      <c r="O8" s="305" t="s">
        <v>2010</v>
      </c>
      <c r="P8" s="306">
        <v>183.66</v>
      </c>
      <c r="S8" s="596" t="s">
        <v>1560</v>
      </c>
      <c r="T8" s="596"/>
    </row>
    <row r="9" spans="2:26" ht="15.75" thickBot="1">
      <c r="B9" s="550">
        <v>13</v>
      </c>
      <c r="C9" s="91">
        <v>4624.55</v>
      </c>
      <c r="D9" s="95">
        <v>0</v>
      </c>
      <c r="F9" s="111" t="s">
        <v>1247</v>
      </c>
      <c r="G9" s="111"/>
      <c r="H9" s="348"/>
      <c r="K9" s="193"/>
      <c r="O9" s="328" t="s">
        <v>1449</v>
      </c>
      <c r="P9" s="329">
        <f>SUM(P4:P8)</f>
        <v>1280.49</v>
      </c>
      <c r="R9" s="219"/>
      <c r="S9" s="295" t="s">
        <v>1561</v>
      </c>
      <c r="T9" s="309">
        <v>15.79</v>
      </c>
    </row>
    <row r="10" spans="2:26" ht="14.25" customHeight="1" thickTop="1">
      <c r="B10" s="228" t="s">
        <v>5</v>
      </c>
      <c r="C10" s="91">
        <v>14341.34</v>
      </c>
      <c r="D10" s="95"/>
      <c r="F10" s="111" t="s">
        <v>1202</v>
      </c>
      <c r="G10" s="111">
        <f>-C13</f>
        <v>-5360</v>
      </c>
      <c r="H10" s="348"/>
      <c r="K10" s="52"/>
      <c r="S10" s="295" t="s">
        <v>1562</v>
      </c>
      <c r="T10" s="295">
        <v>40</v>
      </c>
    </row>
    <row r="11" spans="2:26" ht="15">
      <c r="B11" s="544" t="s">
        <v>102</v>
      </c>
      <c r="C11" s="545">
        <v>-7530</v>
      </c>
      <c r="D11" s="63">
        <v>0</v>
      </c>
      <c r="F11" s="111" t="s">
        <v>1560</v>
      </c>
      <c r="G11" s="111">
        <f>Acoes!O80</f>
        <v>8520</v>
      </c>
      <c r="H11" s="348"/>
      <c r="K11" s="193"/>
      <c r="O11" s="605" t="s">
        <v>1680</v>
      </c>
      <c r="P11" s="605"/>
      <c r="S11" s="295" t="s">
        <v>45</v>
      </c>
      <c r="T11" s="310">
        <f>T9*T10</f>
        <v>631.59999999999991</v>
      </c>
    </row>
    <row r="12" spans="2:26" ht="16.5" thickBot="1">
      <c r="B12" s="544" t="s">
        <v>1247</v>
      </c>
      <c r="C12" s="545">
        <v>40</v>
      </c>
      <c r="D12" s="63">
        <v>0</v>
      </c>
      <c r="F12" s="401" t="s">
        <v>1762</v>
      </c>
      <c r="G12" s="484">
        <f>SUM(G4:G11)</f>
        <v>8630.36</v>
      </c>
      <c r="H12" s="401"/>
      <c r="O12" s="553" t="s">
        <v>1577</v>
      </c>
      <c r="P12" s="553" t="s">
        <v>1143</v>
      </c>
      <c r="S12" s="328" t="s">
        <v>1929</v>
      </c>
      <c r="T12" s="329">
        <f>(T11*2045.5)/608</f>
        <v>2124.8976973684207</v>
      </c>
    </row>
    <row r="13" spans="2:26" ht="13.5" thickTop="1">
      <c r="B13" s="544" t="s">
        <v>1202</v>
      </c>
      <c r="C13" s="545">
        <v>5360</v>
      </c>
      <c r="D13" s="535">
        <f>Tabela13456789101211131415[[#This Row],[Colunas2]]</f>
        <v>5360</v>
      </c>
      <c r="F13" s="1"/>
      <c r="G13" s="193"/>
      <c r="O13" s="305" t="s">
        <v>15</v>
      </c>
      <c r="P13" s="306">
        <v>3.8</v>
      </c>
    </row>
    <row r="14" spans="2:26" ht="15">
      <c r="B14" s="229" t="s">
        <v>122</v>
      </c>
      <c r="C14" s="96">
        <v>-194.28</v>
      </c>
      <c r="D14" s="63">
        <v>0</v>
      </c>
      <c r="F14" s="199"/>
      <c r="G14" s="193"/>
      <c r="O14" s="305" t="s">
        <v>1681</v>
      </c>
      <c r="P14" s="377">
        <v>2</v>
      </c>
      <c r="S14" s="608" t="s">
        <v>1564</v>
      </c>
      <c r="T14" s="608"/>
      <c r="U14" s="468" t="s">
        <v>1841</v>
      </c>
    </row>
    <row r="15" spans="2:26">
      <c r="B15" s="229" t="s">
        <v>1339</v>
      </c>
      <c r="C15" s="96">
        <v>-853.75</v>
      </c>
      <c r="D15" s="63">
        <v>0</v>
      </c>
      <c r="O15" s="305" t="s">
        <v>1682</v>
      </c>
      <c r="P15" s="377">
        <v>25</v>
      </c>
      <c r="S15" s="295" t="s">
        <v>1578</v>
      </c>
      <c r="T15" s="320">
        <v>57468.12</v>
      </c>
      <c r="U15" s="469">
        <v>42771</v>
      </c>
    </row>
    <row r="16" spans="2:26">
      <c r="B16" s="242" t="s">
        <v>1415</v>
      </c>
      <c r="C16" s="243">
        <v>-1351.02</v>
      </c>
      <c r="D16" s="63">
        <v>0</v>
      </c>
      <c r="F16" s="199"/>
      <c r="G16" s="199"/>
      <c r="L16" s="193"/>
      <c r="O16" s="305" t="s">
        <v>1896</v>
      </c>
      <c r="P16" s="305">
        <v>50</v>
      </c>
      <c r="S16" s="295" t="s">
        <v>1579</v>
      </c>
      <c r="T16" s="321">
        <v>25259.200000000001</v>
      </c>
      <c r="U16" s="491">
        <v>44288.52</v>
      </c>
    </row>
    <row r="17" spans="2:20" ht="15.75" thickBot="1">
      <c r="B17" s="229" t="s">
        <v>586</v>
      </c>
      <c r="C17" s="96">
        <v>-217.19</v>
      </c>
      <c r="D17" s="63">
        <v>0</v>
      </c>
      <c r="L17" s="193"/>
      <c r="O17" s="328" t="s">
        <v>1449</v>
      </c>
      <c r="P17" s="329">
        <f>(P13*P14*P15)-P16</f>
        <v>140</v>
      </c>
    </row>
    <row r="18" spans="2:20" ht="15.75" thickTop="1">
      <c r="B18" s="229" t="s">
        <v>1419</v>
      </c>
      <c r="C18" s="243">
        <f>-P17</f>
        <v>-140</v>
      </c>
      <c r="D18" s="63">
        <v>0</v>
      </c>
      <c r="E18" s="143"/>
      <c r="F18" s="199"/>
      <c r="G18" s="199"/>
      <c r="L18" s="193"/>
      <c r="S18" s="611" t="s">
        <v>1696</v>
      </c>
      <c r="T18" s="612"/>
    </row>
    <row r="19" spans="2:20" ht="15">
      <c r="B19" s="229" t="s">
        <v>1098</v>
      </c>
      <c r="C19" s="96">
        <v>-76.739999999999995</v>
      </c>
      <c r="D19" s="63">
        <v>0</v>
      </c>
      <c r="L19" s="193"/>
      <c r="O19" s="597" t="s">
        <v>1162</v>
      </c>
      <c r="P19" s="598"/>
      <c r="S19" s="295" t="s">
        <v>1576</v>
      </c>
      <c r="T19" s="297">
        <v>19143.14</v>
      </c>
    </row>
    <row r="20" spans="2:20" ht="15">
      <c r="B20" s="229" t="s">
        <v>65</v>
      </c>
      <c r="C20" s="96">
        <v>-600</v>
      </c>
      <c r="D20" s="63">
        <v>0</v>
      </c>
      <c r="F20" s="554" t="s">
        <v>2007</v>
      </c>
      <c r="G20" s="554">
        <v>1624070</v>
      </c>
      <c r="L20" s="193"/>
      <c r="O20" t="s">
        <v>1169</v>
      </c>
      <c r="P20" s="299">
        <v>2477</v>
      </c>
      <c r="T20" s="193"/>
    </row>
    <row r="21" spans="2:20" ht="15">
      <c r="B21" s="229" t="s">
        <v>1069</v>
      </c>
      <c r="C21" s="96">
        <v>-907.29</v>
      </c>
      <c r="D21" s="63">
        <v>0</v>
      </c>
      <c r="F21" t="s">
        <v>1978</v>
      </c>
      <c r="G21" s="193">
        <v>1082.17</v>
      </c>
      <c r="L21" s="193"/>
      <c r="O21" t="s">
        <v>1319</v>
      </c>
      <c r="P21" s="302">
        <v>521</v>
      </c>
      <c r="S21" s="609" t="s">
        <v>1574</v>
      </c>
      <c r="T21" s="610"/>
    </row>
    <row r="22" spans="2:20">
      <c r="B22" s="229" t="s">
        <v>2000</v>
      </c>
      <c r="C22" s="96">
        <v>-715</v>
      </c>
      <c r="D22" s="63">
        <v>0</v>
      </c>
      <c r="F22" t="s">
        <v>1979</v>
      </c>
      <c r="G22" s="193">
        <v>68.08</v>
      </c>
      <c r="O22" t="s">
        <v>1172</v>
      </c>
      <c r="P22" s="301">
        <v>9.9999999999999995E-7</v>
      </c>
      <c r="S22" s="295" t="s">
        <v>102</v>
      </c>
      <c r="T22" s="318">
        <f>K8+G12</f>
        <v>20068.16</v>
      </c>
    </row>
    <row r="23" spans="2:20">
      <c r="B23" s="229" t="s">
        <v>1242</v>
      </c>
      <c r="C23" s="96">
        <v>-715</v>
      </c>
      <c r="D23" s="63">
        <v>0</v>
      </c>
      <c r="F23" t="s">
        <v>1980</v>
      </c>
      <c r="G23" s="568">
        <v>85.68</v>
      </c>
      <c r="O23" t="s">
        <v>1173</v>
      </c>
      <c r="P23" s="300">
        <f>P21*P22</f>
        <v>5.2099999999999998E-4</v>
      </c>
      <c r="S23" s="295" t="s">
        <v>1777</v>
      </c>
      <c r="T23" s="318">
        <v>0</v>
      </c>
    </row>
    <row r="24" spans="2:20" ht="15.75" thickBot="1">
      <c r="B24" s="229" t="s">
        <v>1266</v>
      </c>
      <c r="C24" s="96">
        <v>-907.29</v>
      </c>
      <c r="D24" s="63">
        <v>0</v>
      </c>
      <c r="F24" t="s">
        <v>1981</v>
      </c>
      <c r="G24" s="193">
        <v>11</v>
      </c>
      <c r="O24" s="328" t="s">
        <v>1174</v>
      </c>
      <c r="P24" s="329">
        <f>P20*P23</f>
        <v>1.2905169999999999</v>
      </c>
      <c r="S24" s="295" t="s">
        <v>1779</v>
      </c>
      <c r="T24" s="318">
        <v>0</v>
      </c>
    </row>
    <row r="25" spans="2:20" ht="16.5" thickTop="1" thickBot="1">
      <c r="B25" s="485" t="s">
        <v>1329</v>
      </c>
      <c r="C25" s="483">
        <v>-26.15</v>
      </c>
      <c r="D25" s="535">
        <f>Tabela13456789101211131415[[#This Row],[Colunas2]]</f>
        <v>-26.15</v>
      </c>
      <c r="F25" s="216" t="s">
        <v>45</v>
      </c>
      <c r="G25" s="215">
        <f>SUM(G21:G24)</f>
        <v>1246.93</v>
      </c>
      <c r="S25" s="295" t="s">
        <v>1778</v>
      </c>
      <c r="T25" s="318">
        <f>T12</f>
        <v>2124.8976973684207</v>
      </c>
    </row>
    <row r="26" spans="2:20" ht="13.5" thickTop="1">
      <c r="B26" s="475" t="s">
        <v>1445</v>
      </c>
      <c r="C26" s="476">
        <v>-1008.85</v>
      </c>
      <c r="D26" s="63">
        <v>0</v>
      </c>
      <c r="S26" s="295" t="s">
        <v>602</v>
      </c>
      <c r="T26" s="318">
        <v>0</v>
      </c>
    </row>
    <row r="27" spans="2:20" ht="15">
      <c r="B27" s="229" t="s">
        <v>106</v>
      </c>
      <c r="C27" s="243">
        <v>-2681.41</v>
      </c>
      <c r="D27" s="63">
        <v>0</v>
      </c>
      <c r="F27" s="554" t="s">
        <v>2009</v>
      </c>
      <c r="G27" s="554">
        <v>2016</v>
      </c>
      <c r="S27" s="295" t="s">
        <v>429</v>
      </c>
      <c r="T27" s="318">
        <v>0</v>
      </c>
    </row>
    <row r="28" spans="2:20" ht="15.75" thickBot="1">
      <c r="B28" s="533" t="s">
        <v>1961</v>
      </c>
      <c r="C28" s="534">
        <v>-3500</v>
      </c>
      <c r="D28" s="535">
        <f>Tabela13456789101211131415[[#This Row],[Colunas2]]</f>
        <v>-3500</v>
      </c>
      <c r="F28" t="s">
        <v>117</v>
      </c>
      <c r="G28" s="193">
        <v>-2135.2199999999998</v>
      </c>
      <c r="S28" s="357" t="s">
        <v>1449</v>
      </c>
      <c r="T28" s="358">
        <f>SUM(T22:T27)</f>
        <v>22193.057697368422</v>
      </c>
    </row>
    <row r="29" spans="2:20" ht="16.5" thickTop="1">
      <c r="B29" s="229" t="s">
        <v>974</v>
      </c>
      <c r="C29" s="526">
        <f>-G25</f>
        <v>-1246.93</v>
      </c>
      <c r="D29" s="535">
        <f>Tabela13456789101211131415[[#This Row],[Colunas2]]</f>
        <v>-1246.93</v>
      </c>
      <c r="F29" t="s">
        <v>621</v>
      </c>
      <c r="G29" s="193">
        <f>-526.73*2</f>
        <v>-1053.46</v>
      </c>
      <c r="S29" s="315" t="s">
        <v>1568</v>
      </c>
      <c r="T29" s="316">
        <v>75000</v>
      </c>
    </row>
    <row r="30" spans="2:20">
      <c r="B30" s="229" t="s">
        <v>73</v>
      </c>
      <c r="C30" s="96">
        <v>-231.33</v>
      </c>
      <c r="D30" s="535">
        <f>Tabela13456789101211131415[[#This Row],[Colunas2]]</f>
        <v>-231.33</v>
      </c>
      <c r="F30" t="s">
        <v>2008</v>
      </c>
      <c r="G30" s="193">
        <f>(19282*1.1)*(1-0.275)</f>
        <v>15377.395</v>
      </c>
    </row>
    <row r="31" spans="2:20">
      <c r="B31" s="229" t="s">
        <v>1139</v>
      </c>
      <c r="C31" s="417">
        <v>-60.19</v>
      </c>
      <c r="D31" s="535">
        <f>Tabela13456789101211131415[[#This Row],[Colunas2]]</f>
        <v>-60.19</v>
      </c>
    </row>
    <row r="32" spans="2:20" ht="18">
      <c r="B32" s="229" t="s">
        <v>1249</v>
      </c>
      <c r="C32" s="96">
        <v>-751.46</v>
      </c>
      <c r="D32" s="535">
        <f>Tabela13456789101211131415[[#This Row],[Colunas2]]</f>
        <v>-751.46</v>
      </c>
      <c r="E32" s="211"/>
    </row>
    <row r="33" spans="2:4" ht="18">
      <c r="B33" s="74" t="s">
        <v>1580</v>
      </c>
      <c r="C33" s="188"/>
      <c r="D33" s="241">
        <f>SUM(D4:D32)</f>
        <v>-146.97999999999979</v>
      </c>
    </row>
    <row r="35" spans="2:4">
      <c r="D35" s="261"/>
    </row>
  </sheetData>
  <mergeCells count="13">
    <mergeCell ref="W3:X3"/>
    <mergeCell ref="F2:H2"/>
    <mergeCell ref="J2:M2"/>
    <mergeCell ref="O2:P2"/>
    <mergeCell ref="S2:U2"/>
    <mergeCell ref="W2:Z2"/>
    <mergeCell ref="S21:T21"/>
    <mergeCell ref="W4:X4"/>
    <mergeCell ref="S8:T8"/>
    <mergeCell ref="O11:P11"/>
    <mergeCell ref="S14:T14"/>
    <mergeCell ref="S18:T18"/>
    <mergeCell ref="O19:P19"/>
  </mergeCells>
  <conditionalFormatting sqref="D4:D10">
    <cfRule type="cellIs" dxfId="12" priority="4" stopIfTrue="1" operator="lessThan">
      <formula>0</formula>
    </cfRule>
  </conditionalFormatting>
  <conditionalFormatting sqref="G28:G30">
    <cfRule type="cellIs" dxfId="11" priority="1" operator="greaterThan">
      <formula>0</formula>
    </cfRule>
    <cfRule type="cellIs" dxfId="10" priority="2"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dimension ref="B1:Q51"/>
  <sheetViews>
    <sheetView zoomScale="75" zoomScaleNormal="75" workbookViewId="0">
      <selection activeCell="B8" sqref="B8"/>
    </sheetView>
  </sheetViews>
  <sheetFormatPr defaultRowHeight="15"/>
  <cols>
    <col min="1" max="1" width="1" style="266" customWidth="1"/>
    <col min="2" max="2" width="45.140625" style="266" bestFit="1" customWidth="1"/>
    <col min="3" max="3" width="14" style="266" bestFit="1" customWidth="1"/>
    <col min="4" max="4" width="17.7109375" style="266" bestFit="1" customWidth="1"/>
    <col min="5" max="5" width="16.42578125" style="266" bestFit="1" customWidth="1"/>
    <col min="6" max="13" width="2.140625" style="266" customWidth="1"/>
    <col min="14" max="14" width="20" style="266" bestFit="1" customWidth="1"/>
    <col min="15" max="15" width="13.85546875" style="266" bestFit="1" customWidth="1"/>
    <col min="16" max="16" width="17.7109375" style="266" bestFit="1" customWidth="1"/>
    <col min="17" max="17" width="16.42578125" style="266" bestFit="1" customWidth="1"/>
    <col min="18" max="16384" width="9.140625" style="266"/>
  </cols>
  <sheetData>
    <row r="1" spans="2:17" ht="26.25">
      <c r="B1" s="588" t="s">
        <v>1517</v>
      </c>
      <c r="C1" s="588"/>
      <c r="D1" s="588"/>
      <c r="E1" s="588"/>
      <c r="N1" s="588" t="s">
        <v>1445</v>
      </c>
      <c r="O1" s="588"/>
      <c r="P1" s="588"/>
      <c r="Q1" s="588"/>
    </row>
    <row r="2" spans="2:17" ht="20.25" thickBot="1">
      <c r="B2" s="277" t="s">
        <v>1516</v>
      </c>
      <c r="C2" s="277" t="s">
        <v>219</v>
      </c>
      <c r="D2" s="276" t="s">
        <v>1515</v>
      </c>
      <c r="E2" s="276" t="s">
        <v>1514</v>
      </c>
      <c r="N2" s="277" t="s">
        <v>1516</v>
      </c>
      <c r="O2" s="277" t="s">
        <v>219</v>
      </c>
      <c r="P2" s="276" t="s">
        <v>1515</v>
      </c>
      <c r="Q2" s="276" t="s">
        <v>1514</v>
      </c>
    </row>
    <row r="3" spans="2:17" ht="15.75" thickTop="1">
      <c r="B3" s="418" t="s">
        <v>21</v>
      </c>
      <c r="C3" s="419">
        <v>2800</v>
      </c>
      <c r="D3" s="418" t="s">
        <v>1513</v>
      </c>
      <c r="E3" s="418" t="s">
        <v>1513</v>
      </c>
      <c r="N3" s="418" t="s">
        <v>21</v>
      </c>
      <c r="O3" s="419">
        <f>C41</f>
        <v>468.30999999999995</v>
      </c>
      <c r="P3" s="418" t="s">
        <v>1513</v>
      </c>
      <c r="Q3" s="418" t="s">
        <v>1513</v>
      </c>
    </row>
    <row r="4" spans="2:17">
      <c r="B4" s="451" t="s">
        <v>2014</v>
      </c>
      <c r="C4" s="424">
        <v>183.85</v>
      </c>
      <c r="D4" s="429"/>
      <c r="E4" s="426"/>
      <c r="N4" s="571" t="s">
        <v>1599</v>
      </c>
      <c r="O4" s="424">
        <v>22.9</v>
      </c>
      <c r="P4" s="425"/>
      <c r="Q4" s="426"/>
    </row>
    <row r="5" spans="2:17">
      <c r="B5" s="451" t="s">
        <v>1702</v>
      </c>
      <c r="C5" s="424">
        <v>15.9</v>
      </c>
      <c r="D5" s="429"/>
      <c r="E5" s="426"/>
      <c r="N5" s="571" t="s">
        <v>1632</v>
      </c>
      <c r="O5" s="424">
        <v>14.9</v>
      </c>
      <c r="P5" s="425"/>
      <c r="Q5" s="426"/>
    </row>
    <row r="6" spans="2:17">
      <c r="B6" s="451" t="s">
        <v>1881</v>
      </c>
      <c r="C6" s="424">
        <v>22.5</v>
      </c>
      <c r="D6" s="429"/>
      <c r="E6" s="426"/>
      <c r="N6" s="569" t="s">
        <v>1478</v>
      </c>
      <c r="O6" s="424">
        <v>6.5</v>
      </c>
      <c r="P6" s="425"/>
      <c r="Q6" s="426"/>
    </row>
    <row r="7" spans="2:17">
      <c r="B7" s="451" t="s">
        <v>2015</v>
      </c>
      <c r="C7" s="424">
        <v>49.9</v>
      </c>
      <c r="D7" s="429"/>
      <c r="E7" s="426"/>
      <c r="N7" s="569" t="s">
        <v>1478</v>
      </c>
      <c r="O7" s="424">
        <v>43.54</v>
      </c>
      <c r="P7" s="425"/>
      <c r="Q7" s="426"/>
    </row>
    <row r="8" spans="2:17">
      <c r="B8" s="573" t="s">
        <v>2016</v>
      </c>
      <c r="C8" s="424">
        <v>74.989999999999995</v>
      </c>
      <c r="D8" s="429"/>
      <c r="E8" s="426"/>
      <c r="N8" s="541" t="s">
        <v>2029</v>
      </c>
      <c r="O8" s="424">
        <v>52</v>
      </c>
      <c r="P8" s="425"/>
      <c r="Q8" s="426"/>
    </row>
    <row r="9" spans="2:17">
      <c r="B9" s="451" t="s">
        <v>2017</v>
      </c>
      <c r="C9" s="424">
        <v>94.38</v>
      </c>
      <c r="D9" s="429"/>
      <c r="E9" s="426"/>
      <c r="N9" s="541" t="s">
        <v>1478</v>
      </c>
      <c r="O9" s="424">
        <v>7.88</v>
      </c>
      <c r="P9" s="425"/>
      <c r="Q9" s="426"/>
    </row>
    <row r="10" spans="2:17">
      <c r="B10" s="451" t="s">
        <v>2018</v>
      </c>
      <c r="C10" s="424">
        <v>60.5</v>
      </c>
      <c r="D10" s="429"/>
      <c r="E10" s="426"/>
      <c r="N10" s="543" t="s">
        <v>1478</v>
      </c>
      <c r="O10" s="424">
        <v>19.55</v>
      </c>
      <c r="P10" s="425"/>
      <c r="Q10" s="426"/>
    </row>
    <row r="11" spans="2:17">
      <c r="B11" s="451" t="s">
        <v>2019</v>
      </c>
      <c r="C11" s="424">
        <v>17.5</v>
      </c>
      <c r="D11" s="429"/>
      <c r="E11" s="426"/>
      <c r="N11" s="572" t="s">
        <v>2012</v>
      </c>
      <c r="O11" s="424">
        <f>198.99/3</f>
        <v>66.33</v>
      </c>
      <c r="P11" s="425"/>
      <c r="Q11" s="426"/>
    </row>
    <row r="12" spans="2:17">
      <c r="B12" s="451" t="s">
        <v>1544</v>
      </c>
      <c r="C12" s="424">
        <v>19.87</v>
      </c>
      <c r="D12" s="429"/>
      <c r="E12" s="426"/>
      <c r="N12" s="541"/>
      <c r="O12" s="424"/>
      <c r="P12" s="425"/>
      <c r="Q12" s="426"/>
    </row>
    <row r="13" spans="2:17">
      <c r="B13" s="451" t="s">
        <v>2020</v>
      </c>
      <c r="C13" s="424">
        <v>45</v>
      </c>
      <c r="D13" s="429"/>
      <c r="E13" s="426"/>
      <c r="N13" s="541"/>
      <c r="O13" s="424"/>
      <c r="P13" s="425"/>
      <c r="Q13" s="426"/>
    </row>
    <row r="14" spans="2:17">
      <c r="B14" s="451" t="s">
        <v>1808</v>
      </c>
      <c r="C14" s="424">
        <v>55.97</v>
      </c>
      <c r="D14" s="429"/>
      <c r="E14" s="426"/>
      <c r="N14" s="439"/>
      <c r="O14" s="424"/>
      <c r="P14" s="425"/>
      <c r="Q14" s="426"/>
    </row>
    <row r="15" spans="2:17">
      <c r="B15" s="451" t="s">
        <v>1503</v>
      </c>
      <c r="C15" s="424">
        <v>90.05</v>
      </c>
      <c r="D15" s="429"/>
      <c r="E15" s="426"/>
      <c r="N15" s="439"/>
      <c r="O15" s="424"/>
      <c r="P15" s="425"/>
      <c r="Q15" s="426"/>
    </row>
    <row r="16" spans="2:17">
      <c r="B16" s="451" t="s">
        <v>2021</v>
      </c>
      <c r="C16" s="424">
        <v>150</v>
      </c>
      <c r="D16" s="429"/>
      <c r="E16" s="426"/>
      <c r="N16" s="572" t="s">
        <v>2013</v>
      </c>
      <c r="O16" s="424">
        <f>2028.52/4</f>
        <v>507.13</v>
      </c>
      <c r="P16" s="425"/>
      <c r="Q16" s="426"/>
    </row>
    <row r="17" spans="2:17" ht="16.5" thickBot="1">
      <c r="B17" s="451" t="s">
        <v>1781</v>
      </c>
      <c r="C17" s="424">
        <v>262.38</v>
      </c>
      <c r="D17" s="429"/>
      <c r="E17" s="426"/>
      <c r="N17" s="286" t="s">
        <v>1534</v>
      </c>
      <c r="O17" s="287">
        <f>O3-SUM(O4:O16)</f>
        <v>-272.42000000000007</v>
      </c>
      <c r="P17" s="286"/>
      <c r="Q17" s="286"/>
    </row>
    <row r="18" spans="2:17" ht="15.75" thickTop="1">
      <c r="B18" s="451" t="s">
        <v>2022</v>
      </c>
      <c r="C18" s="424">
        <v>152.13</v>
      </c>
      <c r="D18" s="429"/>
      <c r="E18" s="426"/>
      <c r="N18" s="266" t="s">
        <v>1584</v>
      </c>
      <c r="O18" s="270">
        <f>AVERAGE(O4:O15)</f>
        <v>29.200000000000003</v>
      </c>
    </row>
    <row r="19" spans="2:17">
      <c r="B19" s="451" t="s">
        <v>2023</v>
      </c>
      <c r="C19" s="424">
        <v>24</v>
      </c>
      <c r="D19" s="429"/>
      <c r="E19" s="426"/>
    </row>
    <row r="20" spans="2:17">
      <c r="B20" s="451" t="s">
        <v>1881</v>
      </c>
      <c r="C20" s="424">
        <v>22.5</v>
      </c>
      <c r="D20" s="429"/>
      <c r="E20" s="426"/>
      <c r="N20" s="603" t="s">
        <v>704</v>
      </c>
      <c r="O20" s="603"/>
      <c r="P20" s="349">
        <f>SUM(C4:C40)</f>
        <v>2331.69</v>
      </c>
    </row>
    <row r="21" spans="2:17">
      <c r="B21" s="451" t="s">
        <v>2024</v>
      </c>
      <c r="C21" s="424">
        <v>38.29</v>
      </c>
      <c r="D21" s="429"/>
      <c r="E21" s="426"/>
      <c r="N21" s="604" t="s">
        <v>1445</v>
      </c>
      <c r="O21" s="604"/>
      <c r="P21" s="349">
        <f>SUM(O4:O16)</f>
        <v>740.73</v>
      </c>
    </row>
    <row r="22" spans="2:17" ht="15.75" thickBot="1">
      <c r="B22" s="451" t="s">
        <v>1486</v>
      </c>
      <c r="C22" s="424">
        <v>40.630000000000003</v>
      </c>
      <c r="D22" s="429"/>
      <c r="E22" s="426"/>
      <c r="N22" s="590" t="s">
        <v>1629</v>
      </c>
      <c r="O22" s="590"/>
      <c r="P22" s="323">
        <f>SUM(P20:P21)</f>
        <v>3072.42</v>
      </c>
    </row>
    <row r="23" spans="2:17" ht="15.75" thickTop="1">
      <c r="B23" s="451" t="s">
        <v>2025</v>
      </c>
      <c r="C23" s="424">
        <v>12.6</v>
      </c>
      <c r="D23" s="429"/>
      <c r="E23" s="426"/>
    </row>
    <row r="24" spans="2:17">
      <c r="B24" s="451" t="s">
        <v>1897</v>
      </c>
      <c r="C24" s="424">
        <v>27.5</v>
      </c>
      <c r="D24" s="429"/>
      <c r="E24" s="426"/>
    </row>
    <row r="25" spans="2:17">
      <c r="B25" s="451" t="s">
        <v>2026</v>
      </c>
      <c r="C25" s="424">
        <v>14.73</v>
      </c>
      <c r="D25" s="429"/>
      <c r="E25" s="426"/>
    </row>
    <row r="26" spans="2:17">
      <c r="B26" s="451" t="s">
        <v>1526</v>
      </c>
      <c r="C26" s="424">
        <v>14.9</v>
      </c>
      <c r="D26" s="429"/>
      <c r="E26" s="426"/>
    </row>
    <row r="27" spans="2:17">
      <c r="B27" s="451" t="s">
        <v>1552</v>
      </c>
      <c r="C27" s="424">
        <v>58.47</v>
      </c>
      <c r="D27" s="429"/>
      <c r="E27" s="426"/>
    </row>
    <row r="28" spans="2:17">
      <c r="B28" s="451" t="s">
        <v>2027</v>
      </c>
      <c r="C28" s="424">
        <v>80.7</v>
      </c>
      <c r="D28" s="429"/>
      <c r="E28" s="426"/>
    </row>
    <row r="29" spans="2:17">
      <c r="B29" s="451" t="s">
        <v>1931</v>
      </c>
      <c r="C29" s="424">
        <v>130.68</v>
      </c>
      <c r="D29" s="429"/>
      <c r="E29" s="426"/>
    </row>
    <row r="30" spans="2:17">
      <c r="B30" s="451" t="s">
        <v>1482</v>
      </c>
      <c r="C30" s="424">
        <v>131.72</v>
      </c>
      <c r="D30" s="429"/>
      <c r="E30" s="426"/>
    </row>
    <row r="31" spans="2:17">
      <c r="B31" s="451" t="s">
        <v>2028</v>
      </c>
      <c r="C31" s="424">
        <v>148.09</v>
      </c>
      <c r="D31" s="429"/>
      <c r="E31" s="426"/>
    </row>
    <row r="32" spans="2:17">
      <c r="B32" s="451" t="s">
        <v>1996</v>
      </c>
      <c r="C32" s="424">
        <v>254.96</v>
      </c>
      <c r="D32" s="429"/>
      <c r="E32" s="426"/>
    </row>
    <row r="33" spans="2:5">
      <c r="B33" s="451" t="s">
        <v>1955</v>
      </c>
      <c r="C33" s="424">
        <v>18.5</v>
      </c>
      <c r="D33" s="429"/>
      <c r="E33" s="426"/>
    </row>
    <row r="34" spans="2:5">
      <c r="B34" s="451" t="s">
        <v>1955</v>
      </c>
      <c r="C34" s="424">
        <v>18.5</v>
      </c>
      <c r="D34" s="429"/>
      <c r="E34" s="426"/>
    </row>
    <row r="35" spans="2:5">
      <c r="B35" s="451"/>
      <c r="C35" s="424"/>
      <c r="D35" s="429"/>
      <c r="E35" s="426"/>
    </row>
    <row r="36" spans="2:5">
      <c r="B36" s="451"/>
      <c r="C36" s="424"/>
      <c r="D36" s="429"/>
      <c r="E36" s="426"/>
    </row>
    <row r="37" spans="2:5">
      <c r="B37" s="451"/>
      <c r="C37" s="424"/>
      <c r="D37" s="429"/>
      <c r="E37" s="426"/>
    </row>
    <row r="38" spans="2:5">
      <c r="B38" s="451"/>
      <c r="C38" s="424"/>
      <c r="D38" s="429"/>
      <c r="E38" s="426"/>
    </row>
    <row r="39" spans="2:5">
      <c r="B39" s="451"/>
      <c r="C39" s="424"/>
      <c r="D39" s="429"/>
      <c r="E39" s="426"/>
    </row>
    <row r="40" spans="2:5">
      <c r="B40" s="451"/>
      <c r="C40" s="424"/>
      <c r="D40" s="429"/>
      <c r="E40" s="426"/>
    </row>
    <row r="41" spans="2:5" ht="16.5" thickBot="1">
      <c r="B41" s="286" t="s">
        <v>1459</v>
      </c>
      <c r="C41" s="287">
        <f>C3-SUM(C4:C40)</f>
        <v>468.30999999999995</v>
      </c>
      <c r="D41" s="286"/>
      <c r="E41" s="286"/>
    </row>
    <row r="42" spans="2:5" ht="15.75" thickTop="1">
      <c r="B42" s="266" t="s">
        <v>1584</v>
      </c>
      <c r="C42" s="270">
        <f>AVERAGE(C4:C34)</f>
        <v>75.215806451612906</v>
      </c>
    </row>
    <row r="43" spans="2:5">
      <c r="C43" s="270"/>
    </row>
    <row r="44" spans="2:5">
      <c r="D44" s="266" t="s">
        <v>1458</v>
      </c>
      <c r="E44" s="269" t="s">
        <v>1457</v>
      </c>
    </row>
    <row r="45" spans="2:5">
      <c r="D45" s="266" t="s">
        <v>1456</v>
      </c>
      <c r="E45" s="268" t="s">
        <v>1455</v>
      </c>
    </row>
    <row r="46" spans="2:5">
      <c r="D46" s="266" t="s">
        <v>38</v>
      </c>
      <c r="E46" s="267" t="s">
        <v>1454</v>
      </c>
    </row>
    <row r="47" spans="2:5">
      <c r="D47" s="266" t="s">
        <v>1453</v>
      </c>
    </row>
    <row r="48" spans="2:5">
      <c r="D48" s="266" t="s">
        <v>1452</v>
      </c>
    </row>
    <row r="49" spans="4:4">
      <c r="D49" s="266" t="s">
        <v>17</v>
      </c>
    </row>
    <row r="50" spans="4:4">
      <c r="D50" s="266" t="s">
        <v>1451</v>
      </c>
    </row>
    <row r="51" spans="4:4">
      <c r="D51" s="266" t="s">
        <v>1450</v>
      </c>
    </row>
  </sheetData>
  <mergeCells count="5">
    <mergeCell ref="B1:E1"/>
    <mergeCell ref="N1:Q1"/>
    <mergeCell ref="N20:O20"/>
    <mergeCell ref="N21:O21"/>
    <mergeCell ref="N22:O22"/>
  </mergeCells>
  <conditionalFormatting sqref="Q4:Q16 E4:E40">
    <cfRule type="containsText" dxfId="5" priority="7" stopIfTrue="1" operator="containsText" text="Necessário">
      <formula>NOT(ISERROR(SEARCH("Necessário",E4)))</formula>
    </cfRule>
  </conditionalFormatting>
  <conditionalFormatting sqref="Q4:Q16 E4:E40">
    <cfRule type="containsText" dxfId="4" priority="6" stopIfTrue="1" operator="containsText" text="Frívolo">
      <formula>NOT(ISERROR(SEARCH("Frívolo",E4)))</formula>
    </cfRule>
  </conditionalFormatting>
  <conditionalFormatting sqref="C43">
    <cfRule type="dataBar" priority="5">
      <dataBar>
        <cfvo type="min" val="0"/>
        <cfvo type="max" val="0"/>
        <color rgb="FF638EC6"/>
      </dataBar>
    </cfRule>
  </conditionalFormatting>
  <conditionalFormatting sqref="C42">
    <cfRule type="dataBar" priority="4">
      <dataBar>
        <cfvo type="min" val="0"/>
        <cfvo type="max" val="0"/>
        <color rgb="FF638EC6"/>
      </dataBar>
    </cfRule>
  </conditionalFormatting>
  <conditionalFormatting sqref="O18">
    <cfRule type="dataBar" priority="3">
      <dataBar>
        <cfvo type="min" val="0"/>
        <cfvo type="max" val="0"/>
        <color rgb="FF638EC6"/>
      </dataBar>
    </cfRule>
  </conditionalFormatting>
  <dataValidations count="2">
    <dataValidation type="list" allowBlank="1" showInputMessage="1" showErrorMessage="1" sqref="P4:P16 D4:D40">
      <formula1>$D$44:$D$51</formula1>
    </dataValidation>
    <dataValidation type="list" allowBlank="1" showInputMessage="1" showErrorMessage="1" sqref="K5:L6 E4:E40 Q4:Q16 F5:F6">
      <formula1>$E$44:$E$46</formula1>
    </dataValidation>
  </dataValidations>
  <pageMargins left="0.511811024" right="0.511811024" top="0.78740157499999996" bottom="0.78740157499999996" header="0.31496062000000002" footer="0.31496062000000002"/>
  <pageSetup paperSize="9" orientation="portrait" r:id="rId1"/>
</worksheet>
</file>

<file path=xl/worksheets/sheet145.xml><?xml version="1.0" encoding="utf-8"?>
<worksheet xmlns="http://schemas.openxmlformats.org/spreadsheetml/2006/main" xmlns:r="http://schemas.openxmlformats.org/officeDocument/2006/relationships">
  <dimension ref="B1:X116"/>
  <sheetViews>
    <sheetView topLeftCell="A52" zoomScale="75" zoomScaleNormal="75" workbookViewId="0">
      <selection activeCell="O79" sqref="O79"/>
    </sheetView>
  </sheetViews>
  <sheetFormatPr defaultRowHeight="12.75"/>
  <cols>
    <col min="1" max="1" width="2.42578125" customWidth="1"/>
    <col min="2" max="2" width="11.5703125" bestFit="1" customWidth="1"/>
    <col min="3" max="3" width="14" bestFit="1" customWidth="1"/>
    <col min="4" max="4" width="1.5703125" customWidth="1"/>
    <col min="5" max="5" width="11.5703125" bestFit="1" customWidth="1"/>
    <col min="6" max="6" width="14" customWidth="1"/>
    <col min="7" max="7" width="1.28515625" customWidth="1"/>
    <col min="8" max="8" width="11.5703125" customWidth="1"/>
    <col min="9" max="9" width="17" customWidth="1"/>
    <col min="10" max="10" width="1.7109375" customWidth="1"/>
    <col min="11" max="11" width="11.5703125" bestFit="1" customWidth="1"/>
    <col min="12" max="12" width="14.5703125" bestFit="1" customWidth="1"/>
    <col min="13" max="13" width="1" customWidth="1"/>
    <col min="14" max="14" width="11.5703125" bestFit="1" customWidth="1"/>
    <col min="15" max="15" width="26.28515625" bestFit="1" customWidth="1"/>
    <col min="16" max="16" width="2.7109375" customWidth="1"/>
    <col min="17" max="17" width="23.5703125" bestFit="1" customWidth="1"/>
    <col min="18" max="18" width="13.85546875" bestFit="1" customWidth="1"/>
    <col min="19" max="19" width="2.140625" customWidth="1"/>
    <col min="20" max="20" width="15.5703125" bestFit="1" customWidth="1"/>
    <col min="21" max="21" width="20.5703125" bestFit="1" customWidth="1"/>
    <col min="22" max="22" width="5.85546875" bestFit="1" customWidth="1"/>
    <col min="23" max="23" width="8.5703125" customWidth="1"/>
    <col min="24" max="24" width="20" customWidth="1"/>
  </cols>
  <sheetData>
    <row r="1" spans="2:24">
      <c r="B1" s="83">
        <v>42583</v>
      </c>
      <c r="C1" s="83">
        <v>42585</v>
      </c>
      <c r="E1" s="453">
        <v>42586</v>
      </c>
      <c r="F1" s="453">
        <v>42586</v>
      </c>
      <c r="H1" s="453">
        <v>42586</v>
      </c>
      <c r="I1" s="453">
        <v>42586</v>
      </c>
      <c r="K1" s="83">
        <v>42586</v>
      </c>
      <c r="L1" s="83">
        <v>42587</v>
      </c>
      <c r="N1" s="453">
        <v>42586</v>
      </c>
      <c r="O1" s="453">
        <v>42586</v>
      </c>
    </row>
    <row r="2" spans="2:24" ht="18">
      <c r="B2" s="614" t="s">
        <v>1560</v>
      </c>
      <c r="C2" s="615"/>
      <c r="E2" s="614" t="s">
        <v>1786</v>
      </c>
      <c r="F2" s="615"/>
      <c r="H2" s="614" t="s">
        <v>1560</v>
      </c>
      <c r="I2" s="615"/>
      <c r="K2" s="614" t="s">
        <v>1560</v>
      </c>
      <c r="L2" s="615"/>
      <c r="N2" s="614" t="s">
        <v>1560</v>
      </c>
      <c r="O2" s="615"/>
      <c r="Q2" s="618" t="s">
        <v>1837</v>
      </c>
      <c r="R2" s="619"/>
      <c r="T2" s="620" t="s">
        <v>1828</v>
      </c>
      <c r="U2" s="620"/>
      <c r="V2" s="620"/>
      <c r="W2" s="620"/>
      <c r="X2" s="620"/>
    </row>
    <row r="3" spans="2:24" ht="16.5" thickBot="1">
      <c r="B3" s="295" t="s">
        <v>1765</v>
      </c>
      <c r="C3" s="295" t="s">
        <v>1766</v>
      </c>
      <c r="E3" s="295" t="s">
        <v>1765</v>
      </c>
      <c r="F3" s="295" t="s">
        <v>1783</v>
      </c>
      <c r="H3" s="295" t="s">
        <v>1765</v>
      </c>
      <c r="I3" s="295" t="s">
        <v>1784</v>
      </c>
      <c r="K3" s="295" t="s">
        <v>1765</v>
      </c>
      <c r="L3" s="295" t="s">
        <v>1785</v>
      </c>
      <c r="N3" s="295" t="s">
        <v>1765</v>
      </c>
      <c r="O3" s="295" t="s">
        <v>1787</v>
      </c>
      <c r="Q3" s="457" t="s">
        <v>1803</v>
      </c>
      <c r="R3" s="193">
        <f>C13+F13+I13+L13+O13+C27+L27+O27+C41+F41+F27+I41+L41+I27+I55+L55+O41+C55+F55+O55+C69+F69+O69+L69+I83+F83+C83+L87+L83+I69+O88+C101+F101</f>
        <v>1221.6720024285714</v>
      </c>
      <c r="T3" s="617">
        <v>42583</v>
      </c>
      <c r="U3" s="617"/>
      <c r="V3" s="617"/>
      <c r="W3" s="462" t="s">
        <v>1834</v>
      </c>
      <c r="X3" s="463">
        <v>16.91</v>
      </c>
    </row>
    <row r="4" spans="2:24" ht="13.5" thickTop="1">
      <c r="B4" s="295" t="s">
        <v>1767</v>
      </c>
      <c r="C4" s="295">
        <v>800</v>
      </c>
      <c r="E4" s="295" t="s">
        <v>1767</v>
      </c>
      <c r="F4" s="295">
        <v>1000</v>
      </c>
      <c r="H4" s="295" t="s">
        <v>1767</v>
      </c>
      <c r="I4" s="295">
        <v>1000</v>
      </c>
      <c r="K4" s="295" t="s">
        <v>1767</v>
      </c>
      <c r="L4" s="295">
        <v>1000</v>
      </c>
      <c r="N4" s="295" t="s">
        <v>1767</v>
      </c>
      <c r="O4" s="295">
        <v>5000</v>
      </c>
      <c r="T4" s="464" t="s">
        <v>1829</v>
      </c>
      <c r="U4" s="464" t="s">
        <v>1830</v>
      </c>
      <c r="V4" s="464" t="s">
        <v>1832</v>
      </c>
      <c r="W4" s="464" t="s">
        <v>1831</v>
      </c>
      <c r="X4" s="464" t="s">
        <v>1833</v>
      </c>
    </row>
    <row r="5" spans="2:24" ht="15.75">
      <c r="B5" s="295" t="s">
        <v>1768</v>
      </c>
      <c r="C5" s="297">
        <v>6.17</v>
      </c>
      <c r="E5" s="295" t="s">
        <v>1768</v>
      </c>
      <c r="F5" s="297">
        <v>9.83</v>
      </c>
      <c r="H5" s="295" t="s">
        <v>1768</v>
      </c>
      <c r="I5" s="297">
        <v>9.48</v>
      </c>
      <c r="K5" s="295" t="s">
        <v>1768</v>
      </c>
      <c r="L5" s="297">
        <v>8.2799999999999994</v>
      </c>
      <c r="N5" s="295" t="s">
        <v>1768</v>
      </c>
      <c r="O5" s="297">
        <v>1.84</v>
      </c>
      <c r="Q5" s="457" t="s">
        <v>1804</v>
      </c>
      <c r="R5" s="193">
        <f>O83</f>
        <v>-1035.76</v>
      </c>
      <c r="T5" s="467" t="s">
        <v>1835</v>
      </c>
      <c r="U5" s="461" t="s">
        <v>1788</v>
      </c>
      <c r="V5" s="461">
        <v>800</v>
      </c>
      <c r="W5" s="461">
        <v>1</v>
      </c>
      <c r="X5" s="466">
        <f>X3/W5</f>
        <v>16.91</v>
      </c>
    </row>
    <row r="6" spans="2:24" ht="15.75" thickBot="1">
      <c r="B6" s="295" t="s">
        <v>1449</v>
      </c>
      <c r="C6" s="297">
        <v>4954.5</v>
      </c>
      <c r="E6" s="295" t="s">
        <v>1449</v>
      </c>
      <c r="F6" s="297">
        <f>F4*F5</f>
        <v>9830</v>
      </c>
      <c r="H6" s="295" t="s">
        <v>1449</v>
      </c>
      <c r="I6" s="297">
        <f>I4*I5</f>
        <v>9480</v>
      </c>
      <c r="K6" s="295" t="s">
        <v>1449</v>
      </c>
      <c r="L6" s="297">
        <f>L4*L5</f>
        <v>8280</v>
      </c>
      <c r="N6" s="295" t="s">
        <v>1449</v>
      </c>
      <c r="O6" s="297">
        <f>O4*O5</f>
        <v>9200</v>
      </c>
      <c r="T6" s="617">
        <v>42585</v>
      </c>
      <c r="U6" s="617"/>
      <c r="V6" s="617"/>
      <c r="W6" s="462" t="s">
        <v>1834</v>
      </c>
      <c r="X6" s="463">
        <v>16.91</v>
      </c>
    </row>
    <row r="7" spans="2:24" ht="16.5" thickTop="1">
      <c r="B7" s="465"/>
      <c r="C7" s="465"/>
      <c r="E7" s="465"/>
      <c r="F7" s="465"/>
      <c r="H7" s="465"/>
      <c r="I7" s="465"/>
      <c r="K7" s="465"/>
      <c r="L7" s="465"/>
      <c r="N7" s="465"/>
      <c r="O7" s="465"/>
      <c r="Q7" s="457" t="s">
        <v>1789</v>
      </c>
      <c r="R7" s="193">
        <f>SUM(R3:R6)</f>
        <v>185.91200242857144</v>
      </c>
      <c r="T7" s="464" t="s">
        <v>1829</v>
      </c>
      <c r="U7" s="464" t="s">
        <v>1830</v>
      </c>
      <c r="V7" s="464" t="s">
        <v>1832</v>
      </c>
      <c r="W7" s="464" t="s">
        <v>1831</v>
      </c>
      <c r="X7" s="464" t="s">
        <v>1833</v>
      </c>
    </row>
    <row r="8" spans="2:24">
      <c r="B8" s="450" t="s">
        <v>1772</v>
      </c>
      <c r="C8" s="298">
        <v>6.4</v>
      </c>
      <c r="E8" s="450" t="s">
        <v>1772</v>
      </c>
      <c r="F8" s="298">
        <v>9.65</v>
      </c>
      <c r="H8" s="450" t="s">
        <v>1772</v>
      </c>
      <c r="I8" s="298">
        <v>9.6999999999999993</v>
      </c>
      <c r="K8" s="450" t="s">
        <v>1772</v>
      </c>
      <c r="L8" s="298">
        <v>8.3800000000000008</v>
      </c>
      <c r="N8" s="450" t="s">
        <v>1772</v>
      </c>
      <c r="O8" s="298">
        <v>1.86</v>
      </c>
      <c r="T8" s="467" t="s">
        <v>1836</v>
      </c>
      <c r="U8" s="461" t="s">
        <v>1788</v>
      </c>
      <c r="V8" s="461">
        <v>800</v>
      </c>
      <c r="W8" s="461">
        <v>1</v>
      </c>
      <c r="X8" s="466">
        <f>X6/W8</f>
        <v>16.91</v>
      </c>
    </row>
    <row r="9" spans="2:24" ht="15.75" thickBot="1">
      <c r="B9" s="295" t="s">
        <v>1767</v>
      </c>
      <c r="C9" s="295">
        <v>800</v>
      </c>
      <c r="E9" s="295" t="s">
        <v>1767</v>
      </c>
      <c r="F9" s="295">
        <v>1000</v>
      </c>
      <c r="H9" s="295" t="s">
        <v>1767</v>
      </c>
      <c r="I9" s="295">
        <v>1000</v>
      </c>
      <c r="K9" s="295" t="s">
        <v>1767</v>
      </c>
      <c r="L9" s="295">
        <v>1000</v>
      </c>
      <c r="N9" s="295" t="s">
        <v>1767</v>
      </c>
      <c r="O9" s="295">
        <v>5000</v>
      </c>
      <c r="T9" s="617">
        <v>42586</v>
      </c>
      <c r="U9" s="617"/>
      <c r="V9" s="617"/>
      <c r="W9" s="462" t="s">
        <v>1834</v>
      </c>
      <c r="X9" s="463">
        <v>71.41</v>
      </c>
    </row>
    <row r="10" spans="2:24" ht="13.5" thickTop="1">
      <c r="B10" s="295" t="s">
        <v>1449</v>
      </c>
      <c r="C10" s="297">
        <f>C8*C9</f>
        <v>5120</v>
      </c>
      <c r="E10" s="295" t="s">
        <v>1449</v>
      </c>
      <c r="F10" s="297">
        <f>F8*F9</f>
        <v>9650</v>
      </c>
      <c r="H10" s="295" t="s">
        <v>1449</v>
      </c>
      <c r="I10" s="297">
        <f>I8*I9</f>
        <v>9700</v>
      </c>
      <c r="K10" s="295" t="s">
        <v>1449</v>
      </c>
      <c r="L10" s="297">
        <f>L8*L9</f>
        <v>8380</v>
      </c>
      <c r="N10" s="295" t="s">
        <v>1449</v>
      </c>
      <c r="O10" s="297">
        <f>O8*O9</f>
        <v>9300</v>
      </c>
      <c r="T10" s="464" t="s">
        <v>1829</v>
      </c>
      <c r="U10" s="464" t="s">
        <v>1830</v>
      </c>
      <c r="V10" s="464" t="s">
        <v>1832</v>
      </c>
      <c r="W10" s="464" t="s">
        <v>1831</v>
      </c>
      <c r="X10" s="464" t="s">
        <v>1833</v>
      </c>
    </row>
    <row r="11" spans="2:24">
      <c r="B11" s="465"/>
      <c r="C11" s="465"/>
      <c r="E11" s="465"/>
      <c r="F11" s="465"/>
      <c r="H11" s="465"/>
      <c r="I11" s="465"/>
      <c r="K11" s="465"/>
      <c r="L11" s="465"/>
      <c r="N11" s="465"/>
      <c r="O11" s="465"/>
      <c r="T11" s="467" t="s">
        <v>1835</v>
      </c>
      <c r="U11" s="461" t="s">
        <v>1784</v>
      </c>
      <c r="V11" s="461">
        <v>1000</v>
      </c>
      <c r="W11" s="461">
        <v>1</v>
      </c>
      <c r="X11" s="466">
        <f>$X$9/$W$17</f>
        <v>10.20142857142857</v>
      </c>
    </row>
    <row r="12" spans="2:24">
      <c r="B12" s="295" t="s">
        <v>1771</v>
      </c>
      <c r="C12" s="458">
        <f>X5+X8</f>
        <v>33.82</v>
      </c>
      <c r="E12" s="295" t="s">
        <v>1771</v>
      </c>
      <c r="F12" s="458">
        <f>X16+X17</f>
        <v>20.40285714285714</v>
      </c>
      <c r="H12" s="295" t="s">
        <v>1771</v>
      </c>
      <c r="I12" s="458">
        <f>X11+X12</f>
        <v>20.40285714285714</v>
      </c>
      <c r="K12" s="295" t="s">
        <v>1771</v>
      </c>
      <c r="L12" s="458">
        <f>X15+X21</f>
        <v>39.271428571428572</v>
      </c>
      <c r="N12" s="295" t="s">
        <v>1771</v>
      </c>
      <c r="O12" s="458">
        <f>X13+X14</f>
        <v>20.40285714285714</v>
      </c>
      <c r="T12" s="467" t="s">
        <v>1836</v>
      </c>
      <c r="U12" s="461" t="s">
        <v>1784</v>
      </c>
      <c r="V12" s="461">
        <v>1000</v>
      </c>
      <c r="W12" s="461">
        <v>2</v>
      </c>
      <c r="X12" s="466">
        <f t="shared" ref="X12:X17" si="0">$X$9/$W$17</f>
        <v>10.20142857142857</v>
      </c>
    </row>
    <row r="13" spans="2:24">
      <c r="B13" s="295" t="s">
        <v>1769</v>
      </c>
      <c r="C13" s="503">
        <f>C10-C6-C12</f>
        <v>131.68</v>
      </c>
      <c r="E13" s="295" t="s">
        <v>1769</v>
      </c>
      <c r="F13" s="503">
        <f>(F10-F6-F12)*(-1)</f>
        <v>200.40285714285713</v>
      </c>
      <c r="H13" s="295" t="s">
        <v>1769</v>
      </c>
      <c r="I13" s="503">
        <f>I10-I6-I12</f>
        <v>199.59714285714287</v>
      </c>
      <c r="K13" s="295" t="s">
        <v>1769</v>
      </c>
      <c r="L13" s="503">
        <f>L10-L6-L12</f>
        <v>60.728571428571428</v>
      </c>
      <c r="N13" s="295" t="s">
        <v>1769</v>
      </c>
      <c r="O13" s="503">
        <f>O10-O6-O12</f>
        <v>79.597142857142856</v>
      </c>
      <c r="T13" s="467" t="s">
        <v>1835</v>
      </c>
      <c r="U13" s="461" t="s">
        <v>1787</v>
      </c>
      <c r="V13" s="461">
        <v>5000</v>
      </c>
      <c r="W13" s="461">
        <v>3</v>
      </c>
      <c r="X13" s="466">
        <f t="shared" si="0"/>
        <v>10.20142857142857</v>
      </c>
    </row>
    <row r="14" spans="2:24">
      <c r="T14" s="467" t="s">
        <v>1836</v>
      </c>
      <c r="U14" s="461" t="s">
        <v>1787</v>
      </c>
      <c r="V14" s="461">
        <v>5000</v>
      </c>
      <c r="W14" s="461">
        <v>4</v>
      </c>
      <c r="X14" s="466">
        <f t="shared" si="0"/>
        <v>10.20142857142857</v>
      </c>
    </row>
    <row r="15" spans="2:24">
      <c r="B15" s="453">
        <v>42586</v>
      </c>
      <c r="C15" s="453">
        <v>42586</v>
      </c>
      <c r="E15" s="453">
        <v>42587</v>
      </c>
      <c r="F15" s="453">
        <v>42593</v>
      </c>
      <c r="H15" s="453">
        <v>42587</v>
      </c>
      <c r="I15" s="453">
        <v>42594</v>
      </c>
      <c r="K15" s="453">
        <v>42591</v>
      </c>
      <c r="L15" s="453">
        <v>42591</v>
      </c>
      <c r="N15" s="453">
        <v>42587</v>
      </c>
      <c r="O15" s="453">
        <v>42587</v>
      </c>
      <c r="T15" s="467" t="s">
        <v>1835</v>
      </c>
      <c r="U15" s="461" t="s">
        <v>1785</v>
      </c>
      <c r="V15" s="461">
        <v>1000</v>
      </c>
      <c r="W15" s="461">
        <v>5</v>
      </c>
      <c r="X15" s="466">
        <f t="shared" si="0"/>
        <v>10.20142857142857</v>
      </c>
    </row>
    <row r="16" spans="2:24" ht="15">
      <c r="B16" s="614" t="s">
        <v>1786</v>
      </c>
      <c r="C16" s="615"/>
      <c r="E16" s="614" t="s">
        <v>1560</v>
      </c>
      <c r="F16" s="615"/>
      <c r="H16" s="614" t="s">
        <v>1560</v>
      </c>
      <c r="I16" s="615"/>
      <c r="K16" s="614" t="s">
        <v>1786</v>
      </c>
      <c r="L16" s="615"/>
      <c r="N16" s="614" t="s">
        <v>1786</v>
      </c>
      <c r="O16" s="615"/>
      <c r="T16" s="467" t="s">
        <v>1835</v>
      </c>
      <c r="U16" s="461" t="s">
        <v>1783</v>
      </c>
      <c r="V16" s="461">
        <v>1000</v>
      </c>
      <c r="W16" s="461">
        <v>6</v>
      </c>
      <c r="X16" s="466">
        <f t="shared" si="0"/>
        <v>10.20142857142857</v>
      </c>
    </row>
    <row r="17" spans="2:24">
      <c r="B17" s="295" t="s">
        <v>1765</v>
      </c>
      <c r="C17" s="295" t="s">
        <v>1840</v>
      </c>
      <c r="E17" s="295" t="s">
        <v>1765</v>
      </c>
      <c r="F17" s="295" t="s">
        <v>1788</v>
      </c>
      <c r="H17" s="295" t="s">
        <v>1765</v>
      </c>
      <c r="I17" s="295" t="s">
        <v>1787</v>
      </c>
      <c r="K17" s="295" t="s">
        <v>1765</v>
      </c>
      <c r="L17" s="295" t="s">
        <v>1783</v>
      </c>
      <c r="N17" s="295" t="s">
        <v>1765</v>
      </c>
      <c r="O17" s="295" t="s">
        <v>1783</v>
      </c>
      <c r="T17" s="467" t="s">
        <v>1836</v>
      </c>
      <c r="U17" s="461" t="s">
        <v>1783</v>
      </c>
      <c r="V17" s="461">
        <v>1000</v>
      </c>
      <c r="W17" s="461">
        <v>7</v>
      </c>
      <c r="X17" s="466">
        <f t="shared" si="0"/>
        <v>10.20142857142857</v>
      </c>
    </row>
    <row r="18" spans="2:24" ht="15.75" thickBot="1">
      <c r="B18" s="295" t="s">
        <v>1767</v>
      </c>
      <c r="C18" s="295">
        <v>1000</v>
      </c>
      <c r="E18" s="295" t="s">
        <v>1767</v>
      </c>
      <c r="F18" s="295">
        <v>2000</v>
      </c>
      <c r="H18" s="295" t="s">
        <v>1767</v>
      </c>
      <c r="I18" s="295">
        <v>3000</v>
      </c>
      <c r="K18" s="295" t="s">
        <v>1767</v>
      </c>
      <c r="L18" s="295">
        <v>1000</v>
      </c>
      <c r="N18" s="295" t="s">
        <v>1767</v>
      </c>
      <c r="O18" s="295">
        <v>1000</v>
      </c>
      <c r="T18" s="617">
        <v>42587</v>
      </c>
      <c r="U18" s="617"/>
      <c r="V18" s="617"/>
      <c r="W18" s="462" t="s">
        <v>1834</v>
      </c>
      <c r="X18" s="463">
        <v>145.35</v>
      </c>
    </row>
    <row r="19" spans="2:24" ht="13.5" thickTop="1">
      <c r="B19" s="295" t="s">
        <v>1768</v>
      </c>
      <c r="C19" s="297">
        <v>9.3800000000000008</v>
      </c>
      <c r="E19" s="295" t="s">
        <v>1768</v>
      </c>
      <c r="F19" s="297">
        <v>6.58</v>
      </c>
      <c r="H19" s="295" t="s">
        <v>1768</v>
      </c>
      <c r="I19" s="297">
        <v>2.02</v>
      </c>
      <c r="K19" s="295" t="s">
        <v>1768</v>
      </c>
      <c r="L19" s="297">
        <v>9.64</v>
      </c>
      <c r="N19" s="295" t="s">
        <v>1768</v>
      </c>
      <c r="O19" s="297">
        <v>9.48</v>
      </c>
      <c r="T19" s="464" t="s">
        <v>1829</v>
      </c>
      <c r="U19" s="464" t="s">
        <v>1830</v>
      </c>
      <c r="V19" s="464" t="s">
        <v>1832</v>
      </c>
      <c r="W19" s="464" t="s">
        <v>1831</v>
      </c>
      <c r="X19" s="464" t="s">
        <v>1833</v>
      </c>
    </row>
    <row r="20" spans="2:24">
      <c r="B20" s="295" t="s">
        <v>1449</v>
      </c>
      <c r="C20" s="297">
        <f>C18*C19</f>
        <v>9380</v>
      </c>
      <c r="E20" s="295" t="s">
        <v>1449</v>
      </c>
      <c r="F20" s="297">
        <f>F18*F19</f>
        <v>13160</v>
      </c>
      <c r="H20" s="295" t="s">
        <v>1449</v>
      </c>
      <c r="I20" s="297">
        <f>I18*I19</f>
        <v>6060</v>
      </c>
      <c r="K20" s="295" t="s">
        <v>1449</v>
      </c>
      <c r="L20" s="297">
        <f>L18*L19</f>
        <v>9640</v>
      </c>
      <c r="N20" s="295" t="s">
        <v>1449</v>
      </c>
      <c r="O20" s="297">
        <f>O18*O19</f>
        <v>9480</v>
      </c>
      <c r="T20" s="467" t="s">
        <v>1835</v>
      </c>
      <c r="U20" s="461" t="s">
        <v>1787</v>
      </c>
      <c r="V20" s="461">
        <v>3000</v>
      </c>
      <c r="W20" s="461">
        <v>1</v>
      </c>
      <c r="X20" s="193">
        <f>$X$18/$W$24</f>
        <v>29.07</v>
      </c>
    </row>
    <row r="21" spans="2:24">
      <c r="B21" s="465"/>
      <c r="C21" s="465"/>
      <c r="E21" s="465"/>
      <c r="F21" s="465"/>
      <c r="H21" s="465"/>
      <c r="I21" s="465"/>
      <c r="K21" s="465"/>
      <c r="L21" s="465"/>
      <c r="N21" s="465"/>
      <c r="O21" s="465"/>
      <c r="T21" s="467" t="s">
        <v>1836</v>
      </c>
      <c r="U21" s="461" t="s">
        <v>1785</v>
      </c>
      <c r="V21" s="461">
        <v>1000</v>
      </c>
      <c r="W21" s="461">
        <v>2</v>
      </c>
      <c r="X21" s="193">
        <f t="shared" ref="X21:X24" si="1">$X$18/$W$24</f>
        <v>29.07</v>
      </c>
    </row>
    <row r="22" spans="2:24">
      <c r="B22" s="450" t="s">
        <v>1772</v>
      </c>
      <c r="C22" s="298">
        <v>9.18</v>
      </c>
      <c r="E22" s="450" t="s">
        <v>1772</v>
      </c>
      <c r="F22" s="298">
        <v>6.61</v>
      </c>
      <c r="H22" s="450" t="s">
        <v>1772</v>
      </c>
      <c r="I22" s="298">
        <v>1.83</v>
      </c>
      <c r="K22" s="450" t="s">
        <v>1772</v>
      </c>
      <c r="L22" s="298">
        <v>9.52</v>
      </c>
      <c r="N22" s="450" t="s">
        <v>1772</v>
      </c>
      <c r="O22" s="298">
        <v>9.5299999999999994</v>
      </c>
      <c r="T22" s="467" t="s">
        <v>1835</v>
      </c>
      <c r="U22" s="461" t="s">
        <v>1788</v>
      </c>
      <c r="V22" s="461">
        <v>2000</v>
      </c>
      <c r="W22" s="461">
        <v>3</v>
      </c>
      <c r="X22" s="193">
        <f t="shared" si="1"/>
        <v>29.07</v>
      </c>
    </row>
    <row r="23" spans="2:24">
      <c r="B23" s="295" t="s">
        <v>1767</v>
      </c>
      <c r="C23" s="295">
        <v>1000</v>
      </c>
      <c r="E23" s="295" t="s">
        <v>1767</v>
      </c>
      <c r="F23" s="295">
        <v>2000</v>
      </c>
      <c r="H23" s="295" t="s">
        <v>1767</v>
      </c>
      <c r="I23" s="295">
        <v>3000</v>
      </c>
      <c r="K23" s="295" t="s">
        <v>1767</v>
      </c>
      <c r="L23" s="295">
        <v>1000</v>
      </c>
      <c r="N23" s="295" t="s">
        <v>1767</v>
      </c>
      <c r="O23" s="295">
        <v>1000</v>
      </c>
      <c r="T23" s="467" t="s">
        <v>1835</v>
      </c>
      <c r="U23" s="461" t="s">
        <v>1783</v>
      </c>
      <c r="V23" s="461">
        <v>1000</v>
      </c>
      <c r="W23" s="461">
        <v>4</v>
      </c>
      <c r="X23" s="193">
        <f t="shared" si="1"/>
        <v>29.07</v>
      </c>
    </row>
    <row r="24" spans="2:24">
      <c r="B24" s="295" t="s">
        <v>1449</v>
      </c>
      <c r="C24" s="297">
        <f>C22*C23</f>
        <v>9180</v>
      </c>
      <c r="E24" s="295" t="s">
        <v>1449</v>
      </c>
      <c r="F24" s="297">
        <f>F22*F23</f>
        <v>13220</v>
      </c>
      <c r="H24" s="295" t="s">
        <v>1449</v>
      </c>
      <c r="I24" s="297">
        <f>I22*I23</f>
        <v>5490</v>
      </c>
      <c r="K24" s="295" t="s">
        <v>1449</v>
      </c>
      <c r="L24" s="297">
        <f>L22*L23</f>
        <v>9520</v>
      </c>
      <c r="N24" s="295" t="s">
        <v>1449</v>
      </c>
      <c r="O24" s="297">
        <f>O22*O23</f>
        <v>9530</v>
      </c>
      <c r="T24" s="467" t="s">
        <v>1836</v>
      </c>
      <c r="U24" s="461" t="s">
        <v>1783</v>
      </c>
      <c r="V24" s="461">
        <v>1000</v>
      </c>
      <c r="W24" s="461">
        <v>5</v>
      </c>
      <c r="X24" s="193">
        <f t="shared" si="1"/>
        <v>29.07</v>
      </c>
    </row>
    <row r="25" spans="2:24" ht="15.75" thickBot="1">
      <c r="B25" s="465"/>
      <c r="C25" s="465"/>
      <c r="E25" s="465"/>
      <c r="F25" s="465"/>
      <c r="H25" s="465"/>
      <c r="I25" s="465"/>
      <c r="K25" s="465"/>
      <c r="L25" s="465"/>
      <c r="N25" s="465"/>
      <c r="O25" s="465"/>
      <c r="T25" s="617">
        <v>42591</v>
      </c>
      <c r="U25" s="617"/>
      <c r="V25" s="617"/>
      <c r="W25" s="462" t="s">
        <v>1834</v>
      </c>
      <c r="X25" s="463">
        <v>28.62</v>
      </c>
    </row>
    <row r="26" spans="2:24" ht="13.5" thickTop="1">
      <c r="B26" s="295" t="s">
        <v>1771</v>
      </c>
      <c r="C26" s="458">
        <f>X16+X17</f>
        <v>20.40285714285714</v>
      </c>
      <c r="E26" s="295" t="s">
        <v>1771</v>
      </c>
      <c r="F26" s="458">
        <f>X22+X39</f>
        <v>66.373999999999995</v>
      </c>
      <c r="H26" s="295" t="s">
        <v>1771</v>
      </c>
      <c r="I26" s="458">
        <f>X20+X44</f>
        <v>46.8675</v>
      </c>
      <c r="K26" s="295" t="s">
        <v>1771</v>
      </c>
      <c r="L26" s="458">
        <f>X29+X30</f>
        <v>14.31</v>
      </c>
      <c r="N26" s="295" t="s">
        <v>1771</v>
      </c>
      <c r="O26" s="458">
        <f>X23+X24</f>
        <v>58.14</v>
      </c>
      <c r="T26" s="464" t="s">
        <v>1829</v>
      </c>
      <c r="U26" s="464" t="s">
        <v>1830</v>
      </c>
      <c r="V26" s="464" t="s">
        <v>1832</v>
      </c>
      <c r="W26" s="464" t="s">
        <v>1831</v>
      </c>
      <c r="X26" s="464" t="s">
        <v>1833</v>
      </c>
    </row>
    <row r="27" spans="2:24">
      <c r="B27" s="295" t="s">
        <v>1769</v>
      </c>
      <c r="C27" s="503">
        <f>(C24-C20-C26)*(-1)</f>
        <v>220.40285714285713</v>
      </c>
      <c r="E27" s="295" t="s">
        <v>1769</v>
      </c>
      <c r="F27" s="503">
        <f>F24-F20-F26</f>
        <v>-6.3739999999999952</v>
      </c>
      <c r="H27" s="295" t="s">
        <v>1769</v>
      </c>
      <c r="I27" s="503">
        <f>I24-I20-I26</f>
        <v>-616.86749999999995</v>
      </c>
      <c r="K27" s="295" t="s">
        <v>1769</v>
      </c>
      <c r="L27" s="503">
        <f>(L20-L24)-L26</f>
        <v>105.69</v>
      </c>
      <c r="N27" s="295" t="s">
        <v>1769</v>
      </c>
      <c r="O27" s="503">
        <f>(O20-O24)-O26</f>
        <v>-108.14</v>
      </c>
      <c r="T27" s="467" t="s">
        <v>1835</v>
      </c>
      <c r="U27" s="461" t="s">
        <v>1838</v>
      </c>
      <c r="V27" s="461">
        <v>1000</v>
      </c>
      <c r="W27" s="461">
        <v>1</v>
      </c>
      <c r="X27" s="193">
        <f>$X$25/$W$30</f>
        <v>7.1550000000000002</v>
      </c>
    </row>
    <row r="28" spans="2:24">
      <c r="T28" s="467" t="s">
        <v>1836</v>
      </c>
      <c r="U28" s="461" t="s">
        <v>1801</v>
      </c>
      <c r="V28" s="461">
        <v>1000</v>
      </c>
      <c r="W28" s="461">
        <v>2</v>
      </c>
      <c r="X28" s="193">
        <f t="shared" ref="X28:X30" si="2">$X$25/$W$30</f>
        <v>7.1550000000000002</v>
      </c>
    </row>
    <row r="29" spans="2:24">
      <c r="B29" s="453">
        <v>42591</v>
      </c>
      <c r="C29" s="453">
        <v>42591</v>
      </c>
      <c r="E29" s="453">
        <v>42592</v>
      </c>
      <c r="F29" s="453">
        <v>42593</v>
      </c>
      <c r="H29" s="453">
        <v>42592</v>
      </c>
      <c r="I29" s="453">
        <v>42593</v>
      </c>
      <c r="K29" s="453">
        <v>42593</v>
      </c>
      <c r="L29" s="453">
        <v>42593</v>
      </c>
      <c r="N29" s="453">
        <v>42593</v>
      </c>
      <c r="O29" s="453">
        <v>42600</v>
      </c>
      <c r="T29" s="467" t="s">
        <v>1835</v>
      </c>
      <c r="U29" s="461" t="s">
        <v>1783</v>
      </c>
      <c r="V29" s="461">
        <v>1000</v>
      </c>
      <c r="W29" s="461">
        <v>3</v>
      </c>
      <c r="X29" s="193">
        <f t="shared" si="2"/>
        <v>7.1550000000000002</v>
      </c>
    </row>
    <row r="30" spans="2:24" ht="15">
      <c r="B30" s="614" t="s">
        <v>1560</v>
      </c>
      <c r="C30" s="615"/>
      <c r="E30" s="614" t="s">
        <v>1786</v>
      </c>
      <c r="F30" s="615"/>
      <c r="H30" s="614" t="s">
        <v>1560</v>
      </c>
      <c r="I30" s="615"/>
      <c r="K30" s="614" t="s">
        <v>1786</v>
      </c>
      <c r="L30" s="615"/>
      <c r="N30" s="614" t="s">
        <v>1786</v>
      </c>
      <c r="O30" s="615"/>
      <c r="T30" s="467" t="s">
        <v>1836</v>
      </c>
      <c r="U30" s="461" t="s">
        <v>1783</v>
      </c>
      <c r="V30" s="461">
        <v>1000</v>
      </c>
      <c r="W30" s="461">
        <v>4</v>
      </c>
      <c r="X30" s="193">
        <f t="shared" si="2"/>
        <v>7.1550000000000002</v>
      </c>
    </row>
    <row r="31" spans="2:24" ht="15.75" thickBot="1">
      <c r="B31" s="295" t="s">
        <v>1765</v>
      </c>
      <c r="C31" s="295" t="s">
        <v>1801</v>
      </c>
      <c r="E31" s="295" t="s">
        <v>1765</v>
      </c>
      <c r="F31" s="295" t="s">
        <v>1783</v>
      </c>
      <c r="H31" s="295" t="s">
        <v>1765</v>
      </c>
      <c r="I31" s="295" t="s">
        <v>1785</v>
      </c>
      <c r="K31" s="295" t="s">
        <v>1765</v>
      </c>
      <c r="L31" s="295" t="s">
        <v>1783</v>
      </c>
      <c r="N31" s="295" t="s">
        <v>1765</v>
      </c>
      <c r="O31" s="295" t="s">
        <v>1802</v>
      </c>
      <c r="T31" s="617">
        <v>42592</v>
      </c>
      <c r="U31" s="617"/>
      <c r="V31" s="617"/>
      <c r="W31" s="462" t="s">
        <v>1834</v>
      </c>
      <c r="X31" s="463">
        <v>65.8</v>
      </c>
    </row>
    <row r="32" spans="2:24" ht="13.5" thickTop="1">
      <c r="B32" s="295" t="s">
        <v>1767</v>
      </c>
      <c r="C32" s="295">
        <v>1000</v>
      </c>
      <c r="E32" s="295" t="s">
        <v>1767</v>
      </c>
      <c r="F32" s="295">
        <v>1000</v>
      </c>
      <c r="H32" s="295" t="s">
        <v>1767</v>
      </c>
      <c r="I32" s="295">
        <v>1000</v>
      </c>
      <c r="K32" s="295" t="s">
        <v>1767</v>
      </c>
      <c r="L32" s="295">
        <v>1000</v>
      </c>
      <c r="N32" s="295" t="s">
        <v>1767</v>
      </c>
      <c r="O32" s="295">
        <v>1000</v>
      </c>
      <c r="T32" s="464" t="s">
        <v>1829</v>
      </c>
      <c r="U32" s="464" t="s">
        <v>1830</v>
      </c>
      <c r="V32" s="464" t="s">
        <v>1832</v>
      </c>
      <c r="W32" s="464" t="s">
        <v>1831</v>
      </c>
      <c r="X32" s="464" t="s">
        <v>1833</v>
      </c>
    </row>
    <row r="33" spans="2:24">
      <c r="B33" s="295" t="s">
        <v>1768</v>
      </c>
      <c r="C33" s="297">
        <v>8.73</v>
      </c>
      <c r="E33" s="295" t="s">
        <v>1768</v>
      </c>
      <c r="F33" s="297">
        <v>9.39</v>
      </c>
      <c r="H33" s="295" t="s">
        <v>1768</v>
      </c>
      <c r="I33" s="297">
        <v>8.75</v>
      </c>
      <c r="K33" s="295" t="s">
        <v>1768</v>
      </c>
      <c r="L33" s="297">
        <v>9.9</v>
      </c>
      <c r="N33" s="295" t="s">
        <v>1768</v>
      </c>
      <c r="O33" s="297">
        <v>5.23</v>
      </c>
      <c r="T33" s="467" t="s">
        <v>1835</v>
      </c>
      <c r="U33" s="461" t="s">
        <v>1785</v>
      </c>
      <c r="V33" s="461">
        <v>1000</v>
      </c>
      <c r="W33" s="461">
        <v>1</v>
      </c>
      <c r="X33" s="193">
        <f>$X$31/$W$34</f>
        <v>32.9</v>
      </c>
    </row>
    <row r="34" spans="2:24">
      <c r="B34" s="295" t="s">
        <v>1449</v>
      </c>
      <c r="C34" s="297">
        <f>C32*C33</f>
        <v>8730</v>
      </c>
      <c r="E34" s="295" t="s">
        <v>1449</v>
      </c>
      <c r="F34" s="297">
        <f>F32*F33</f>
        <v>9390</v>
      </c>
      <c r="H34" s="295" t="s">
        <v>1449</v>
      </c>
      <c r="I34" s="297">
        <f>I32*I33</f>
        <v>8750</v>
      </c>
      <c r="K34" s="295" t="s">
        <v>1449</v>
      </c>
      <c r="L34" s="297">
        <f>L32*L33</f>
        <v>9900</v>
      </c>
      <c r="N34" s="295" t="s">
        <v>1449</v>
      </c>
      <c r="O34" s="297">
        <f>O32*O33</f>
        <v>5230</v>
      </c>
      <c r="T34" s="467" t="s">
        <v>1836</v>
      </c>
      <c r="U34" s="461" t="s">
        <v>1783</v>
      </c>
      <c r="V34" s="461">
        <v>1000</v>
      </c>
      <c r="W34" s="461">
        <v>2</v>
      </c>
      <c r="X34" s="193">
        <f>$X$31/$W$34</f>
        <v>32.9</v>
      </c>
    </row>
    <row r="35" spans="2:24" ht="15.75" thickBot="1">
      <c r="B35" s="465"/>
      <c r="C35" s="465"/>
      <c r="E35" s="465"/>
      <c r="F35" s="465"/>
      <c r="H35" s="465"/>
      <c r="I35" s="465"/>
      <c r="K35" s="465"/>
      <c r="L35" s="465"/>
      <c r="N35" s="465"/>
      <c r="O35" s="465"/>
      <c r="T35" s="617">
        <v>42593</v>
      </c>
      <c r="U35" s="617"/>
      <c r="V35" s="617"/>
      <c r="W35" s="462" t="s">
        <v>1834</v>
      </c>
      <c r="X35" s="463">
        <v>186.52</v>
      </c>
    </row>
    <row r="36" spans="2:24" ht="13.5" thickTop="1">
      <c r="B36" s="450" t="s">
        <v>1772</v>
      </c>
      <c r="C36" s="298">
        <v>8.64</v>
      </c>
      <c r="E36" s="450" t="s">
        <v>1772</v>
      </c>
      <c r="F36" s="298">
        <v>9.7799999999999994</v>
      </c>
      <c r="H36" s="450" t="s">
        <v>1772</v>
      </c>
      <c r="I36" s="298">
        <v>8.98</v>
      </c>
      <c r="K36" s="450" t="s">
        <v>1772</v>
      </c>
      <c r="L36" s="298">
        <v>9.98</v>
      </c>
      <c r="N36" s="450" t="s">
        <v>1772</v>
      </c>
      <c r="O36" s="298">
        <v>5.24</v>
      </c>
      <c r="T36" s="464" t="s">
        <v>1829</v>
      </c>
      <c r="U36" s="464" t="s">
        <v>1830</v>
      </c>
      <c r="V36" s="464" t="s">
        <v>1832</v>
      </c>
      <c r="W36" s="464" t="s">
        <v>1831</v>
      </c>
      <c r="X36" s="464" t="s">
        <v>1833</v>
      </c>
    </row>
    <row r="37" spans="2:24">
      <c r="B37" s="295" t="s">
        <v>1767</v>
      </c>
      <c r="C37" s="295">
        <v>1000</v>
      </c>
      <c r="E37" s="295" t="s">
        <v>1767</v>
      </c>
      <c r="F37" s="295">
        <v>1000</v>
      </c>
      <c r="H37" s="295" t="s">
        <v>1767</v>
      </c>
      <c r="I37" s="295">
        <v>1000</v>
      </c>
      <c r="K37" s="295" t="s">
        <v>1767</v>
      </c>
      <c r="L37" s="295">
        <v>1000</v>
      </c>
      <c r="N37" s="295" t="s">
        <v>1767</v>
      </c>
      <c r="O37" s="295">
        <v>1000</v>
      </c>
      <c r="T37" s="467" t="s">
        <v>1836</v>
      </c>
      <c r="U37" s="461" t="s">
        <v>1785</v>
      </c>
      <c r="V37" s="461">
        <v>1000</v>
      </c>
      <c r="W37" s="461">
        <v>1</v>
      </c>
      <c r="X37" s="193">
        <f>$X$35/$W$41</f>
        <v>37.304000000000002</v>
      </c>
    </row>
    <row r="38" spans="2:24">
      <c r="B38" s="295" t="s">
        <v>1449</v>
      </c>
      <c r="C38" s="297">
        <f>C36*C37</f>
        <v>8640</v>
      </c>
      <c r="E38" s="295" t="s">
        <v>1449</v>
      </c>
      <c r="F38" s="297">
        <f>F36*F37</f>
        <v>9780</v>
      </c>
      <c r="H38" s="295" t="s">
        <v>1449</v>
      </c>
      <c r="I38" s="297">
        <f>I36*I37</f>
        <v>8980</v>
      </c>
      <c r="K38" s="295" t="s">
        <v>1449</v>
      </c>
      <c r="L38" s="297">
        <f>L36*L37</f>
        <v>9980</v>
      </c>
      <c r="N38" s="295" t="s">
        <v>1449</v>
      </c>
      <c r="O38" s="297">
        <f>O36*O37</f>
        <v>5240</v>
      </c>
      <c r="T38" s="467" t="s">
        <v>1836</v>
      </c>
      <c r="U38" s="461" t="s">
        <v>1839</v>
      </c>
      <c r="V38" s="461">
        <v>1000</v>
      </c>
      <c r="W38" s="461">
        <v>2</v>
      </c>
      <c r="X38" s="193">
        <f t="shared" ref="X38:X41" si="3">$X$35/$W$41</f>
        <v>37.304000000000002</v>
      </c>
    </row>
    <row r="39" spans="2:24">
      <c r="B39" s="465"/>
      <c r="C39" s="465"/>
      <c r="E39" s="465"/>
      <c r="F39" s="465"/>
      <c r="H39" s="465"/>
      <c r="I39" s="465"/>
      <c r="K39" s="465"/>
      <c r="L39" s="465"/>
      <c r="N39" s="465"/>
      <c r="O39" s="465"/>
      <c r="T39" s="467" t="s">
        <v>1836</v>
      </c>
      <c r="U39" s="461" t="s">
        <v>1788</v>
      </c>
      <c r="V39" s="461">
        <v>2000</v>
      </c>
      <c r="W39" s="461">
        <v>3</v>
      </c>
      <c r="X39" s="193">
        <f t="shared" si="3"/>
        <v>37.304000000000002</v>
      </c>
    </row>
    <row r="40" spans="2:24">
      <c r="B40" s="295" t="s">
        <v>1771</v>
      </c>
      <c r="C40" s="458">
        <f>X27+X28</f>
        <v>14.31</v>
      </c>
      <c r="E40" s="295" t="s">
        <v>1771</v>
      </c>
      <c r="F40" s="458">
        <f>X34+X40</f>
        <v>70.204000000000008</v>
      </c>
      <c r="H40" s="295" t="s">
        <v>1771</v>
      </c>
      <c r="I40" s="458">
        <f>X33+X37</f>
        <v>70.204000000000008</v>
      </c>
      <c r="K40" s="295" t="s">
        <v>1771</v>
      </c>
      <c r="L40" s="458">
        <f>X40+X41</f>
        <v>74.608000000000004</v>
      </c>
      <c r="N40" s="295" t="s">
        <v>1771</v>
      </c>
      <c r="O40" s="458">
        <f>X38+X59</f>
        <v>54.219000000000001</v>
      </c>
      <c r="T40" s="467" t="s">
        <v>1835</v>
      </c>
      <c r="U40" s="461" t="s">
        <v>1783</v>
      </c>
      <c r="V40" s="461">
        <v>2000</v>
      </c>
      <c r="W40" s="461">
        <v>4</v>
      </c>
      <c r="X40" s="193">
        <f t="shared" si="3"/>
        <v>37.304000000000002</v>
      </c>
    </row>
    <row r="41" spans="2:24">
      <c r="B41" s="295" t="s">
        <v>1769</v>
      </c>
      <c r="C41" s="503">
        <f>C38-C34-C40</f>
        <v>-104.31</v>
      </c>
      <c r="E41" s="295" t="s">
        <v>1769</v>
      </c>
      <c r="F41" s="503">
        <f>(F34-F38)-F40</f>
        <v>-460.20400000000001</v>
      </c>
      <c r="H41" s="295" t="s">
        <v>1769</v>
      </c>
      <c r="I41" s="503">
        <f>I38-I34-I40</f>
        <v>159.79599999999999</v>
      </c>
      <c r="K41" s="295" t="s">
        <v>1769</v>
      </c>
      <c r="L41" s="503">
        <f>(L34-L38)-L40</f>
        <v>-154.608</v>
      </c>
      <c r="N41" s="295" t="s">
        <v>1769</v>
      </c>
      <c r="O41" s="503">
        <f>(O34-O38)-O40</f>
        <v>-64.218999999999994</v>
      </c>
      <c r="T41" s="467" t="s">
        <v>1836</v>
      </c>
      <c r="U41" s="461" t="s">
        <v>1783</v>
      </c>
      <c r="V41" s="461">
        <v>2000</v>
      </c>
      <c r="W41" s="461">
        <v>5</v>
      </c>
      <c r="X41" s="193">
        <f t="shared" si="3"/>
        <v>37.304000000000002</v>
      </c>
    </row>
    <row r="42" spans="2:24" ht="15.75" thickBot="1">
      <c r="T42" s="617">
        <v>42594</v>
      </c>
      <c r="U42" s="617"/>
      <c r="V42" s="617"/>
      <c r="W42" s="462" t="s">
        <v>1834</v>
      </c>
      <c r="X42" s="463">
        <v>71.19</v>
      </c>
    </row>
    <row r="43" spans="2:24" ht="13.5" thickTop="1">
      <c r="B43" s="453">
        <v>42593</v>
      </c>
      <c r="C43" s="453">
        <v>42594</v>
      </c>
      <c r="E43" s="453">
        <v>42594</v>
      </c>
      <c r="F43" s="453">
        <v>42597</v>
      </c>
      <c r="H43" s="453">
        <v>42599</v>
      </c>
      <c r="I43" s="453">
        <v>42599</v>
      </c>
      <c r="K43" s="453">
        <v>42599</v>
      </c>
      <c r="L43" s="453">
        <v>42600</v>
      </c>
      <c r="N43" s="453">
        <v>42601</v>
      </c>
      <c r="O43" s="453">
        <v>42601</v>
      </c>
      <c r="T43" s="464" t="s">
        <v>1829</v>
      </c>
      <c r="U43" s="464" t="s">
        <v>1830</v>
      </c>
      <c r="V43" s="464" t="s">
        <v>1832</v>
      </c>
      <c r="W43" s="464" t="s">
        <v>1831</v>
      </c>
      <c r="X43" s="464" t="s">
        <v>1833</v>
      </c>
    </row>
    <row r="44" spans="2:24" ht="15">
      <c r="B44" s="614" t="s">
        <v>1786</v>
      </c>
      <c r="C44" s="615"/>
      <c r="E44" s="614" t="s">
        <v>1560</v>
      </c>
      <c r="F44" s="615"/>
      <c r="H44" s="614" t="s">
        <v>1560</v>
      </c>
      <c r="I44" s="615"/>
      <c r="K44" s="614" t="s">
        <v>1786</v>
      </c>
      <c r="L44" s="615"/>
      <c r="N44" s="614" t="s">
        <v>1560</v>
      </c>
      <c r="O44" s="615"/>
      <c r="T44" s="467" t="s">
        <v>1836</v>
      </c>
      <c r="U44" s="461" t="s">
        <v>1787</v>
      </c>
      <c r="V44" s="461">
        <v>3000</v>
      </c>
      <c r="W44" s="461">
        <v>1</v>
      </c>
      <c r="X44" s="193">
        <f>$X$42/$W$47</f>
        <v>17.797499999999999</v>
      </c>
    </row>
    <row r="45" spans="2:24">
      <c r="B45" s="295" t="s">
        <v>1765</v>
      </c>
      <c r="C45" s="295" t="s">
        <v>1783</v>
      </c>
      <c r="E45" s="295" t="s">
        <v>1765</v>
      </c>
      <c r="F45" s="295" t="s">
        <v>1785</v>
      </c>
      <c r="H45" s="295" t="s">
        <v>1765</v>
      </c>
      <c r="I45" s="295" t="s">
        <v>1785</v>
      </c>
      <c r="K45" s="295" t="s">
        <v>1765</v>
      </c>
      <c r="L45" s="295" t="s">
        <v>1784</v>
      </c>
      <c r="N45" s="295" t="s">
        <v>1765</v>
      </c>
      <c r="O45" s="295" t="s">
        <v>1788</v>
      </c>
      <c r="T45" s="467" t="s">
        <v>1835</v>
      </c>
      <c r="U45" s="461" t="s">
        <v>1785</v>
      </c>
      <c r="V45" s="461">
        <v>1000</v>
      </c>
      <c r="W45" s="461">
        <v>2</v>
      </c>
      <c r="X45" s="193">
        <f t="shared" ref="X45:X47" si="4">$X$42/$W$47</f>
        <v>17.797499999999999</v>
      </c>
    </row>
    <row r="46" spans="2:24">
      <c r="B46" s="295" t="s">
        <v>1767</v>
      </c>
      <c r="C46" s="295">
        <v>1000</v>
      </c>
      <c r="E46" s="295" t="s">
        <v>1767</v>
      </c>
      <c r="F46" s="295">
        <v>1000</v>
      </c>
      <c r="H46" s="295" t="s">
        <v>1767</v>
      </c>
      <c r="I46" s="295">
        <v>1000</v>
      </c>
      <c r="K46" s="295" t="s">
        <v>1767</v>
      </c>
      <c r="L46" s="295">
        <v>1000</v>
      </c>
      <c r="N46" s="295" t="s">
        <v>1767</v>
      </c>
      <c r="O46" s="295">
        <v>1500</v>
      </c>
      <c r="T46" s="467" t="s">
        <v>1835</v>
      </c>
      <c r="U46" s="461" t="s">
        <v>1783</v>
      </c>
      <c r="V46" s="461">
        <v>1000</v>
      </c>
      <c r="W46" s="461">
        <v>3</v>
      </c>
      <c r="X46" s="193">
        <f t="shared" si="4"/>
        <v>17.797499999999999</v>
      </c>
    </row>
    <row r="47" spans="2:24">
      <c r="B47" s="295" t="s">
        <v>1768</v>
      </c>
      <c r="C47" s="297">
        <v>9.9700000000000006</v>
      </c>
      <c r="E47" s="295" t="s">
        <v>1768</v>
      </c>
      <c r="F47" s="297">
        <v>9.19</v>
      </c>
      <c r="H47" s="295" t="s">
        <v>1768</v>
      </c>
      <c r="I47" s="297">
        <v>9.5</v>
      </c>
      <c r="K47" s="295" t="s">
        <v>1768</v>
      </c>
      <c r="L47" s="297">
        <v>9.11</v>
      </c>
      <c r="N47" s="295" t="s">
        <v>1768</v>
      </c>
      <c r="O47" s="297">
        <v>7.29</v>
      </c>
      <c r="T47" s="467" t="s">
        <v>1836</v>
      </c>
      <c r="U47" s="461" t="s">
        <v>1783</v>
      </c>
      <c r="V47" s="461">
        <v>1000</v>
      </c>
      <c r="W47" s="461">
        <v>4</v>
      </c>
      <c r="X47" s="193">
        <f t="shared" si="4"/>
        <v>17.797499999999999</v>
      </c>
    </row>
    <row r="48" spans="2:24" ht="15.75" thickBot="1">
      <c r="B48" s="295" t="s">
        <v>1449</v>
      </c>
      <c r="C48" s="297">
        <f>C46*C47</f>
        <v>9970</v>
      </c>
      <c r="E48" s="295" t="s">
        <v>1449</v>
      </c>
      <c r="F48" s="297">
        <f>F46*F47</f>
        <v>9190</v>
      </c>
      <c r="H48" s="295" t="s">
        <v>1449</v>
      </c>
      <c r="I48" s="297">
        <f>I46*I47</f>
        <v>9500</v>
      </c>
      <c r="K48" s="295" t="s">
        <v>1449</v>
      </c>
      <c r="L48" s="297">
        <f>L46*L47</f>
        <v>9110</v>
      </c>
      <c r="N48" s="295" t="s">
        <v>1449</v>
      </c>
      <c r="O48" s="297">
        <f>O46*O47</f>
        <v>10935</v>
      </c>
      <c r="T48" s="617">
        <v>42597</v>
      </c>
      <c r="U48" s="617"/>
      <c r="V48" s="617"/>
      <c r="W48" s="462" t="s">
        <v>1834</v>
      </c>
      <c r="X48" s="463">
        <v>83.69</v>
      </c>
    </row>
    <row r="49" spans="2:24" ht="13.5" thickTop="1">
      <c r="B49" s="465"/>
      <c r="C49" s="465"/>
      <c r="E49" s="465"/>
      <c r="F49" s="465"/>
      <c r="H49" s="465"/>
      <c r="I49" s="465"/>
      <c r="K49" s="465"/>
      <c r="L49" s="465"/>
      <c r="N49" s="465"/>
      <c r="O49" s="465"/>
      <c r="T49" s="464" t="s">
        <v>1829</v>
      </c>
      <c r="U49" s="464" t="s">
        <v>1830</v>
      </c>
      <c r="V49" s="464" t="s">
        <v>1832</v>
      </c>
      <c r="W49" s="464" t="s">
        <v>1831</v>
      </c>
      <c r="X49" s="464" t="s">
        <v>1833</v>
      </c>
    </row>
    <row r="50" spans="2:24">
      <c r="B50" s="450" t="s">
        <v>1772</v>
      </c>
      <c r="C50" s="298">
        <v>9.99</v>
      </c>
      <c r="E50" s="450" t="s">
        <v>1772</v>
      </c>
      <c r="F50" s="298">
        <v>9.6999999999999993</v>
      </c>
      <c r="H50" s="450" t="s">
        <v>1772</v>
      </c>
      <c r="I50" s="298">
        <v>9.8000000000000007</v>
      </c>
      <c r="K50" s="450" t="s">
        <v>1772</v>
      </c>
      <c r="L50" s="298">
        <v>9.2200000000000006</v>
      </c>
      <c r="N50" s="450" t="s">
        <v>1772</v>
      </c>
      <c r="O50" s="298">
        <v>7.4</v>
      </c>
      <c r="T50" s="467" t="s">
        <v>1836</v>
      </c>
      <c r="U50" s="461" t="s">
        <v>1785</v>
      </c>
      <c r="V50" s="461">
        <v>1000</v>
      </c>
      <c r="W50" s="461">
        <v>1</v>
      </c>
      <c r="X50" s="193">
        <f>X48</f>
        <v>83.69</v>
      </c>
    </row>
    <row r="51" spans="2:24" ht="15.75" thickBot="1">
      <c r="B51" s="295" t="s">
        <v>1767</v>
      </c>
      <c r="C51" s="295">
        <v>1000</v>
      </c>
      <c r="E51" s="295" t="s">
        <v>1767</v>
      </c>
      <c r="F51" s="295">
        <v>1000</v>
      </c>
      <c r="H51" s="295" t="s">
        <v>1767</v>
      </c>
      <c r="I51" s="295">
        <v>1000</v>
      </c>
      <c r="K51" s="295" t="s">
        <v>1767</v>
      </c>
      <c r="L51" s="295">
        <v>1000</v>
      </c>
      <c r="N51" s="295" t="s">
        <v>1767</v>
      </c>
      <c r="O51" s="295">
        <v>1500</v>
      </c>
      <c r="T51" s="617">
        <v>42599</v>
      </c>
      <c r="U51" s="617"/>
      <c r="V51" s="617"/>
      <c r="W51" s="462" t="s">
        <v>1834</v>
      </c>
      <c r="X51" s="463">
        <v>35.08</v>
      </c>
    </row>
    <row r="52" spans="2:24" ht="13.5" thickTop="1">
      <c r="B52" s="295" t="s">
        <v>1449</v>
      </c>
      <c r="C52" s="297">
        <f>C50*C51</f>
        <v>9990</v>
      </c>
      <c r="E52" s="295" t="s">
        <v>1449</v>
      </c>
      <c r="F52" s="297">
        <f>F50*F51</f>
        <v>9700</v>
      </c>
      <c r="H52" s="295" t="s">
        <v>1449</v>
      </c>
      <c r="I52" s="297">
        <f>I50*I51</f>
        <v>9800</v>
      </c>
      <c r="K52" s="295" t="s">
        <v>1449</v>
      </c>
      <c r="L52" s="297">
        <f>L50*L51</f>
        <v>9220</v>
      </c>
      <c r="N52" s="295" t="s">
        <v>1449</v>
      </c>
      <c r="O52" s="297">
        <f>O50*O51</f>
        <v>11100</v>
      </c>
      <c r="T52" s="464" t="s">
        <v>1829</v>
      </c>
      <c r="U52" s="464" t="s">
        <v>1830</v>
      </c>
      <c r="V52" s="464" t="s">
        <v>1832</v>
      </c>
      <c r="W52" s="464" t="s">
        <v>1831</v>
      </c>
      <c r="X52" s="464" t="s">
        <v>1833</v>
      </c>
    </row>
    <row r="53" spans="2:24">
      <c r="B53" s="295"/>
      <c r="C53" s="297"/>
      <c r="E53" s="295"/>
      <c r="F53" s="297"/>
      <c r="H53" s="295"/>
      <c r="I53" s="297"/>
      <c r="K53" s="295"/>
      <c r="L53" s="297"/>
      <c r="N53" s="295"/>
      <c r="O53" s="297"/>
      <c r="T53" s="467" t="s">
        <v>1835</v>
      </c>
      <c r="U53" s="461" t="s">
        <v>1785</v>
      </c>
      <c r="V53" s="461">
        <v>1000</v>
      </c>
      <c r="W53" s="461">
        <v>1</v>
      </c>
      <c r="X53" s="193">
        <f>$X$51/$W$55</f>
        <v>11.693333333333333</v>
      </c>
    </row>
    <row r="54" spans="2:24">
      <c r="B54" s="295" t="s">
        <v>1771</v>
      </c>
      <c r="C54" s="458">
        <f>X46+X47</f>
        <v>35.594999999999999</v>
      </c>
      <c r="E54" s="295" t="s">
        <v>1771</v>
      </c>
      <c r="F54" s="458">
        <f>X45+X50</f>
        <v>101.4875</v>
      </c>
      <c r="H54" s="295" t="s">
        <v>1771</v>
      </c>
      <c r="I54" s="458">
        <f>X53+X55</f>
        <v>23.386666666666667</v>
      </c>
      <c r="K54" s="295" t="s">
        <v>1771</v>
      </c>
      <c r="L54" s="458">
        <f>X54+X58</f>
        <v>28.608333333333334</v>
      </c>
      <c r="N54" s="295" t="s">
        <v>1771</v>
      </c>
      <c r="O54" s="458">
        <f>X62+X63</f>
        <v>22.71</v>
      </c>
      <c r="T54" s="467" t="s">
        <v>1835</v>
      </c>
      <c r="U54" s="461" t="s">
        <v>1784</v>
      </c>
      <c r="V54" s="461">
        <v>1000</v>
      </c>
      <c r="W54" s="461">
        <v>2</v>
      </c>
      <c r="X54" s="193">
        <f t="shared" ref="X54:X55" si="5">$X$51/$W$55</f>
        <v>11.693333333333333</v>
      </c>
    </row>
    <row r="55" spans="2:24">
      <c r="B55" s="295" t="s">
        <v>1769</v>
      </c>
      <c r="C55" s="503">
        <f>(C48-C52)-C54</f>
        <v>-55.594999999999999</v>
      </c>
      <c r="E55" s="295" t="s">
        <v>1769</v>
      </c>
      <c r="F55" s="503">
        <f>F52-F48-F54</f>
        <v>408.51249999999999</v>
      </c>
      <c r="H55" s="295" t="s">
        <v>1769</v>
      </c>
      <c r="I55" s="503">
        <f>I52-I48-I54</f>
        <v>276.61333333333334</v>
      </c>
      <c r="K55" s="295" t="s">
        <v>1769</v>
      </c>
      <c r="L55" s="503">
        <f>(L48-L52)-L54</f>
        <v>-138.60833333333335</v>
      </c>
      <c r="N55" s="295" t="s">
        <v>1769</v>
      </c>
      <c r="O55" s="503">
        <f>O52-O48-O54</f>
        <v>142.29</v>
      </c>
      <c r="T55" s="467" t="s">
        <v>1836</v>
      </c>
      <c r="U55" s="461" t="s">
        <v>1785</v>
      </c>
      <c r="V55" s="461">
        <v>1000</v>
      </c>
      <c r="W55" s="461">
        <v>3</v>
      </c>
      <c r="X55" s="193">
        <f t="shared" si="5"/>
        <v>11.693333333333333</v>
      </c>
    </row>
    <row r="56" spans="2:24" ht="15.75" thickBot="1">
      <c r="T56" s="617">
        <v>42600</v>
      </c>
      <c r="U56" s="617"/>
      <c r="V56" s="617"/>
      <c r="W56" s="462" t="s">
        <v>1834</v>
      </c>
      <c r="X56" s="463">
        <v>33.83</v>
      </c>
    </row>
    <row r="57" spans="2:24" ht="13.5" thickTop="1">
      <c r="B57" s="453">
        <v>42604</v>
      </c>
      <c r="C57" s="453">
        <v>42606</v>
      </c>
      <c r="E57" s="453">
        <v>42604</v>
      </c>
      <c r="F57" s="453">
        <v>42608</v>
      </c>
      <c r="H57" s="453">
        <v>42605</v>
      </c>
      <c r="I57" s="453"/>
      <c r="K57" s="453">
        <v>42612</v>
      </c>
      <c r="L57" s="453">
        <v>42622</v>
      </c>
      <c r="N57" s="453">
        <v>42618</v>
      </c>
      <c r="O57" s="453">
        <v>42632</v>
      </c>
      <c r="T57" s="464" t="s">
        <v>1829</v>
      </c>
      <c r="U57" s="464" t="s">
        <v>1830</v>
      </c>
      <c r="V57" s="464" t="s">
        <v>1832</v>
      </c>
      <c r="W57" s="464" t="s">
        <v>1831</v>
      </c>
      <c r="X57" s="464" t="s">
        <v>1833</v>
      </c>
    </row>
    <row r="58" spans="2:24" ht="15">
      <c r="B58" s="614" t="s">
        <v>1786</v>
      </c>
      <c r="C58" s="615"/>
      <c r="E58" s="614" t="s">
        <v>1786</v>
      </c>
      <c r="F58" s="615"/>
      <c r="H58" s="614" t="s">
        <v>1560</v>
      </c>
      <c r="I58" s="615"/>
      <c r="K58" s="614" t="s">
        <v>1786</v>
      </c>
      <c r="L58" s="615"/>
      <c r="N58" s="614" t="s">
        <v>1862</v>
      </c>
      <c r="O58" s="615"/>
      <c r="T58" s="467" t="s">
        <v>1835</v>
      </c>
      <c r="U58" s="461" t="s">
        <v>1784</v>
      </c>
      <c r="V58" s="461">
        <v>1000</v>
      </c>
      <c r="W58" s="461">
        <v>1</v>
      </c>
      <c r="X58" s="193">
        <f>$X$56/$W$59</f>
        <v>16.914999999999999</v>
      </c>
    </row>
    <row r="59" spans="2:24">
      <c r="B59" s="295" t="s">
        <v>1765</v>
      </c>
      <c r="C59" s="295" t="s">
        <v>1823</v>
      </c>
      <c r="E59" s="295" t="s">
        <v>1765</v>
      </c>
      <c r="F59" s="295" t="s">
        <v>1823</v>
      </c>
      <c r="H59" s="295" t="s">
        <v>1765</v>
      </c>
      <c r="I59" s="295" t="s">
        <v>1785</v>
      </c>
      <c r="K59" s="295" t="s">
        <v>1765</v>
      </c>
      <c r="L59" s="295" t="s">
        <v>1802</v>
      </c>
      <c r="N59" s="295" t="s">
        <v>1765</v>
      </c>
      <c r="O59" s="295" t="s">
        <v>1863</v>
      </c>
      <c r="T59" s="467" t="s">
        <v>1835</v>
      </c>
      <c r="U59" s="461" t="s">
        <v>1839</v>
      </c>
      <c r="V59" s="461">
        <v>1000</v>
      </c>
      <c r="W59" s="461">
        <v>2</v>
      </c>
      <c r="X59" s="193">
        <f>$X$56/$W$59</f>
        <v>16.914999999999999</v>
      </c>
    </row>
    <row r="60" spans="2:24" ht="15.75" thickBot="1">
      <c r="B60" s="295" t="s">
        <v>1767</v>
      </c>
      <c r="C60" s="295">
        <v>100</v>
      </c>
      <c r="E60" s="295" t="s">
        <v>1767</v>
      </c>
      <c r="F60" s="295">
        <v>100</v>
      </c>
      <c r="H60" s="295" t="s">
        <v>1767</v>
      </c>
      <c r="I60" s="295">
        <v>1000</v>
      </c>
      <c r="K60" s="295" t="s">
        <v>1767</v>
      </c>
      <c r="L60" s="295">
        <v>-1000</v>
      </c>
      <c r="N60" s="295" t="s">
        <v>1767</v>
      </c>
      <c r="O60" s="295">
        <v>1000</v>
      </c>
      <c r="T60" s="617">
        <v>42594</v>
      </c>
      <c r="U60" s="617"/>
      <c r="V60" s="617"/>
      <c r="W60" s="462" t="s">
        <v>1834</v>
      </c>
      <c r="X60" s="463">
        <v>22.71</v>
      </c>
    </row>
    <row r="61" spans="2:24" ht="13.5" thickTop="1">
      <c r="B61" s="295" t="s">
        <v>1768</v>
      </c>
      <c r="C61" s="297">
        <v>15.78</v>
      </c>
      <c r="E61" s="295" t="s">
        <v>1768</v>
      </c>
      <c r="F61" s="297">
        <v>15.78</v>
      </c>
      <c r="H61" s="295" t="s">
        <v>1768</v>
      </c>
      <c r="I61" s="297">
        <v>9.91</v>
      </c>
      <c r="K61" s="295" t="s">
        <v>1768</v>
      </c>
      <c r="L61" s="297">
        <v>5.07</v>
      </c>
      <c r="N61" s="295" t="s">
        <v>1768</v>
      </c>
      <c r="O61" s="297">
        <v>0.28000000000000003</v>
      </c>
      <c r="T61" s="464" t="s">
        <v>1829</v>
      </c>
      <c r="U61" s="464" t="s">
        <v>1830</v>
      </c>
      <c r="V61" s="464" t="s">
        <v>1832</v>
      </c>
      <c r="W61" s="464" t="s">
        <v>1831</v>
      </c>
      <c r="X61" s="464" t="s">
        <v>1833</v>
      </c>
    </row>
    <row r="62" spans="2:24">
      <c r="B62" s="295" t="s">
        <v>1449</v>
      </c>
      <c r="C62" s="297">
        <f>C60*C61</f>
        <v>1578</v>
      </c>
      <c r="E62" s="295" t="s">
        <v>1449</v>
      </c>
      <c r="F62" s="297">
        <f>F60*F61</f>
        <v>1578</v>
      </c>
      <c r="H62" s="295" t="s">
        <v>1449</v>
      </c>
      <c r="I62" s="297">
        <f>I60*I61</f>
        <v>9910</v>
      </c>
      <c r="K62" s="295" t="s">
        <v>1449</v>
      </c>
      <c r="L62" s="297">
        <f>L60*L61</f>
        <v>-5070</v>
      </c>
      <c r="N62" s="295" t="s">
        <v>1449</v>
      </c>
      <c r="O62" s="297">
        <f>O60*O61</f>
        <v>280</v>
      </c>
      <c r="T62" s="467" t="s">
        <v>1835</v>
      </c>
      <c r="U62" s="461" t="s">
        <v>1788</v>
      </c>
      <c r="V62" s="461">
        <v>1500</v>
      </c>
      <c r="W62" s="461">
        <v>1</v>
      </c>
      <c r="X62" s="193">
        <f>$X$60/$W$63</f>
        <v>11.355</v>
      </c>
    </row>
    <row r="63" spans="2:24">
      <c r="B63" s="465"/>
      <c r="C63" s="465"/>
      <c r="E63" s="465"/>
      <c r="F63" s="465"/>
      <c r="H63" s="465"/>
      <c r="I63" s="465"/>
      <c r="K63" s="465"/>
      <c r="L63" s="465"/>
      <c r="N63" s="465"/>
      <c r="O63" s="465"/>
      <c r="T63" s="467" t="s">
        <v>1836</v>
      </c>
      <c r="U63" s="461" t="s">
        <v>1788</v>
      </c>
      <c r="V63" s="461">
        <v>1500</v>
      </c>
      <c r="W63" s="461">
        <v>2</v>
      </c>
      <c r="X63" s="193">
        <f>$X$60/$W$63</f>
        <v>11.355</v>
      </c>
    </row>
    <row r="64" spans="2:24" ht="15.75" thickBot="1">
      <c r="B64" s="450" t="s">
        <v>1772</v>
      </c>
      <c r="C64" s="298">
        <v>15.32</v>
      </c>
      <c r="E64" s="450" t="s">
        <v>1772</v>
      </c>
      <c r="F64" s="478">
        <v>15.2</v>
      </c>
      <c r="H64" s="450" t="s">
        <v>1772</v>
      </c>
      <c r="I64" s="298">
        <v>10.95</v>
      </c>
      <c r="K64" s="450" t="s">
        <v>1772</v>
      </c>
      <c r="L64" s="478">
        <v>5</v>
      </c>
      <c r="N64" s="450" t="s">
        <v>1772</v>
      </c>
      <c r="O64" s="478">
        <v>0</v>
      </c>
      <c r="T64" s="617">
        <v>42604</v>
      </c>
      <c r="U64" s="617"/>
      <c r="V64" s="617"/>
      <c r="W64" s="462" t="s">
        <v>1834</v>
      </c>
      <c r="X64" s="463">
        <v>16.91</v>
      </c>
    </row>
    <row r="65" spans="2:24" ht="13.5" thickTop="1">
      <c r="B65" s="295" t="s">
        <v>1767</v>
      </c>
      <c r="C65" s="295">
        <v>100</v>
      </c>
      <c r="E65" s="295" t="s">
        <v>1767</v>
      </c>
      <c r="F65" s="295">
        <v>100</v>
      </c>
      <c r="H65" s="295" t="s">
        <v>1767</v>
      </c>
      <c r="I65" s="295">
        <v>1000</v>
      </c>
      <c r="K65" s="295" t="s">
        <v>1767</v>
      </c>
      <c r="L65" s="295">
        <v>-1000</v>
      </c>
      <c r="N65" s="295" t="s">
        <v>1767</v>
      </c>
      <c r="O65" s="295">
        <v>0</v>
      </c>
      <c r="T65" s="464" t="s">
        <v>1829</v>
      </c>
      <c r="U65" s="464" t="s">
        <v>1830</v>
      </c>
      <c r="V65" s="464" t="s">
        <v>1832</v>
      </c>
      <c r="W65" s="464" t="s">
        <v>1831</v>
      </c>
      <c r="X65" s="464" t="s">
        <v>1833</v>
      </c>
    </row>
    <row r="66" spans="2:24">
      <c r="B66" s="295" t="s">
        <v>1449</v>
      </c>
      <c r="C66" s="297">
        <f>C64*C65</f>
        <v>1532</v>
      </c>
      <c r="E66" s="295" t="s">
        <v>1449</v>
      </c>
      <c r="F66" s="297">
        <f>F64*F65</f>
        <v>1520</v>
      </c>
      <c r="H66" s="295" t="s">
        <v>1449</v>
      </c>
      <c r="I66" s="297">
        <f>I64*I65</f>
        <v>10950</v>
      </c>
      <c r="K66" s="295" t="s">
        <v>1449</v>
      </c>
      <c r="L66" s="297">
        <f>L64*L65</f>
        <v>-5000</v>
      </c>
      <c r="N66" s="295" t="s">
        <v>1449</v>
      </c>
      <c r="O66" s="297">
        <f>O64*O65</f>
        <v>0</v>
      </c>
      <c r="T66" s="467" t="s">
        <v>1836</v>
      </c>
      <c r="U66" s="461" t="s">
        <v>1823</v>
      </c>
      <c r="V66" s="461">
        <v>200</v>
      </c>
      <c r="W66" s="461">
        <v>1</v>
      </c>
      <c r="X66" s="193">
        <f>X64</f>
        <v>16.91</v>
      </c>
    </row>
    <row r="67" spans="2:24" ht="15.75" thickBot="1">
      <c r="B67" s="295"/>
      <c r="C67" s="297"/>
      <c r="E67" s="295"/>
      <c r="F67" s="297"/>
      <c r="H67" s="295"/>
      <c r="I67" s="297"/>
      <c r="K67" s="295"/>
      <c r="L67" s="297"/>
      <c r="N67" s="295"/>
      <c r="O67" s="297"/>
      <c r="T67" s="617">
        <v>42605</v>
      </c>
      <c r="U67" s="617"/>
      <c r="V67" s="617"/>
      <c r="W67" s="462" t="s">
        <v>1834</v>
      </c>
      <c r="X67" s="463">
        <v>16.91</v>
      </c>
    </row>
    <row r="68" spans="2:24" ht="13.5" thickTop="1">
      <c r="B68" s="295" t="s">
        <v>1771</v>
      </c>
      <c r="C68" s="458">
        <f>X66+X72</f>
        <v>33.82</v>
      </c>
      <c r="E68" s="295" t="s">
        <v>1771</v>
      </c>
      <c r="F68" s="458">
        <v>16.91</v>
      </c>
      <c r="H68" s="295" t="s">
        <v>1771</v>
      </c>
      <c r="I68" s="458">
        <f>16.91+X104</f>
        <v>62.41</v>
      </c>
      <c r="K68" s="295" t="s">
        <v>1771</v>
      </c>
      <c r="L68" s="458">
        <f>-(X78+X87)</f>
        <v>-33.82</v>
      </c>
      <c r="N68" s="295" t="s">
        <v>1771</v>
      </c>
      <c r="O68" s="458">
        <f>-X81</f>
        <v>-16.91</v>
      </c>
      <c r="T68" s="464" t="s">
        <v>1829</v>
      </c>
      <c r="U68" s="464" t="s">
        <v>1830</v>
      </c>
      <c r="V68" s="464" t="s">
        <v>1832</v>
      </c>
      <c r="W68" s="464" t="s">
        <v>1831</v>
      </c>
      <c r="X68" s="464" t="s">
        <v>1833</v>
      </c>
    </row>
    <row r="69" spans="2:24">
      <c r="B69" s="295" t="s">
        <v>1769</v>
      </c>
      <c r="C69" s="503">
        <f>(C62-C66)-C68</f>
        <v>12.18</v>
      </c>
      <c r="E69" s="295" t="s">
        <v>1769</v>
      </c>
      <c r="F69" s="503">
        <f>(F62-F66)-F68</f>
        <v>41.09</v>
      </c>
      <c r="H69" s="295" t="s">
        <v>1769</v>
      </c>
      <c r="I69" s="503">
        <f>I66-I62-I68</f>
        <v>977.59</v>
      </c>
      <c r="K69" s="295" t="s">
        <v>1769</v>
      </c>
      <c r="L69" s="503">
        <f>-((L62-L66)-L68)</f>
        <v>36.18</v>
      </c>
      <c r="N69" s="295" t="s">
        <v>1769</v>
      </c>
      <c r="O69" s="503">
        <v>262.73</v>
      </c>
      <c r="T69" s="467" t="s">
        <v>1835</v>
      </c>
      <c r="U69" s="461" t="s">
        <v>1785</v>
      </c>
      <c r="V69" s="461">
        <v>1000</v>
      </c>
      <c r="W69" s="461">
        <v>1</v>
      </c>
      <c r="X69" s="193">
        <f>X67</f>
        <v>16.91</v>
      </c>
    </row>
    <row r="70" spans="2:24" ht="15.75" thickBot="1">
      <c r="T70" s="617">
        <v>42606</v>
      </c>
      <c r="U70" s="617"/>
      <c r="V70" s="617"/>
      <c r="W70" s="462" t="s">
        <v>1834</v>
      </c>
      <c r="X70" s="463">
        <v>16.91</v>
      </c>
    </row>
    <row r="71" spans="2:24" ht="13.5" thickTop="1">
      <c r="B71" s="453">
        <v>42621</v>
      </c>
      <c r="C71" s="453"/>
      <c r="E71" s="453">
        <v>42640</v>
      </c>
      <c r="F71" s="453"/>
      <c r="H71" s="453">
        <v>42640</v>
      </c>
      <c r="I71" s="453"/>
      <c r="K71" s="453">
        <v>42640</v>
      </c>
      <c r="L71" s="453"/>
      <c r="N71" s="453"/>
      <c r="O71" s="453"/>
      <c r="T71" s="464" t="s">
        <v>1829</v>
      </c>
      <c r="U71" s="464" t="s">
        <v>1830</v>
      </c>
      <c r="V71" s="464" t="s">
        <v>1832</v>
      </c>
      <c r="W71" s="464" t="s">
        <v>1831</v>
      </c>
      <c r="X71" s="464" t="s">
        <v>1833</v>
      </c>
    </row>
    <row r="72" spans="2:24" ht="15">
      <c r="B72" s="614" t="s">
        <v>1560</v>
      </c>
      <c r="C72" s="615"/>
      <c r="E72" s="614" t="s">
        <v>1862</v>
      </c>
      <c r="F72" s="615"/>
      <c r="H72" s="614" t="s">
        <v>1914</v>
      </c>
      <c r="I72" s="615"/>
      <c r="K72" s="614" t="s">
        <v>1862</v>
      </c>
      <c r="L72" s="615"/>
      <c r="N72" s="618" t="s">
        <v>1928</v>
      </c>
      <c r="O72" s="619"/>
      <c r="T72" s="467" t="s">
        <v>1835</v>
      </c>
      <c r="U72" s="461" t="s">
        <v>1823</v>
      </c>
      <c r="V72" s="461">
        <v>100</v>
      </c>
      <c r="W72" s="461">
        <v>1</v>
      </c>
      <c r="X72" s="193">
        <f>X70</f>
        <v>16.91</v>
      </c>
    </row>
    <row r="73" spans="2:24" ht="15.75" thickBot="1">
      <c r="B73" s="295" t="s">
        <v>1765</v>
      </c>
      <c r="C73" s="295" t="s">
        <v>1875</v>
      </c>
      <c r="E73" s="295" t="s">
        <v>1765</v>
      </c>
      <c r="F73" s="295" t="s">
        <v>1904</v>
      </c>
      <c r="H73" s="295" t="s">
        <v>1765</v>
      </c>
      <c r="I73" s="295" t="s">
        <v>1904</v>
      </c>
      <c r="K73" s="295" t="s">
        <v>1765</v>
      </c>
      <c r="L73" s="295" t="s">
        <v>1915</v>
      </c>
      <c r="N73" s="295" t="s">
        <v>1765</v>
      </c>
      <c r="O73" s="295" t="s">
        <v>1927</v>
      </c>
      <c r="T73" s="617">
        <v>42608</v>
      </c>
      <c r="U73" s="617"/>
      <c r="V73" s="617"/>
      <c r="W73" s="462" t="s">
        <v>1834</v>
      </c>
      <c r="X73" s="463">
        <v>16.91</v>
      </c>
    </row>
    <row r="74" spans="2:24" ht="13.5" thickTop="1">
      <c r="B74" s="295" t="s">
        <v>1767</v>
      </c>
      <c r="C74" s="295">
        <v>1000</v>
      </c>
      <c r="E74" s="295" t="s">
        <v>1767</v>
      </c>
      <c r="F74" s="295">
        <v>1000</v>
      </c>
      <c r="H74" s="295" t="s">
        <v>1767</v>
      </c>
      <c r="I74" s="295">
        <v>1000</v>
      </c>
      <c r="K74" s="295" t="s">
        <v>1767</v>
      </c>
      <c r="L74" s="295">
        <v>1000</v>
      </c>
      <c r="N74" s="295" t="s">
        <v>1767</v>
      </c>
      <c r="O74" s="295">
        <v>1000</v>
      </c>
      <c r="T74" s="464" t="s">
        <v>1829</v>
      </c>
      <c r="U74" s="464" t="s">
        <v>1830</v>
      </c>
      <c r="V74" s="464" t="s">
        <v>1832</v>
      </c>
      <c r="W74" s="464" t="s">
        <v>1831</v>
      </c>
      <c r="X74" s="464" t="s">
        <v>1833</v>
      </c>
    </row>
    <row r="75" spans="2:24">
      <c r="B75" s="295" t="s">
        <v>1768</v>
      </c>
      <c r="C75" s="297">
        <v>4.16</v>
      </c>
      <c r="E75" s="295" t="s">
        <v>1768</v>
      </c>
      <c r="F75" s="297">
        <v>0.08</v>
      </c>
      <c r="H75" s="295" t="s">
        <v>1768</v>
      </c>
      <c r="I75" s="297">
        <v>0.13</v>
      </c>
      <c r="K75" s="295" t="s">
        <v>1768</v>
      </c>
      <c r="L75" s="297">
        <v>0.5</v>
      </c>
      <c r="N75" s="295" t="s">
        <v>1768</v>
      </c>
      <c r="O75" s="297">
        <v>9.4600000000000009</v>
      </c>
      <c r="R75" s="193"/>
      <c r="T75" s="467" t="s">
        <v>1835</v>
      </c>
      <c r="U75" s="461" t="s">
        <v>1823</v>
      </c>
      <c r="V75" s="461">
        <v>100</v>
      </c>
      <c r="W75" s="461">
        <v>1</v>
      </c>
      <c r="X75" s="193">
        <f>X73</f>
        <v>16.91</v>
      </c>
    </row>
    <row r="76" spans="2:24" ht="15.75" thickBot="1">
      <c r="B76" s="295" t="s">
        <v>1449</v>
      </c>
      <c r="C76" s="297">
        <f>C74*C75</f>
        <v>4160</v>
      </c>
      <c r="E76" s="295" t="s">
        <v>1449</v>
      </c>
      <c r="F76" s="297">
        <f>F74*F75</f>
        <v>80</v>
      </c>
      <c r="H76" s="295" t="s">
        <v>1449</v>
      </c>
      <c r="I76" s="297">
        <f>I74*I75</f>
        <v>130</v>
      </c>
      <c r="K76" s="295" t="s">
        <v>1449</v>
      </c>
      <c r="L76" s="297">
        <f>L74*L75</f>
        <v>500</v>
      </c>
      <c r="N76" s="295" t="s">
        <v>1449</v>
      </c>
      <c r="O76" s="297">
        <f>O74*O75</f>
        <v>9460</v>
      </c>
      <c r="T76" s="617">
        <v>42612</v>
      </c>
      <c r="U76" s="617"/>
      <c r="V76" s="617"/>
      <c r="W76" s="462" t="s">
        <v>1834</v>
      </c>
      <c r="X76" s="463">
        <v>16.91</v>
      </c>
    </row>
    <row r="77" spans="2:24" ht="13.5" thickTop="1">
      <c r="B77" s="465"/>
      <c r="C77" s="465"/>
      <c r="E77" s="465"/>
      <c r="F77" s="465"/>
      <c r="H77" s="465"/>
      <c r="I77" s="465"/>
      <c r="K77" s="465"/>
      <c r="L77" s="465"/>
      <c r="N77" s="465"/>
      <c r="O77" s="465"/>
      <c r="R77" s="193"/>
      <c r="T77" s="464" t="s">
        <v>1829</v>
      </c>
      <c r="U77" s="464" t="s">
        <v>1830</v>
      </c>
      <c r="V77" s="464" t="s">
        <v>1832</v>
      </c>
      <c r="W77" s="464" t="s">
        <v>1831</v>
      </c>
      <c r="X77" s="464" t="s">
        <v>1833</v>
      </c>
    </row>
    <row r="78" spans="2:24">
      <c r="B78" s="450" t="s">
        <v>1772</v>
      </c>
      <c r="C78" s="478">
        <v>4.42</v>
      </c>
      <c r="E78" s="450" t="s">
        <v>1772</v>
      </c>
      <c r="F78" s="478">
        <v>0.08</v>
      </c>
      <c r="H78" s="450" t="s">
        <v>1772</v>
      </c>
      <c r="I78" s="478">
        <v>0</v>
      </c>
      <c r="K78" s="450" t="s">
        <v>1772</v>
      </c>
      <c r="L78" s="478">
        <v>0</v>
      </c>
      <c r="N78" s="450" t="s">
        <v>1772</v>
      </c>
      <c r="O78" s="478">
        <v>8.52</v>
      </c>
      <c r="T78" s="467" t="s">
        <v>1836</v>
      </c>
      <c r="U78" s="461" t="s">
        <v>1802</v>
      </c>
      <c r="V78" s="461">
        <v>1000</v>
      </c>
      <c r="W78" s="461">
        <v>1</v>
      </c>
      <c r="X78" s="193">
        <f>X76</f>
        <v>16.91</v>
      </c>
    </row>
    <row r="79" spans="2:24" ht="15.75" thickBot="1">
      <c r="B79" s="295" t="s">
        <v>1767</v>
      </c>
      <c r="C79" s="295">
        <v>1000</v>
      </c>
      <c r="E79" s="295" t="s">
        <v>1767</v>
      </c>
      <c r="F79" s="295">
        <v>1000</v>
      </c>
      <c r="H79" s="295" t="s">
        <v>1767</v>
      </c>
      <c r="I79" s="295">
        <v>0</v>
      </c>
      <c r="K79" s="295" t="s">
        <v>1767</v>
      </c>
      <c r="L79" s="295">
        <v>0</v>
      </c>
      <c r="N79" s="295" t="s">
        <v>1767</v>
      </c>
      <c r="O79" s="295">
        <v>1000</v>
      </c>
      <c r="R79" s="193"/>
      <c r="T79" s="617">
        <v>42612</v>
      </c>
      <c r="U79" s="617"/>
      <c r="V79" s="617"/>
      <c r="W79" s="462" t="s">
        <v>1834</v>
      </c>
      <c r="X79" s="463">
        <v>16.91</v>
      </c>
    </row>
    <row r="80" spans="2:24" ht="13.5" thickTop="1">
      <c r="B80" s="295" t="s">
        <v>1449</v>
      </c>
      <c r="C80" s="297">
        <f>C78*C79</f>
        <v>4420</v>
      </c>
      <c r="E80" s="295" t="s">
        <v>1449</v>
      </c>
      <c r="F80" s="297">
        <f>F78*F79</f>
        <v>80</v>
      </c>
      <c r="H80" s="295" t="s">
        <v>1449</v>
      </c>
      <c r="I80" s="297">
        <f>I78*I79</f>
        <v>0</v>
      </c>
      <c r="K80" s="295" t="s">
        <v>1449</v>
      </c>
      <c r="L80" s="297">
        <f>L78*L79</f>
        <v>0</v>
      </c>
      <c r="N80" s="295" t="s">
        <v>1449</v>
      </c>
      <c r="O80" s="297">
        <f>O78*O79</f>
        <v>8520</v>
      </c>
      <c r="R80" s="193"/>
      <c r="T80" s="464" t="s">
        <v>1829</v>
      </c>
      <c r="U80" s="464" t="s">
        <v>1830</v>
      </c>
      <c r="V80" s="464" t="s">
        <v>1832</v>
      </c>
      <c r="W80" s="464" t="s">
        <v>1831</v>
      </c>
      <c r="X80" s="464" t="s">
        <v>1833</v>
      </c>
    </row>
    <row r="81" spans="2:24">
      <c r="B81" s="295"/>
      <c r="C81" s="297"/>
      <c r="E81" s="295"/>
      <c r="F81" s="297"/>
      <c r="H81" s="295"/>
      <c r="I81" s="297"/>
      <c r="K81" s="295"/>
      <c r="L81" s="297"/>
      <c r="N81" s="295"/>
      <c r="O81" s="297"/>
      <c r="R81" s="193"/>
      <c r="T81" s="467" t="s">
        <v>1835</v>
      </c>
      <c r="U81" s="461" t="s">
        <v>1864</v>
      </c>
      <c r="V81" s="461">
        <v>1000</v>
      </c>
      <c r="W81" s="461">
        <v>1</v>
      </c>
      <c r="X81" s="193">
        <f>X79</f>
        <v>16.91</v>
      </c>
    </row>
    <row r="82" spans="2:24" ht="15.75" thickBot="1">
      <c r="B82" s="295" t="s">
        <v>1771</v>
      </c>
      <c r="C82" s="458">
        <f>X87+X97</f>
        <v>70.62</v>
      </c>
      <c r="E82" s="295" t="s">
        <v>1771</v>
      </c>
      <c r="F82" s="458">
        <f>X90</f>
        <v>16.91</v>
      </c>
      <c r="H82" s="295" t="s">
        <v>1771</v>
      </c>
      <c r="I82" s="458">
        <f>X93</f>
        <v>16.914999999999999</v>
      </c>
      <c r="K82" s="295" t="s">
        <v>1771</v>
      </c>
      <c r="L82" s="458">
        <f>X94</f>
        <v>16.914999999999999</v>
      </c>
      <c r="N82" s="295" t="s">
        <v>1771</v>
      </c>
      <c r="O82" s="460">
        <f>X100+13.44</f>
        <v>95.759999999999991</v>
      </c>
      <c r="R82" s="193"/>
      <c r="T82" s="617">
        <v>42612</v>
      </c>
      <c r="U82" s="617"/>
      <c r="V82" s="617"/>
      <c r="W82" s="462" t="s">
        <v>1834</v>
      </c>
      <c r="X82" s="463">
        <v>16.91</v>
      </c>
    </row>
    <row r="83" spans="2:24" ht="13.5" thickTop="1">
      <c r="B83" s="295" t="s">
        <v>1769</v>
      </c>
      <c r="C83" s="503">
        <f>C80-C76-C82</f>
        <v>189.38</v>
      </c>
      <c r="E83" s="295" t="s">
        <v>1769</v>
      </c>
      <c r="F83" s="503">
        <f>F80-F82</f>
        <v>63.09</v>
      </c>
      <c r="H83" s="295" t="s">
        <v>1769</v>
      </c>
      <c r="I83" s="503">
        <f>-I76-I82</f>
        <v>-146.91499999999999</v>
      </c>
      <c r="K83" s="295" t="s">
        <v>1769</v>
      </c>
      <c r="L83" s="503">
        <f>L76-L82</f>
        <v>483.08499999999998</v>
      </c>
      <c r="N83" s="295" t="s">
        <v>1769</v>
      </c>
      <c r="O83" s="503">
        <f>O80-O76-O82</f>
        <v>-1035.76</v>
      </c>
      <c r="T83" s="464" t="s">
        <v>1829</v>
      </c>
      <c r="U83" s="464" t="s">
        <v>1830</v>
      </c>
      <c r="V83" s="464" t="s">
        <v>1832</v>
      </c>
      <c r="W83" s="464" t="s">
        <v>1831</v>
      </c>
      <c r="X83" s="464" t="s">
        <v>1833</v>
      </c>
    </row>
    <row r="84" spans="2:24">
      <c r="T84" s="467" t="s">
        <v>1835</v>
      </c>
      <c r="U84" s="461" t="s">
        <v>1802</v>
      </c>
      <c r="V84" s="461">
        <v>1000</v>
      </c>
      <c r="W84" s="461">
        <v>1</v>
      </c>
      <c r="X84" s="193">
        <f>X82</f>
        <v>16.91</v>
      </c>
    </row>
    <row r="85" spans="2:24" ht="15.75" thickBot="1">
      <c r="K85" s="450" t="s">
        <v>1772</v>
      </c>
      <c r="L85" s="478">
        <v>1.3</v>
      </c>
      <c r="N85" s="616" t="s">
        <v>1953</v>
      </c>
      <c r="O85" s="616"/>
      <c r="T85" s="617">
        <v>42621</v>
      </c>
      <c r="U85" s="617"/>
      <c r="V85" s="617"/>
      <c r="W85" s="462" t="s">
        <v>1834</v>
      </c>
      <c r="X85" s="463">
        <v>16.91</v>
      </c>
    </row>
    <row r="86" spans="2:24" ht="13.5" thickTop="1">
      <c r="K86" s="295" t="s">
        <v>1771</v>
      </c>
      <c r="L86" s="458">
        <f>X103</f>
        <v>12.48</v>
      </c>
      <c r="N86" t="s">
        <v>1952</v>
      </c>
      <c r="O86" s="523">
        <v>0.26333743100000001</v>
      </c>
      <c r="T86" s="464" t="s">
        <v>1829</v>
      </c>
      <c r="U86" s="464" t="s">
        <v>1830</v>
      </c>
      <c r="V86" s="464" t="s">
        <v>1832</v>
      </c>
      <c r="W86" s="464" t="s">
        <v>1831</v>
      </c>
      <c r="X86" s="464" t="s">
        <v>1833</v>
      </c>
    </row>
    <row r="87" spans="2:24">
      <c r="K87" t="s">
        <v>1449</v>
      </c>
      <c r="L87" s="503">
        <f>-(1000*L85+L86)</f>
        <v>-1312.48</v>
      </c>
      <c r="N87" t="s">
        <v>1767</v>
      </c>
      <c r="O87">
        <v>1000</v>
      </c>
      <c r="T87" s="467" t="s">
        <v>1835</v>
      </c>
      <c r="U87" s="461" t="s">
        <v>1875</v>
      </c>
      <c r="V87" s="461">
        <v>1000</v>
      </c>
      <c r="W87" s="461">
        <v>1</v>
      </c>
      <c r="X87" s="193">
        <f>X85</f>
        <v>16.91</v>
      </c>
    </row>
    <row r="88" spans="2:24" ht="15.75" thickBot="1">
      <c r="N88" t="s">
        <v>45</v>
      </c>
      <c r="O88" s="524">
        <f>O86*O87</f>
        <v>263.33743100000004</v>
      </c>
      <c r="T88" s="617">
        <v>42640</v>
      </c>
      <c r="U88" s="617"/>
      <c r="V88" s="617"/>
      <c r="W88" s="462" t="s">
        <v>1834</v>
      </c>
      <c r="X88" s="463">
        <v>16.91</v>
      </c>
    </row>
    <row r="89" spans="2:24" ht="13.5" thickTop="1">
      <c r="L89" s="199"/>
      <c r="T89" s="464" t="s">
        <v>1829</v>
      </c>
      <c r="U89" s="464" t="s">
        <v>1830</v>
      </c>
      <c r="V89" s="464" t="s">
        <v>1832</v>
      </c>
      <c r="W89" s="464" t="s">
        <v>1831</v>
      </c>
      <c r="X89" s="464" t="s">
        <v>1833</v>
      </c>
    </row>
    <row r="90" spans="2:24" ht="15">
      <c r="B90" s="614" t="s">
        <v>1928</v>
      </c>
      <c r="C90" s="615"/>
      <c r="E90" s="614" t="s">
        <v>1928</v>
      </c>
      <c r="F90" s="615"/>
      <c r="T90" s="467" t="s">
        <v>1836</v>
      </c>
      <c r="U90" s="461" t="str">
        <f>F73</f>
        <v>GGBRI10 (Strike 9,97)</v>
      </c>
      <c r="V90" s="461">
        <v>1000</v>
      </c>
      <c r="W90" s="461">
        <v>1</v>
      </c>
      <c r="X90" s="193">
        <f>X88</f>
        <v>16.91</v>
      </c>
    </row>
    <row r="91" spans="2:24" ht="15.75" thickBot="1">
      <c r="B91" s="295" t="s">
        <v>1765</v>
      </c>
      <c r="C91" s="295" t="s">
        <v>1927</v>
      </c>
      <c r="E91" s="295" t="s">
        <v>1765</v>
      </c>
      <c r="F91" s="295" t="s">
        <v>1995</v>
      </c>
      <c r="L91" s="193"/>
      <c r="T91" s="617">
        <v>42650</v>
      </c>
      <c r="U91" s="617"/>
      <c r="V91" s="617"/>
      <c r="W91" s="462" t="s">
        <v>1834</v>
      </c>
      <c r="X91" s="463">
        <v>33.83</v>
      </c>
    </row>
    <row r="92" spans="2:24" ht="13.5" thickTop="1">
      <c r="B92" s="295" t="s">
        <v>1767</v>
      </c>
      <c r="C92" s="295">
        <v>200</v>
      </c>
      <c r="E92" s="295" t="s">
        <v>1767</v>
      </c>
      <c r="F92" s="295">
        <v>300</v>
      </c>
      <c r="L92" s="193"/>
      <c r="T92" s="464" t="s">
        <v>1829</v>
      </c>
      <c r="U92" s="464" t="s">
        <v>1830</v>
      </c>
      <c r="V92" s="464" t="s">
        <v>1832</v>
      </c>
      <c r="W92" s="464" t="s">
        <v>1831</v>
      </c>
      <c r="X92" s="464" t="s">
        <v>1833</v>
      </c>
    </row>
    <row r="93" spans="2:24">
      <c r="B93" s="295" t="s">
        <v>1768</v>
      </c>
      <c r="C93" s="297">
        <v>7.06</v>
      </c>
      <c r="E93" s="295" t="s">
        <v>1768</v>
      </c>
      <c r="F93" s="297">
        <v>7.85</v>
      </c>
      <c r="L93" s="193"/>
      <c r="T93" s="467" t="s">
        <v>1835</v>
      </c>
      <c r="U93" s="461" t="s">
        <v>1916</v>
      </c>
      <c r="V93" s="461">
        <v>1000</v>
      </c>
      <c r="W93" s="461">
        <v>1</v>
      </c>
      <c r="X93" s="193">
        <f>$X$91/2</f>
        <v>16.914999999999999</v>
      </c>
    </row>
    <row r="94" spans="2:24">
      <c r="B94" s="295" t="s">
        <v>1449</v>
      </c>
      <c r="C94" s="297">
        <f>C92*C93</f>
        <v>1412</v>
      </c>
      <c r="E94" s="295" t="s">
        <v>1449</v>
      </c>
      <c r="F94" s="297">
        <f>F92*F93</f>
        <v>2355</v>
      </c>
      <c r="L94" s="193"/>
      <c r="T94" s="467" t="s">
        <v>1836</v>
      </c>
      <c r="U94" s="461" t="s">
        <v>1917</v>
      </c>
      <c r="V94" s="461">
        <v>1000</v>
      </c>
      <c r="W94" s="461">
        <v>1</v>
      </c>
      <c r="X94" s="193">
        <f>$X$91/2</f>
        <v>16.914999999999999</v>
      </c>
    </row>
    <row r="95" spans="2:24" ht="15.75" thickBot="1">
      <c r="B95" s="465"/>
      <c r="C95" s="465"/>
      <c r="E95" s="465"/>
      <c r="F95" s="465"/>
      <c r="L95" s="193"/>
      <c r="T95" s="617">
        <v>42664</v>
      </c>
      <c r="U95" s="617"/>
      <c r="V95" s="617"/>
      <c r="W95" s="462" t="s">
        <v>1834</v>
      </c>
      <c r="X95" s="463">
        <v>33.83</v>
      </c>
    </row>
    <row r="96" spans="2:24" ht="13.5" thickTop="1">
      <c r="B96" s="450" t="s">
        <v>1772</v>
      </c>
      <c r="C96" s="478">
        <v>7.32</v>
      </c>
      <c r="E96" s="450" t="s">
        <v>1772</v>
      </c>
      <c r="F96" s="478">
        <v>8.15</v>
      </c>
      <c r="T96" s="464" t="s">
        <v>1829</v>
      </c>
      <c r="U96" s="464" t="s">
        <v>1830</v>
      </c>
      <c r="V96" s="464" t="s">
        <v>1832</v>
      </c>
      <c r="W96" s="464" t="s">
        <v>1831</v>
      </c>
      <c r="X96" s="464" t="s">
        <v>1833</v>
      </c>
    </row>
    <row r="97" spans="2:24">
      <c r="B97" s="295" t="s">
        <v>1767</v>
      </c>
      <c r="C97" s="295">
        <v>200</v>
      </c>
      <c r="E97" s="295" t="s">
        <v>1767</v>
      </c>
      <c r="F97" s="295">
        <v>300</v>
      </c>
      <c r="T97" s="467" t="s">
        <v>1836</v>
      </c>
      <c r="U97" s="461" t="s">
        <v>1875</v>
      </c>
      <c r="V97" s="461">
        <v>1000</v>
      </c>
      <c r="W97" s="461">
        <v>1</v>
      </c>
      <c r="X97" s="193">
        <v>53.71</v>
      </c>
    </row>
    <row r="98" spans="2:24" ht="15.75" thickBot="1">
      <c r="B98" s="295" t="s">
        <v>1449</v>
      </c>
      <c r="C98" s="297">
        <f>C96*C97</f>
        <v>1464</v>
      </c>
      <c r="E98" s="295" t="s">
        <v>1449</v>
      </c>
      <c r="F98" s="297">
        <f>F96*F97</f>
        <v>2445</v>
      </c>
      <c r="T98" s="617">
        <v>42667</v>
      </c>
      <c r="U98" s="617"/>
      <c r="V98" s="617"/>
      <c r="W98" s="462"/>
      <c r="X98" s="463"/>
    </row>
    <row r="99" spans="2:24" ht="13.5" thickTop="1">
      <c r="B99" s="295"/>
      <c r="C99" s="297"/>
      <c r="E99" s="295"/>
      <c r="F99" s="297"/>
      <c r="T99" s="464" t="s">
        <v>1829</v>
      </c>
      <c r="U99" s="464" t="s">
        <v>1830</v>
      </c>
      <c r="V99" s="464" t="s">
        <v>1832</v>
      </c>
      <c r="W99" s="464" t="s">
        <v>1831</v>
      </c>
      <c r="X99" s="464" t="s">
        <v>1833</v>
      </c>
    </row>
    <row r="100" spans="2:24">
      <c r="B100" s="295" t="s">
        <v>1771</v>
      </c>
      <c r="C100" s="458">
        <f>X107+X110</f>
        <v>27.32</v>
      </c>
      <c r="E100" s="295" t="s">
        <v>1771</v>
      </c>
      <c r="F100" s="458">
        <f>X113+X116</f>
        <v>38.659999999999997</v>
      </c>
      <c r="T100" s="467" t="s">
        <v>1835</v>
      </c>
      <c r="U100" s="461" t="s">
        <v>1927</v>
      </c>
      <c r="V100" s="461">
        <v>1000</v>
      </c>
      <c r="W100" s="461">
        <v>1</v>
      </c>
      <c r="X100" s="193">
        <v>82.32</v>
      </c>
    </row>
    <row r="101" spans="2:24" ht="15.75" thickBot="1">
      <c r="B101" s="295" t="s">
        <v>1769</v>
      </c>
      <c r="C101" s="503">
        <f>C98-C94-C100</f>
        <v>24.68</v>
      </c>
      <c r="E101" s="295" t="s">
        <v>1769</v>
      </c>
      <c r="F101" s="503">
        <f>F98-F94-F100</f>
        <v>51.34</v>
      </c>
      <c r="T101" s="617">
        <v>42667</v>
      </c>
      <c r="U101" s="617"/>
      <c r="V101" s="617"/>
      <c r="W101" s="462"/>
      <c r="X101" s="463"/>
    </row>
    <row r="102" spans="2:24" ht="13.5" thickTop="1">
      <c r="T102" s="464" t="s">
        <v>1829</v>
      </c>
      <c r="U102" s="464" t="s">
        <v>1830</v>
      </c>
      <c r="V102" s="464" t="s">
        <v>1832</v>
      </c>
      <c r="W102" s="464" t="s">
        <v>1831</v>
      </c>
      <c r="X102" s="464" t="s">
        <v>1833</v>
      </c>
    </row>
    <row r="103" spans="2:24">
      <c r="B103" s="616"/>
      <c r="C103" s="616"/>
      <c r="T103" s="467" t="s">
        <v>1835</v>
      </c>
      <c r="U103" s="461" t="s">
        <v>1917</v>
      </c>
      <c r="V103" s="461">
        <v>1000</v>
      </c>
      <c r="W103" s="461">
        <v>1</v>
      </c>
      <c r="X103" s="193">
        <v>12.48</v>
      </c>
    </row>
    <row r="104" spans="2:24">
      <c r="C104" s="523"/>
      <c r="T104" s="467" t="s">
        <v>1836</v>
      </c>
      <c r="U104" s="461" t="s">
        <v>1785</v>
      </c>
      <c r="V104" s="461">
        <v>1000</v>
      </c>
      <c r="W104" s="461">
        <v>1</v>
      </c>
      <c r="X104" s="193">
        <v>45.5</v>
      </c>
    </row>
    <row r="105" spans="2:24" ht="15.75" thickBot="1">
      <c r="T105" s="617">
        <v>42706</v>
      </c>
      <c r="U105" s="617"/>
      <c r="V105" s="617"/>
      <c r="W105" s="462"/>
      <c r="X105" s="463"/>
    </row>
    <row r="106" spans="2:24" ht="13.5" thickTop="1">
      <c r="C106" s="524"/>
      <c r="T106" s="464" t="s">
        <v>1829</v>
      </c>
      <c r="U106" s="464" t="s">
        <v>1830</v>
      </c>
      <c r="V106" s="464" t="s">
        <v>1832</v>
      </c>
      <c r="W106" s="464" t="s">
        <v>1831</v>
      </c>
      <c r="X106" s="464" t="s">
        <v>1833</v>
      </c>
    </row>
    <row r="107" spans="2:24">
      <c r="T107" s="467" t="s">
        <v>1835</v>
      </c>
      <c r="U107" s="540" t="s">
        <v>1991</v>
      </c>
      <c r="V107" s="540">
        <v>200</v>
      </c>
      <c r="W107" s="540">
        <v>1</v>
      </c>
      <c r="X107" s="193">
        <v>13.44</v>
      </c>
    </row>
    <row r="108" spans="2:24" ht="15.75" thickBot="1">
      <c r="T108" s="617">
        <v>42667</v>
      </c>
      <c r="U108" s="617"/>
      <c r="V108" s="617"/>
      <c r="W108" s="462"/>
      <c r="X108" s="463"/>
    </row>
    <row r="109" spans="2:24" ht="13.5" thickTop="1">
      <c r="T109" s="464" t="s">
        <v>1829</v>
      </c>
      <c r="U109" s="464" t="s">
        <v>1830</v>
      </c>
      <c r="V109" s="464" t="s">
        <v>1832</v>
      </c>
      <c r="W109" s="464" t="s">
        <v>1831</v>
      </c>
      <c r="X109" s="464" t="s">
        <v>1833</v>
      </c>
    </row>
    <row r="110" spans="2:24">
      <c r="T110" s="467" t="s">
        <v>1836</v>
      </c>
      <c r="U110" s="540" t="s">
        <v>1991</v>
      </c>
      <c r="V110" s="540">
        <v>200</v>
      </c>
      <c r="W110" s="540">
        <v>1</v>
      </c>
      <c r="X110" s="193">
        <v>13.88</v>
      </c>
    </row>
    <row r="111" spans="2:24" ht="15.75" thickBot="1">
      <c r="T111" s="617">
        <v>42706</v>
      </c>
      <c r="U111" s="617"/>
      <c r="V111" s="617"/>
      <c r="W111" s="462"/>
      <c r="X111" s="463"/>
    </row>
    <row r="112" spans="2:24" ht="13.5" thickTop="1">
      <c r="T112" s="464" t="s">
        <v>1829</v>
      </c>
      <c r="U112" s="464" t="s">
        <v>1830</v>
      </c>
      <c r="V112" s="464" t="s">
        <v>1832</v>
      </c>
      <c r="W112" s="464" t="s">
        <v>1831</v>
      </c>
      <c r="X112" s="464" t="s">
        <v>1833</v>
      </c>
    </row>
    <row r="113" spans="20:24">
      <c r="T113" s="467" t="s">
        <v>1835</v>
      </c>
      <c r="U113" s="542" t="s">
        <v>1995</v>
      </c>
      <c r="V113" s="542">
        <v>300</v>
      </c>
      <c r="W113" s="542">
        <v>1</v>
      </c>
      <c r="X113" s="193">
        <v>19.079999999999998</v>
      </c>
    </row>
    <row r="114" spans="20:24" ht="15.75" thickBot="1">
      <c r="T114" s="617">
        <v>42738</v>
      </c>
      <c r="U114" s="617"/>
      <c r="V114" s="617"/>
      <c r="W114" s="462"/>
      <c r="X114" s="463"/>
    </row>
    <row r="115" spans="20:24" ht="13.5" thickTop="1">
      <c r="T115" s="464" t="s">
        <v>1829</v>
      </c>
      <c r="U115" s="464" t="s">
        <v>1830</v>
      </c>
      <c r="V115" s="464" t="s">
        <v>1832</v>
      </c>
      <c r="W115" s="464" t="s">
        <v>1831</v>
      </c>
      <c r="X115" s="464" t="s">
        <v>1833</v>
      </c>
    </row>
    <row r="116" spans="20:24">
      <c r="T116" s="467" t="s">
        <v>1835</v>
      </c>
      <c r="U116" s="570" t="s">
        <v>1995</v>
      </c>
      <c r="V116" s="570">
        <v>300</v>
      </c>
      <c r="W116" s="570">
        <v>1</v>
      </c>
      <c r="X116" s="193">
        <v>19.579999999999998</v>
      </c>
    </row>
  </sheetData>
  <mergeCells count="65">
    <mergeCell ref="T114:V114"/>
    <mergeCell ref="E90:F90"/>
    <mergeCell ref="T111:V111"/>
    <mergeCell ref="T105:V105"/>
    <mergeCell ref="T108:V108"/>
    <mergeCell ref="T98:V98"/>
    <mergeCell ref="T95:V95"/>
    <mergeCell ref="T82:V82"/>
    <mergeCell ref="K72:L72"/>
    <mergeCell ref="T88:V88"/>
    <mergeCell ref="T91:V91"/>
    <mergeCell ref="N72:O72"/>
    <mergeCell ref="N85:O85"/>
    <mergeCell ref="E72:F72"/>
    <mergeCell ref="T79:V79"/>
    <mergeCell ref="T73:V73"/>
    <mergeCell ref="T85:V85"/>
    <mergeCell ref="N30:O30"/>
    <mergeCell ref="T60:V60"/>
    <mergeCell ref="T64:V64"/>
    <mergeCell ref="T76:V76"/>
    <mergeCell ref="K30:L30"/>
    <mergeCell ref="T70:V70"/>
    <mergeCell ref="K44:L44"/>
    <mergeCell ref="N44:O44"/>
    <mergeCell ref="T67:V67"/>
    <mergeCell ref="K58:L58"/>
    <mergeCell ref="N58:O58"/>
    <mergeCell ref="H72:I72"/>
    <mergeCell ref="B30:C30"/>
    <mergeCell ref="B58:C58"/>
    <mergeCell ref="H44:I44"/>
    <mergeCell ref="B44:C44"/>
    <mergeCell ref="H58:I58"/>
    <mergeCell ref="E44:F44"/>
    <mergeCell ref="H30:I30"/>
    <mergeCell ref="E30:F30"/>
    <mergeCell ref="T6:V6"/>
    <mergeCell ref="T9:V9"/>
    <mergeCell ref="N2:O2"/>
    <mergeCell ref="N16:O16"/>
    <mergeCell ref="B2:C2"/>
    <mergeCell ref="E2:F2"/>
    <mergeCell ref="H2:I2"/>
    <mergeCell ref="K2:L2"/>
    <mergeCell ref="K16:L16"/>
    <mergeCell ref="B16:C16"/>
    <mergeCell ref="E16:F16"/>
    <mergeCell ref="H16:I16"/>
    <mergeCell ref="B90:C90"/>
    <mergeCell ref="B103:C103"/>
    <mergeCell ref="T101:V101"/>
    <mergeCell ref="B72:C72"/>
    <mergeCell ref="Q2:R2"/>
    <mergeCell ref="E58:F58"/>
    <mergeCell ref="T18:V18"/>
    <mergeCell ref="T25:V25"/>
    <mergeCell ref="T31:V31"/>
    <mergeCell ref="T35:V35"/>
    <mergeCell ref="T42:V42"/>
    <mergeCell ref="T48:V48"/>
    <mergeCell ref="T51:V51"/>
    <mergeCell ref="T56:V56"/>
    <mergeCell ref="T2:X2"/>
    <mergeCell ref="T3:V3"/>
  </mergeCells>
  <conditionalFormatting sqref="R7 R5 R3 O83 O13 L87 C69 F69 I69 L69 O69 I83 L83 F83 C83 C55 F55 I55 L55 O55 O41 L41 I41 F41 C41 C27 F27 I27 L27 O27 C13 F13 I13 L13 C101">
    <cfRule type="cellIs" dxfId="3" priority="73" operator="lessThan">
      <formula>0</formula>
    </cfRule>
    <cfRule type="cellIs" dxfId="2" priority="74" operator="greaterThan">
      <formula>0</formula>
    </cfRule>
  </conditionalFormatting>
  <conditionalFormatting sqref="F101">
    <cfRule type="cellIs" dxfId="1" priority="1" operator="lessThan">
      <formula>0</formula>
    </cfRule>
    <cfRule type="cellIs" dxfId="0" priority="2"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sheetPr>
    <pageSetUpPr autoPageBreaks="0"/>
  </sheetPr>
  <dimension ref="B2:J29"/>
  <sheetViews>
    <sheetView showGridLines="0" workbookViewId="0">
      <selection activeCell="H29" activeCellId="1" sqref="G13 H29"/>
    </sheetView>
  </sheetViews>
  <sheetFormatPr defaultColWidth="8.85546875" defaultRowHeight="12.75"/>
  <cols>
    <col min="2" max="2" width="30.42578125" customWidth="1"/>
    <col min="3" max="3" width="21.42578125" customWidth="1"/>
    <col min="4" max="4" width="14.140625" customWidth="1"/>
    <col min="5" max="5" width="11" customWidth="1"/>
    <col min="6" max="6" width="4.42578125" customWidth="1"/>
    <col min="7" max="7" width="18" customWidth="1"/>
    <col min="8" max="8" width="13.28515625" customWidth="1"/>
    <col min="10" max="10" width="10.42578125" customWidth="1"/>
  </cols>
  <sheetData>
    <row r="2" spans="2:8" ht="18">
      <c r="B2" s="579" t="s">
        <v>0</v>
      </c>
      <c r="C2" s="579"/>
      <c r="D2" s="82" t="s">
        <v>1</v>
      </c>
      <c r="E2" s="82" t="s">
        <v>57</v>
      </c>
      <c r="G2" s="84" t="s">
        <v>112</v>
      </c>
      <c r="H2" s="84" t="s">
        <v>1</v>
      </c>
    </row>
    <row r="3" spans="2:8">
      <c r="B3" s="71" t="s">
        <v>7</v>
      </c>
      <c r="C3" s="85">
        <v>-104.6</v>
      </c>
      <c r="D3" s="61"/>
      <c r="E3" s="61"/>
      <c r="G3" s="10">
        <v>11873.48</v>
      </c>
      <c r="H3" s="16">
        <v>39169</v>
      </c>
    </row>
    <row r="4" spans="2:8">
      <c r="B4" s="71" t="s">
        <v>11</v>
      </c>
      <c r="C4" s="85">
        <v>-702.74</v>
      </c>
      <c r="D4" s="61"/>
      <c r="E4" s="61"/>
      <c r="G4" s="10">
        <v>12585.5</v>
      </c>
      <c r="H4" s="16">
        <v>39171</v>
      </c>
    </row>
    <row r="5" spans="2:8" ht="12" customHeight="1">
      <c r="B5" s="71" t="s">
        <v>56</v>
      </c>
      <c r="C5" s="85">
        <v>3340.73</v>
      </c>
      <c r="D5" s="72"/>
      <c r="E5" s="72"/>
      <c r="G5" s="10">
        <v>12093.42</v>
      </c>
      <c r="H5" s="16">
        <v>39174</v>
      </c>
    </row>
    <row r="6" spans="2:8" ht="12" customHeight="1">
      <c r="B6" s="63" t="s">
        <v>81</v>
      </c>
      <c r="C6" s="63">
        <v>0</v>
      </c>
      <c r="D6" s="64"/>
      <c r="E6" s="64" t="s">
        <v>58</v>
      </c>
      <c r="G6" s="10">
        <v>12099.51</v>
      </c>
      <c r="H6" s="16">
        <v>39175</v>
      </c>
    </row>
    <row r="7" spans="2:8" ht="12" customHeight="1">
      <c r="B7" s="63" t="s">
        <v>102</v>
      </c>
      <c r="C7" s="63">
        <v>0</v>
      </c>
      <c r="D7" s="64">
        <v>39169</v>
      </c>
      <c r="E7" s="64" t="s">
        <v>58</v>
      </c>
      <c r="G7" s="10">
        <v>12101.66</v>
      </c>
      <c r="H7" s="16">
        <v>39176</v>
      </c>
    </row>
    <row r="8" spans="2:8" ht="12" customHeight="1">
      <c r="B8" s="63" t="s">
        <v>65</v>
      </c>
      <c r="C8" s="63">
        <v>0</v>
      </c>
      <c r="D8" s="64">
        <v>39171</v>
      </c>
      <c r="E8" s="64" t="s">
        <v>58</v>
      </c>
      <c r="G8" s="10">
        <v>12104.23</v>
      </c>
      <c r="H8" s="16">
        <v>39177</v>
      </c>
    </row>
    <row r="9" spans="2:8">
      <c r="B9" s="63" t="s">
        <v>123</v>
      </c>
      <c r="C9" s="63">
        <v>0</v>
      </c>
      <c r="D9" s="64">
        <v>39173</v>
      </c>
      <c r="E9" s="64" t="s">
        <v>58</v>
      </c>
      <c r="G9" s="10">
        <v>12108.31</v>
      </c>
      <c r="H9" s="16">
        <v>39181</v>
      </c>
    </row>
    <row r="10" spans="2:8">
      <c r="B10" s="71" t="s">
        <v>126</v>
      </c>
      <c r="C10" s="85">
        <v>0</v>
      </c>
      <c r="D10" s="72"/>
      <c r="E10" s="72"/>
      <c r="G10" s="10">
        <v>12111.14</v>
      </c>
      <c r="H10" s="16">
        <v>39182</v>
      </c>
    </row>
    <row r="11" spans="2:8">
      <c r="B11" s="63" t="s">
        <v>127</v>
      </c>
      <c r="C11" s="63">
        <v>0</v>
      </c>
      <c r="D11" s="64"/>
      <c r="E11" s="64" t="s">
        <v>58</v>
      </c>
      <c r="G11" s="10">
        <v>12114.89</v>
      </c>
      <c r="H11" s="16">
        <v>39183</v>
      </c>
    </row>
    <row r="12" spans="2:8">
      <c r="B12" s="63" t="s">
        <v>110</v>
      </c>
      <c r="C12" s="63">
        <v>0</v>
      </c>
      <c r="D12" s="64">
        <v>39174</v>
      </c>
      <c r="E12" s="64" t="s">
        <v>58</v>
      </c>
      <c r="G12" s="10">
        <v>12116.37</v>
      </c>
      <c r="H12" s="16">
        <v>39184</v>
      </c>
    </row>
    <row r="13" spans="2:8">
      <c r="B13" s="63" t="s">
        <v>28</v>
      </c>
      <c r="C13" s="63">
        <v>0</v>
      </c>
      <c r="D13" s="64">
        <v>39176</v>
      </c>
      <c r="E13" s="64" t="s">
        <v>58</v>
      </c>
      <c r="G13" s="10">
        <v>12119.85</v>
      </c>
      <c r="H13" s="16">
        <v>39185</v>
      </c>
    </row>
    <row r="14" spans="2:8">
      <c r="B14" s="63" t="s">
        <v>103</v>
      </c>
      <c r="C14" s="63">
        <v>0</v>
      </c>
      <c r="D14" s="64">
        <v>39173</v>
      </c>
      <c r="E14" s="64" t="s">
        <v>58</v>
      </c>
      <c r="G14" s="10">
        <v>12123.49</v>
      </c>
      <c r="H14" s="16">
        <v>39188</v>
      </c>
    </row>
    <row r="15" spans="2:8">
      <c r="B15" s="63" t="s">
        <v>69</v>
      </c>
      <c r="C15" s="63">
        <v>0</v>
      </c>
      <c r="D15" s="64">
        <v>39176</v>
      </c>
      <c r="E15" s="64" t="s">
        <v>58</v>
      </c>
      <c r="G15" s="10">
        <v>12127.43</v>
      </c>
      <c r="H15" s="16">
        <v>39189</v>
      </c>
    </row>
    <row r="16" spans="2:8">
      <c r="B16" s="63" t="s">
        <v>96</v>
      </c>
      <c r="C16" s="63">
        <v>0</v>
      </c>
      <c r="D16" s="64">
        <v>39176</v>
      </c>
      <c r="E16" s="64" t="s">
        <v>58</v>
      </c>
      <c r="G16" s="10">
        <v>12135.46</v>
      </c>
      <c r="H16" s="16">
        <v>39191</v>
      </c>
    </row>
    <row r="17" spans="2:10">
      <c r="B17" s="63" t="s">
        <v>29</v>
      </c>
      <c r="C17" s="63">
        <v>0</v>
      </c>
      <c r="D17" s="64">
        <v>39176</v>
      </c>
      <c r="E17" s="64" t="s">
        <v>58</v>
      </c>
      <c r="G17" s="10">
        <v>12146.19</v>
      </c>
      <c r="H17" s="16">
        <v>39192</v>
      </c>
    </row>
    <row r="18" spans="2:10">
      <c r="B18" s="63" t="s">
        <v>69</v>
      </c>
      <c r="C18" s="63">
        <v>0</v>
      </c>
      <c r="D18" s="64">
        <v>39181</v>
      </c>
      <c r="E18" s="64" t="s">
        <v>58</v>
      </c>
      <c r="G18" s="10">
        <v>12149.81</v>
      </c>
      <c r="H18" s="16">
        <v>39196</v>
      </c>
    </row>
    <row r="19" spans="2:10">
      <c r="B19" s="63" t="s">
        <v>41</v>
      </c>
      <c r="C19" s="63">
        <v>0</v>
      </c>
      <c r="D19" s="64">
        <v>39183</v>
      </c>
      <c r="E19" s="64"/>
      <c r="G19" s="10">
        <v>12151.58</v>
      </c>
      <c r="H19" s="16">
        <v>39197</v>
      </c>
      <c r="J19" s="52"/>
    </row>
    <row r="20" spans="2:10">
      <c r="B20" s="63" t="s">
        <v>98</v>
      </c>
      <c r="C20" s="63">
        <v>0</v>
      </c>
      <c r="D20" s="64">
        <v>39184</v>
      </c>
      <c r="E20" s="64" t="s">
        <v>58</v>
      </c>
      <c r="G20" s="10">
        <v>12153.74</v>
      </c>
      <c r="H20" s="16">
        <v>39198</v>
      </c>
    </row>
    <row r="21" spans="2:10">
      <c r="B21" s="71" t="s">
        <v>9</v>
      </c>
      <c r="C21" s="71">
        <v>0</v>
      </c>
      <c r="D21" s="72"/>
      <c r="E21" s="72"/>
      <c r="G21" s="10">
        <v>12158.8</v>
      </c>
      <c r="H21" s="16">
        <v>39199</v>
      </c>
    </row>
    <row r="22" spans="2:10">
      <c r="B22" s="63" t="s">
        <v>77</v>
      </c>
      <c r="C22" s="63">
        <v>0</v>
      </c>
      <c r="D22" s="64">
        <v>39192</v>
      </c>
      <c r="E22" s="64" t="s">
        <v>58</v>
      </c>
      <c r="G22" s="10"/>
      <c r="H22" s="16"/>
    </row>
    <row r="23" spans="2:10">
      <c r="B23" s="71" t="s">
        <v>128</v>
      </c>
      <c r="C23" s="71">
        <v>0</v>
      </c>
      <c r="D23" s="72"/>
      <c r="E23" s="72"/>
      <c r="G23" s="10"/>
      <c r="H23" s="16"/>
    </row>
    <row r="24" spans="2:10">
      <c r="B24" s="63" t="s">
        <v>122</v>
      </c>
      <c r="C24" s="63">
        <v>0</v>
      </c>
      <c r="D24" s="64">
        <v>39200</v>
      </c>
      <c r="E24" s="64" t="s">
        <v>58</v>
      </c>
      <c r="G24" s="10"/>
      <c r="H24" s="16"/>
      <c r="J24" s="52"/>
    </row>
    <row r="25" spans="2:10" ht="18">
      <c r="B25" s="74" t="s">
        <v>21</v>
      </c>
      <c r="C25" s="74">
        <f>SUM(C3:C24)</f>
        <v>2533.39</v>
      </c>
      <c r="D25" s="75"/>
      <c r="E25" s="75"/>
      <c r="G25" s="10"/>
      <c r="H25" s="16"/>
    </row>
    <row r="26" spans="2:10">
      <c r="C26" s="1"/>
      <c r="G26" s="1"/>
      <c r="H26" s="86"/>
    </row>
    <row r="27" spans="2:10">
      <c r="G27" s="1"/>
      <c r="H27" s="86"/>
    </row>
    <row r="28" spans="2:10" ht="18">
      <c r="G28" s="84" t="s">
        <v>5</v>
      </c>
      <c r="H28" s="87">
        <v>0.1</v>
      </c>
    </row>
    <row r="29" spans="2:10">
      <c r="G29" s="10">
        <v>3185.92</v>
      </c>
      <c r="H29" s="10">
        <f>+G29*1.1</f>
        <v>3504.5120000000002</v>
      </c>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sheetPr>
    <pageSetUpPr autoPageBreaks="0"/>
  </sheetPr>
  <dimension ref="B2:J30"/>
  <sheetViews>
    <sheetView showGridLines="0" workbookViewId="0">
      <selection activeCell="B22" activeCellId="1" sqref="G13 B22"/>
    </sheetView>
  </sheetViews>
  <sheetFormatPr defaultColWidth="8.85546875" defaultRowHeight="12.75"/>
  <cols>
    <col min="2" max="2" width="30.42578125" customWidth="1"/>
    <col min="3" max="3" width="21.42578125" customWidth="1"/>
    <col min="4" max="4" width="14.140625" customWidth="1"/>
    <col min="5" max="5" width="11" customWidth="1"/>
    <col min="6" max="6" width="4.42578125" customWidth="1"/>
    <col min="7" max="7" width="18" customWidth="1"/>
    <col min="8" max="8" width="13.28515625" customWidth="1"/>
    <col min="10" max="10" width="10.42578125" customWidth="1"/>
  </cols>
  <sheetData>
    <row r="2" spans="2:10" ht="18">
      <c r="B2" s="579" t="s">
        <v>0</v>
      </c>
      <c r="C2" s="579"/>
      <c r="D2" s="82" t="s">
        <v>1</v>
      </c>
      <c r="E2" s="82" t="s">
        <v>57</v>
      </c>
      <c r="G2" s="84" t="s">
        <v>112</v>
      </c>
      <c r="H2" s="84" t="s">
        <v>1</v>
      </c>
    </row>
    <row r="3" spans="2:10">
      <c r="B3" s="71" t="s">
        <v>7</v>
      </c>
      <c r="C3" s="85">
        <v>-47.21</v>
      </c>
      <c r="D3" s="61"/>
      <c r="E3" s="61"/>
      <c r="G3" s="10">
        <v>12160.46</v>
      </c>
      <c r="H3" s="16">
        <v>39202</v>
      </c>
    </row>
    <row r="4" spans="2:10">
      <c r="B4" s="71" t="s">
        <v>11</v>
      </c>
      <c r="C4" s="85">
        <v>-547.19000000000005</v>
      </c>
      <c r="D4" s="61"/>
      <c r="E4" s="61"/>
      <c r="G4" s="10">
        <v>12164.54</v>
      </c>
      <c r="H4" s="16">
        <v>39204</v>
      </c>
    </row>
    <row r="5" spans="2:10" ht="12" customHeight="1">
      <c r="B5" s="71" t="s">
        <v>56</v>
      </c>
      <c r="C5" s="85">
        <v>5600.55</v>
      </c>
      <c r="D5" s="72"/>
      <c r="E5" s="72"/>
      <c r="G5" s="10">
        <v>13174.72</v>
      </c>
      <c r="H5" s="16">
        <v>39206</v>
      </c>
    </row>
    <row r="6" spans="2:10" ht="12" customHeight="1">
      <c r="B6" s="63" t="s">
        <v>102</v>
      </c>
      <c r="C6" s="63">
        <v>0</v>
      </c>
      <c r="D6" s="64"/>
      <c r="E6" s="64" t="s">
        <v>58</v>
      </c>
      <c r="G6" s="10">
        <v>13179.51</v>
      </c>
      <c r="H6" s="16">
        <v>39209</v>
      </c>
    </row>
    <row r="7" spans="2:10">
      <c r="B7" s="63" t="s">
        <v>123</v>
      </c>
      <c r="C7" s="63">
        <v>0</v>
      </c>
      <c r="D7" s="64">
        <v>39203</v>
      </c>
      <c r="E7" s="64" t="s">
        <v>58</v>
      </c>
      <c r="G7" s="10">
        <v>13184.74</v>
      </c>
      <c r="H7" s="16">
        <v>39211</v>
      </c>
    </row>
    <row r="8" spans="2:10">
      <c r="B8" s="71" t="s">
        <v>129</v>
      </c>
      <c r="C8" s="85">
        <v>0</v>
      </c>
      <c r="D8" s="72"/>
      <c r="E8" s="72"/>
      <c r="G8" s="10">
        <v>13186.68</v>
      </c>
      <c r="H8" s="16">
        <v>39212</v>
      </c>
    </row>
    <row r="9" spans="2:10">
      <c r="B9" s="71" t="s">
        <v>126</v>
      </c>
      <c r="C9" s="85">
        <v>0</v>
      </c>
      <c r="D9" s="72"/>
      <c r="E9" s="72"/>
      <c r="G9" s="10">
        <v>13190.94</v>
      </c>
      <c r="H9" s="16">
        <v>39213</v>
      </c>
    </row>
    <row r="10" spans="2:10">
      <c r="B10" s="63" t="s">
        <v>110</v>
      </c>
      <c r="C10" s="63">
        <v>0</v>
      </c>
      <c r="D10" s="64">
        <v>39204</v>
      </c>
      <c r="E10" s="64" t="s">
        <v>58</v>
      </c>
      <c r="G10" s="10">
        <v>13896.86</v>
      </c>
      <c r="H10" s="16">
        <v>39217</v>
      </c>
    </row>
    <row r="11" spans="2:10">
      <c r="B11" s="63" t="s">
        <v>28</v>
      </c>
      <c r="C11" s="63">
        <v>0</v>
      </c>
      <c r="D11" s="64">
        <v>39206</v>
      </c>
      <c r="E11" s="64" t="s">
        <v>58</v>
      </c>
      <c r="G11" s="10">
        <v>13899.43</v>
      </c>
      <c r="H11" s="16">
        <v>39218</v>
      </c>
    </row>
    <row r="12" spans="2:10">
      <c r="B12" s="63" t="s">
        <v>103</v>
      </c>
      <c r="C12" s="63">
        <v>0</v>
      </c>
      <c r="D12" s="64">
        <v>39203</v>
      </c>
      <c r="E12" s="64" t="s">
        <v>58</v>
      </c>
      <c r="G12" s="10">
        <v>13905.31</v>
      </c>
      <c r="H12" s="16">
        <v>39219</v>
      </c>
    </row>
    <row r="13" spans="2:10">
      <c r="B13" s="63" t="s">
        <v>96</v>
      </c>
      <c r="C13" s="63">
        <v>0</v>
      </c>
      <c r="D13" s="64">
        <v>39206</v>
      </c>
      <c r="E13" s="64" t="s">
        <v>58</v>
      </c>
      <c r="G13" s="10">
        <v>13909.74</v>
      </c>
      <c r="H13" s="16">
        <v>39220</v>
      </c>
    </row>
    <row r="14" spans="2:10">
      <c r="B14" s="63" t="s">
        <v>29</v>
      </c>
      <c r="C14" s="63">
        <v>0</v>
      </c>
      <c r="D14" s="64">
        <v>39210</v>
      </c>
      <c r="E14" s="64" t="s">
        <v>58</v>
      </c>
      <c r="G14" s="10">
        <v>13914.01</v>
      </c>
      <c r="H14" s="16">
        <v>39223</v>
      </c>
    </row>
    <row r="15" spans="2:10">
      <c r="B15" s="63" t="s">
        <v>41</v>
      </c>
      <c r="C15" s="63">
        <v>0</v>
      </c>
      <c r="D15" s="64">
        <v>39213</v>
      </c>
      <c r="E15" s="64" t="s">
        <v>58</v>
      </c>
      <c r="G15" s="10">
        <v>13918.4</v>
      </c>
      <c r="H15" s="16">
        <v>39224</v>
      </c>
      <c r="J15" s="52"/>
    </row>
    <row r="16" spans="2:10">
      <c r="B16" s="63" t="s">
        <v>69</v>
      </c>
      <c r="C16" s="63">
        <v>0</v>
      </c>
      <c r="D16" s="64">
        <v>39202</v>
      </c>
      <c r="E16" s="64" t="s">
        <v>58</v>
      </c>
      <c r="G16" s="10">
        <v>13922.08</v>
      </c>
      <c r="H16" s="16">
        <v>39225</v>
      </c>
      <c r="J16" s="52"/>
    </row>
    <row r="17" spans="2:10">
      <c r="B17" s="63" t="s">
        <v>130</v>
      </c>
      <c r="C17" s="63">
        <v>0</v>
      </c>
      <c r="D17" s="64">
        <v>39208</v>
      </c>
      <c r="E17" s="64" t="s">
        <v>58</v>
      </c>
      <c r="G17" s="10">
        <v>13923.5</v>
      </c>
      <c r="H17" s="16">
        <v>39226</v>
      </c>
    </row>
    <row r="18" spans="2:10">
      <c r="B18" s="63" t="s">
        <v>98</v>
      </c>
      <c r="C18" s="63">
        <v>0</v>
      </c>
      <c r="D18" s="64">
        <v>39214</v>
      </c>
      <c r="E18" s="64" t="s">
        <v>58</v>
      </c>
      <c r="G18" s="10">
        <v>13925.19</v>
      </c>
      <c r="H18" s="16">
        <v>39227</v>
      </c>
    </row>
    <row r="19" spans="2:10">
      <c r="B19" s="71" t="s">
        <v>9</v>
      </c>
      <c r="C19" s="71">
        <v>0</v>
      </c>
      <c r="D19" s="72"/>
      <c r="E19" s="72"/>
      <c r="G19" s="10">
        <v>13931.03</v>
      </c>
      <c r="H19" s="16">
        <v>39230</v>
      </c>
    </row>
    <row r="20" spans="2:10">
      <c r="B20" s="71" t="s">
        <v>126</v>
      </c>
      <c r="C20" s="85">
        <v>0</v>
      </c>
      <c r="D20" s="72"/>
      <c r="E20" s="72"/>
      <c r="G20" s="10"/>
      <c r="H20" s="16"/>
    </row>
    <row r="21" spans="2:10">
      <c r="B21" s="63" t="s">
        <v>77</v>
      </c>
      <c r="C21" s="63">
        <v>0</v>
      </c>
      <c r="D21" s="64">
        <v>39222</v>
      </c>
      <c r="E21" s="64" t="s">
        <v>58</v>
      </c>
      <c r="G21" s="10"/>
      <c r="H21" s="16"/>
      <c r="J21" s="52"/>
    </row>
    <row r="22" spans="2:10">
      <c r="B22" s="63" t="s">
        <v>122</v>
      </c>
      <c r="C22" s="63">
        <v>0</v>
      </c>
      <c r="D22" s="64">
        <v>39230</v>
      </c>
      <c r="E22" s="64" t="s">
        <v>58</v>
      </c>
      <c r="G22" s="10"/>
      <c r="H22" s="16"/>
    </row>
    <row r="23" spans="2:10" ht="18">
      <c r="B23" s="74" t="s">
        <v>21</v>
      </c>
      <c r="C23" s="74">
        <f>SUM(C3:C22)</f>
        <v>5006.1499999999996</v>
      </c>
      <c r="D23" s="75"/>
      <c r="E23" s="75"/>
      <c r="G23" s="1"/>
      <c r="H23" s="86"/>
    </row>
    <row r="24" spans="2:10">
      <c r="C24" s="1"/>
    </row>
    <row r="28" spans="2:10">
      <c r="G28" s="88" t="s">
        <v>5</v>
      </c>
      <c r="H28" s="10"/>
    </row>
    <row r="29" spans="2:10">
      <c r="B29" t="s">
        <v>131</v>
      </c>
      <c r="C29" t="s">
        <v>132</v>
      </c>
      <c r="D29">
        <v>856.2</v>
      </c>
      <c r="G29" s="88" t="s">
        <v>133</v>
      </c>
      <c r="H29" s="10"/>
    </row>
    <row r="30" spans="2:10">
      <c r="C30" t="s">
        <v>134</v>
      </c>
      <c r="D30">
        <v>1093.3499999999999</v>
      </c>
      <c r="F30" s="89"/>
      <c r="H30" s="10">
        <v>5692.51</v>
      </c>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sheetPr>
    <pageSetUpPr autoPageBreaks="0"/>
  </sheetPr>
  <dimension ref="B2:J23"/>
  <sheetViews>
    <sheetView showGridLines="0" workbookViewId="0">
      <selection activeCell="C17" sqref="C17"/>
    </sheetView>
  </sheetViews>
  <sheetFormatPr defaultColWidth="8.85546875" defaultRowHeight="12.75"/>
  <cols>
    <col min="1" max="1" width="2" customWidth="1"/>
    <col min="2" max="2" width="30.42578125" customWidth="1"/>
    <col min="3" max="3" width="21.42578125" customWidth="1"/>
    <col min="4" max="4" width="1.7109375" customWidth="1"/>
    <col min="5" max="5" width="21.42578125" customWidth="1"/>
    <col min="6" max="6" width="14.140625" customWidth="1"/>
    <col min="7" max="7" width="11" customWidth="1"/>
    <col min="8" max="8" width="2.42578125" customWidth="1"/>
    <col min="9" max="9" width="18" customWidth="1"/>
    <col min="10" max="10" width="13.28515625" customWidth="1"/>
    <col min="12" max="12" width="10.42578125" customWidth="1"/>
  </cols>
  <sheetData>
    <row r="2" spans="2:10" ht="18">
      <c r="B2" s="220" t="s">
        <v>135</v>
      </c>
      <c r="C2" s="220" t="s">
        <v>136</v>
      </c>
      <c r="D2" s="90"/>
      <c r="E2" s="220" t="s">
        <v>0</v>
      </c>
      <c r="F2" s="82" t="s">
        <v>1</v>
      </c>
      <c r="G2" s="82" t="s">
        <v>57</v>
      </c>
      <c r="I2" s="84" t="s">
        <v>112</v>
      </c>
      <c r="J2" s="84" t="s">
        <v>1</v>
      </c>
    </row>
    <row r="3" spans="2:10">
      <c r="B3" s="71" t="s">
        <v>7</v>
      </c>
      <c r="C3" s="91">
        <v>0</v>
      </c>
      <c r="D3" s="92"/>
      <c r="E3" s="85">
        <f>251.77-250</f>
        <v>1.7700000000000102</v>
      </c>
      <c r="F3" s="61"/>
      <c r="G3" s="61"/>
      <c r="I3" s="10">
        <v>13933.09</v>
      </c>
      <c r="J3" s="16">
        <v>39231</v>
      </c>
    </row>
    <row r="4" spans="2:10">
      <c r="B4" s="71" t="s">
        <v>11</v>
      </c>
      <c r="C4" s="91">
        <v>0</v>
      </c>
      <c r="D4" s="92"/>
      <c r="E4" s="85">
        <f>-619.36+170</f>
        <v>-449.36</v>
      </c>
      <c r="F4" s="61"/>
      <c r="G4" s="61"/>
      <c r="I4" s="10">
        <v>15237.27</v>
      </c>
      <c r="J4" s="16">
        <v>39232</v>
      </c>
    </row>
    <row r="5" spans="2:10" ht="12" customHeight="1">
      <c r="B5" s="71" t="s">
        <v>56</v>
      </c>
      <c r="C5" s="91">
        <v>0</v>
      </c>
      <c r="D5" s="92"/>
      <c r="E5" s="85">
        <v>-14.78</v>
      </c>
      <c r="F5" s="72"/>
      <c r="G5" s="72"/>
      <c r="I5" s="10">
        <v>15239.54</v>
      </c>
      <c r="J5" s="16">
        <v>39233</v>
      </c>
    </row>
    <row r="6" spans="2:10" ht="12" customHeight="1">
      <c r="B6" s="71" t="s">
        <v>5</v>
      </c>
      <c r="C6" s="93">
        <v>5692.51</v>
      </c>
      <c r="D6" s="94"/>
      <c r="E6" s="95">
        <v>0</v>
      </c>
      <c r="F6" s="72"/>
      <c r="G6" s="72"/>
      <c r="I6" s="10">
        <v>15243.87</v>
      </c>
      <c r="J6" s="16">
        <v>39234</v>
      </c>
    </row>
    <row r="7" spans="2:10" ht="12" customHeight="1">
      <c r="B7" s="71" t="s">
        <v>9</v>
      </c>
      <c r="C7" s="93">
        <v>60</v>
      </c>
      <c r="D7" s="94"/>
      <c r="E7" s="95">
        <v>0</v>
      </c>
      <c r="F7" s="72">
        <v>39238</v>
      </c>
      <c r="G7" s="72" t="s">
        <v>58</v>
      </c>
      <c r="I7" s="10">
        <v>15247.82</v>
      </c>
      <c r="J7" s="16">
        <v>39237</v>
      </c>
    </row>
    <row r="8" spans="2:10" ht="12" customHeight="1">
      <c r="B8" s="63" t="s">
        <v>102</v>
      </c>
      <c r="C8" s="96">
        <v>-1300</v>
      </c>
      <c r="D8" s="97"/>
      <c r="E8" s="63">
        <v>0</v>
      </c>
      <c r="F8" s="64">
        <v>39234</v>
      </c>
      <c r="G8" s="64"/>
      <c r="I8" s="10">
        <v>15253.05</v>
      </c>
      <c r="J8" s="16">
        <v>39238</v>
      </c>
    </row>
    <row r="9" spans="2:10" ht="12" customHeight="1">
      <c r="B9" s="63" t="s">
        <v>137</v>
      </c>
      <c r="C9" s="96">
        <v>-50</v>
      </c>
      <c r="D9" s="97"/>
      <c r="E9" s="63">
        <v>0</v>
      </c>
      <c r="F9" s="64">
        <v>39234</v>
      </c>
      <c r="G9" s="64" t="s">
        <v>58</v>
      </c>
      <c r="I9" s="10">
        <v>15255.49</v>
      </c>
      <c r="J9" s="16">
        <v>39239</v>
      </c>
    </row>
    <row r="10" spans="2:10" ht="12" customHeight="1">
      <c r="B10" s="63" t="s">
        <v>65</v>
      </c>
      <c r="C10" s="96">
        <v>-180</v>
      </c>
      <c r="D10" s="97"/>
      <c r="E10" s="63">
        <v>0</v>
      </c>
      <c r="F10" s="64">
        <v>39234</v>
      </c>
      <c r="G10" s="64" t="s">
        <v>58</v>
      </c>
      <c r="I10" s="10">
        <v>15256.1</v>
      </c>
      <c r="J10" s="16">
        <v>39241</v>
      </c>
    </row>
    <row r="11" spans="2:10">
      <c r="B11" s="63" t="s">
        <v>123</v>
      </c>
      <c r="C11" s="96">
        <f>(856.2+1093.35)*-1</f>
        <v>-1949.55</v>
      </c>
      <c r="D11" s="97"/>
      <c r="E11" s="63">
        <v>0</v>
      </c>
      <c r="F11" s="64">
        <v>39234</v>
      </c>
      <c r="G11" s="64" t="s">
        <v>58</v>
      </c>
      <c r="I11" s="10">
        <v>15264.12</v>
      </c>
      <c r="J11" s="16">
        <v>39244</v>
      </c>
    </row>
    <row r="12" spans="2:10">
      <c r="B12" s="63" t="s">
        <v>110</v>
      </c>
      <c r="C12" s="96">
        <v>-143.65</v>
      </c>
      <c r="D12" s="97"/>
      <c r="E12" s="63">
        <v>0</v>
      </c>
      <c r="F12" s="64">
        <v>39234</v>
      </c>
      <c r="G12" s="64" t="s">
        <v>58</v>
      </c>
      <c r="I12" s="10">
        <v>15268.33</v>
      </c>
      <c r="J12" s="16">
        <v>39245</v>
      </c>
    </row>
    <row r="13" spans="2:10">
      <c r="B13" s="63" t="s">
        <v>138</v>
      </c>
      <c r="C13" s="96">
        <v>-50</v>
      </c>
      <c r="D13" s="97"/>
      <c r="E13" s="63">
        <v>0</v>
      </c>
      <c r="F13" s="64">
        <v>39237</v>
      </c>
      <c r="G13" s="64" t="s">
        <v>58</v>
      </c>
      <c r="I13" s="10">
        <v>15268.98</v>
      </c>
      <c r="J13" s="16">
        <v>39246</v>
      </c>
    </row>
    <row r="14" spans="2:10">
      <c r="B14" s="63" t="s">
        <v>28</v>
      </c>
      <c r="C14" s="96">
        <v>-680.33</v>
      </c>
      <c r="D14" s="97"/>
      <c r="E14" s="63">
        <v>0</v>
      </c>
      <c r="F14" s="64">
        <v>39237</v>
      </c>
      <c r="G14" s="64" t="s">
        <v>58</v>
      </c>
      <c r="I14" s="10">
        <v>15271.59</v>
      </c>
      <c r="J14" s="16">
        <v>39247</v>
      </c>
    </row>
    <row r="15" spans="2:10">
      <c r="B15" s="63" t="s">
        <v>103</v>
      </c>
      <c r="C15" s="96">
        <v>-64.98</v>
      </c>
      <c r="D15" s="97"/>
      <c r="E15" s="63">
        <v>0</v>
      </c>
      <c r="F15" s="64">
        <v>39234</v>
      </c>
      <c r="G15" s="64" t="s">
        <v>58</v>
      </c>
      <c r="I15" s="10">
        <v>15283.59</v>
      </c>
      <c r="J15" s="16">
        <v>39251</v>
      </c>
    </row>
    <row r="16" spans="2:10">
      <c r="B16" s="63" t="s">
        <v>96</v>
      </c>
      <c r="C16" s="96">
        <v>-92.18</v>
      </c>
      <c r="D16" s="97"/>
      <c r="E16" s="63">
        <v>0</v>
      </c>
      <c r="F16" s="64">
        <v>39237</v>
      </c>
      <c r="G16" s="64" t="s">
        <v>58</v>
      </c>
      <c r="I16" s="10">
        <v>15291.73</v>
      </c>
      <c r="J16" s="16">
        <v>39253</v>
      </c>
    </row>
    <row r="17" spans="2:10">
      <c r="B17" s="63" t="s">
        <v>29</v>
      </c>
      <c r="C17" s="96">
        <v>-262.01</v>
      </c>
      <c r="D17" s="97"/>
      <c r="E17" s="63">
        <v>0</v>
      </c>
      <c r="F17" s="64">
        <v>39241</v>
      </c>
      <c r="G17" s="64" t="s">
        <v>58</v>
      </c>
      <c r="I17" s="10">
        <v>15299.2</v>
      </c>
      <c r="J17" s="16">
        <v>39258</v>
      </c>
    </row>
    <row r="18" spans="2:10">
      <c r="B18" s="63" t="s">
        <v>41</v>
      </c>
      <c r="C18" s="96">
        <v>-93.37</v>
      </c>
      <c r="D18" s="97"/>
      <c r="E18" s="63">
        <v>0</v>
      </c>
      <c r="F18" s="64">
        <v>39244</v>
      </c>
      <c r="G18" s="64" t="s">
        <v>58</v>
      </c>
      <c r="I18" s="10">
        <v>15298.79</v>
      </c>
      <c r="J18" s="16">
        <v>39259</v>
      </c>
    </row>
    <row r="19" spans="2:10">
      <c r="B19" s="63" t="s">
        <v>98</v>
      </c>
      <c r="C19" s="96">
        <v>-90</v>
      </c>
      <c r="D19" s="97"/>
      <c r="E19" s="63">
        <v>0</v>
      </c>
      <c r="F19" s="64">
        <v>39245</v>
      </c>
      <c r="G19" s="64" t="s">
        <v>58</v>
      </c>
      <c r="I19" s="10">
        <v>15303.89</v>
      </c>
      <c r="J19" s="16">
        <v>39260</v>
      </c>
    </row>
    <row r="20" spans="2:10">
      <c r="B20" s="63" t="s">
        <v>77</v>
      </c>
      <c r="C20" s="96">
        <v>-99</v>
      </c>
      <c r="D20" s="97"/>
      <c r="E20" s="63">
        <v>0</v>
      </c>
      <c r="F20" s="64">
        <v>39253</v>
      </c>
      <c r="G20" s="64" t="s">
        <v>58</v>
      </c>
      <c r="I20" s="10"/>
      <c r="J20" s="16"/>
    </row>
    <row r="21" spans="2:10">
      <c r="B21" s="63" t="s">
        <v>139</v>
      </c>
      <c r="C21" s="96">
        <v>-80</v>
      </c>
      <c r="D21" s="97"/>
      <c r="E21" s="63">
        <v>0</v>
      </c>
      <c r="F21" s="64">
        <v>39253</v>
      </c>
      <c r="G21" s="64" t="s">
        <v>58</v>
      </c>
      <c r="I21" s="10"/>
      <c r="J21" s="16"/>
    </row>
    <row r="22" spans="2:10">
      <c r="B22" s="63" t="s">
        <v>122</v>
      </c>
      <c r="C22" s="96">
        <v>-15.53</v>
      </c>
      <c r="D22" s="97"/>
      <c r="E22" s="63">
        <v>0</v>
      </c>
      <c r="F22" s="64">
        <v>39261</v>
      </c>
      <c r="G22" s="64" t="s">
        <v>58</v>
      </c>
      <c r="I22" s="10"/>
      <c r="J22" s="16"/>
    </row>
    <row r="23" spans="2:10" ht="18">
      <c r="B23" s="74" t="s">
        <v>21</v>
      </c>
      <c r="C23" s="75"/>
      <c r="D23" s="98"/>
      <c r="E23" s="74">
        <f>SUM(E3:E22)</f>
        <v>-462.37</v>
      </c>
      <c r="F23" s="75"/>
      <c r="G23" s="75"/>
      <c r="I23" s="10"/>
      <c r="J23" s="16"/>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sheetPr>
    <pageSetUpPr autoPageBreaks="0"/>
  </sheetPr>
  <dimension ref="B2:J25"/>
  <sheetViews>
    <sheetView showGridLines="0" workbookViewId="0">
      <selection activeCell="F38" activeCellId="1" sqref="G13 F38"/>
    </sheetView>
  </sheetViews>
  <sheetFormatPr defaultColWidth="8.85546875" defaultRowHeight="12.75"/>
  <cols>
    <col min="1" max="1" width="2" customWidth="1"/>
    <col min="2" max="2" width="30.42578125" customWidth="1"/>
    <col min="3" max="3" width="21.42578125" customWidth="1"/>
    <col min="4" max="4" width="1.7109375" customWidth="1"/>
    <col min="5" max="5" width="21.42578125" customWidth="1"/>
    <col min="6" max="6" width="14.140625" customWidth="1"/>
    <col min="7" max="7" width="11" customWidth="1"/>
    <col min="8" max="8" width="2.42578125" customWidth="1"/>
    <col min="9" max="9" width="18" customWidth="1"/>
    <col min="10" max="10" width="13.28515625" customWidth="1"/>
    <col min="12" max="12" width="10.42578125" customWidth="1"/>
  </cols>
  <sheetData>
    <row r="2" spans="2:10" ht="18">
      <c r="B2" s="220" t="s">
        <v>135</v>
      </c>
      <c r="C2" s="220" t="s">
        <v>136</v>
      </c>
      <c r="D2" s="90"/>
      <c r="E2" s="220" t="s">
        <v>0</v>
      </c>
      <c r="F2" s="82" t="s">
        <v>1</v>
      </c>
      <c r="G2" s="82" t="s">
        <v>57</v>
      </c>
      <c r="I2" s="84" t="s">
        <v>112</v>
      </c>
      <c r="J2" s="84" t="s">
        <v>1</v>
      </c>
    </row>
    <row r="3" spans="2:10">
      <c r="B3" s="71" t="s">
        <v>7</v>
      </c>
      <c r="C3" s="91">
        <v>0</v>
      </c>
      <c r="D3" s="92"/>
      <c r="E3" s="95">
        <v>10</v>
      </c>
      <c r="F3" s="61"/>
      <c r="G3" s="61"/>
      <c r="I3" s="10">
        <v>15312.78</v>
      </c>
      <c r="J3" s="16">
        <v>39261</v>
      </c>
    </row>
    <row r="4" spans="2:10">
      <c r="B4" s="71" t="s">
        <v>11</v>
      </c>
      <c r="C4" s="91">
        <v>0</v>
      </c>
      <c r="D4" s="92"/>
      <c r="E4" s="95">
        <v>-237.45</v>
      </c>
      <c r="F4" s="61"/>
      <c r="G4" s="61"/>
      <c r="I4" s="10">
        <v>15314.55</v>
      </c>
      <c r="J4" s="16">
        <v>39262</v>
      </c>
    </row>
    <row r="5" spans="2:10" ht="12" customHeight="1">
      <c r="B5" s="71" t="s">
        <v>56</v>
      </c>
      <c r="C5" s="91">
        <v>0</v>
      </c>
      <c r="D5" s="92"/>
      <c r="E5" s="95">
        <v>159.08000000000001</v>
      </c>
      <c r="F5" s="72"/>
      <c r="G5" s="72"/>
      <c r="I5" s="10">
        <v>15321.78</v>
      </c>
      <c r="J5" s="16">
        <v>39265</v>
      </c>
    </row>
    <row r="6" spans="2:10" ht="12" customHeight="1">
      <c r="B6" s="71" t="s">
        <v>107</v>
      </c>
      <c r="C6" s="93">
        <v>96</v>
      </c>
      <c r="D6" s="94"/>
      <c r="E6" s="95">
        <v>0</v>
      </c>
      <c r="F6" s="72"/>
      <c r="G6" s="72" t="s">
        <v>58</v>
      </c>
      <c r="I6" s="10">
        <v>15323.84</v>
      </c>
      <c r="J6" s="16">
        <v>39266</v>
      </c>
    </row>
    <row r="7" spans="2:10" ht="12" customHeight="1">
      <c r="B7" s="71" t="s">
        <v>140</v>
      </c>
      <c r="C7" s="93">
        <v>2843.94</v>
      </c>
      <c r="D7" s="94"/>
      <c r="E7" s="95">
        <v>0</v>
      </c>
      <c r="F7" s="72"/>
      <c r="G7" s="72" t="s">
        <v>58</v>
      </c>
      <c r="I7" s="10">
        <v>15330.3</v>
      </c>
      <c r="J7" s="16">
        <v>39267</v>
      </c>
    </row>
    <row r="8" spans="2:10" ht="12" customHeight="1">
      <c r="B8" s="71" t="s">
        <v>5</v>
      </c>
      <c r="C8" s="93">
        <v>5133.37</v>
      </c>
      <c r="D8" s="94"/>
      <c r="E8" s="95">
        <v>0</v>
      </c>
      <c r="F8" s="72"/>
      <c r="G8" s="72" t="s">
        <v>58</v>
      </c>
      <c r="I8" s="10">
        <v>15331.56</v>
      </c>
      <c r="J8" s="16">
        <v>39268</v>
      </c>
    </row>
    <row r="9" spans="2:10">
      <c r="B9" s="99" t="s">
        <v>141</v>
      </c>
      <c r="C9" s="96">
        <v>-399.34</v>
      </c>
      <c r="D9" s="97"/>
      <c r="E9" s="63">
        <v>0</v>
      </c>
      <c r="F9" s="64"/>
      <c r="G9" s="64" t="s">
        <v>58</v>
      </c>
      <c r="I9" s="10">
        <v>15335.94</v>
      </c>
      <c r="J9" s="16">
        <v>39269</v>
      </c>
    </row>
    <row r="10" spans="2:10">
      <c r="B10" s="99" t="s">
        <v>125</v>
      </c>
      <c r="C10" s="96">
        <v>399.34</v>
      </c>
      <c r="D10" s="97"/>
      <c r="E10" s="63">
        <v>0</v>
      </c>
      <c r="F10" s="64"/>
      <c r="G10" s="64"/>
      <c r="I10" s="100">
        <v>0</v>
      </c>
      <c r="J10" s="16">
        <v>39288</v>
      </c>
    </row>
    <row r="11" spans="2:10">
      <c r="B11" s="99" t="s">
        <v>102</v>
      </c>
      <c r="C11" s="96">
        <v>-2500</v>
      </c>
      <c r="D11" s="97"/>
      <c r="E11" s="63">
        <v>0</v>
      </c>
      <c r="F11" s="64">
        <v>39264</v>
      </c>
      <c r="G11" s="64" t="s">
        <v>58</v>
      </c>
      <c r="I11" s="10"/>
      <c r="J11" s="16"/>
    </row>
    <row r="12" spans="2:10">
      <c r="B12" s="99" t="s">
        <v>65</v>
      </c>
      <c r="C12" s="96">
        <v>-110</v>
      </c>
      <c r="D12" s="97"/>
      <c r="E12" s="63">
        <v>0</v>
      </c>
      <c r="F12" s="64">
        <v>39292</v>
      </c>
      <c r="G12" s="64" t="s">
        <v>58</v>
      </c>
      <c r="I12" s="10"/>
      <c r="J12" s="16"/>
    </row>
    <row r="13" spans="2:10">
      <c r="B13" s="99" t="s">
        <v>123</v>
      </c>
      <c r="C13" s="96">
        <v>-636.76</v>
      </c>
      <c r="D13" s="97"/>
      <c r="E13" s="63">
        <v>0</v>
      </c>
      <c r="F13" s="64">
        <v>39264</v>
      </c>
      <c r="G13" s="64" t="s">
        <v>58</v>
      </c>
      <c r="I13" s="10"/>
      <c r="J13" s="16"/>
    </row>
    <row r="14" spans="2:10">
      <c r="B14" s="99" t="s">
        <v>110</v>
      </c>
      <c r="C14" s="96">
        <v>-143.65</v>
      </c>
      <c r="D14" s="97"/>
      <c r="E14" s="63">
        <v>0</v>
      </c>
      <c r="F14" s="64">
        <v>39265</v>
      </c>
      <c r="G14" s="64" t="s">
        <v>58</v>
      </c>
      <c r="I14" s="10"/>
      <c r="J14" s="16"/>
    </row>
    <row r="15" spans="2:10">
      <c r="B15" s="99" t="s">
        <v>142</v>
      </c>
      <c r="C15" s="96">
        <v>-54.5</v>
      </c>
      <c r="D15" s="97"/>
      <c r="E15" s="63">
        <v>0</v>
      </c>
      <c r="F15" s="64">
        <v>39287</v>
      </c>
      <c r="G15" s="64" t="s">
        <v>58</v>
      </c>
      <c r="I15" s="10"/>
      <c r="J15" s="16"/>
    </row>
    <row r="16" spans="2:10">
      <c r="B16" s="99" t="s">
        <v>137</v>
      </c>
      <c r="C16" s="96">
        <v>-50</v>
      </c>
      <c r="D16" s="97"/>
      <c r="E16" s="63">
        <v>0</v>
      </c>
      <c r="F16" s="64">
        <v>39287</v>
      </c>
      <c r="G16" s="64" t="s">
        <v>58</v>
      </c>
      <c r="I16" s="10"/>
      <c r="J16" s="16"/>
    </row>
    <row r="17" spans="2:10">
      <c r="B17" s="99" t="s">
        <v>28</v>
      </c>
      <c r="C17" s="96">
        <v>-678.85</v>
      </c>
      <c r="D17" s="97"/>
      <c r="E17" s="63">
        <v>0</v>
      </c>
      <c r="F17" s="64">
        <v>39267</v>
      </c>
      <c r="G17" s="64" t="s">
        <v>58</v>
      </c>
      <c r="I17" s="10"/>
      <c r="J17" s="16"/>
    </row>
    <row r="18" spans="2:10">
      <c r="B18" s="99" t="s">
        <v>103</v>
      </c>
      <c r="C18" s="96">
        <v>-46</v>
      </c>
      <c r="D18" s="97"/>
      <c r="E18" s="63">
        <v>0</v>
      </c>
      <c r="F18" s="64">
        <v>39264</v>
      </c>
      <c r="G18" s="64" t="s">
        <v>58</v>
      </c>
      <c r="I18" s="10"/>
      <c r="J18" s="16"/>
    </row>
    <row r="19" spans="2:10">
      <c r="B19" s="99" t="s">
        <v>96</v>
      </c>
      <c r="C19" s="96">
        <v>-93.24</v>
      </c>
      <c r="D19" s="97"/>
      <c r="E19" s="63">
        <v>0</v>
      </c>
      <c r="F19" s="64">
        <v>39267</v>
      </c>
      <c r="G19" s="64" t="s">
        <v>58</v>
      </c>
      <c r="I19" s="10"/>
      <c r="J19" s="16"/>
    </row>
    <row r="20" spans="2:10">
      <c r="B20" s="99" t="s">
        <v>29</v>
      </c>
      <c r="C20" s="96">
        <v>-262</v>
      </c>
      <c r="D20" s="97"/>
      <c r="E20" s="63">
        <v>0</v>
      </c>
      <c r="F20" s="64">
        <v>39269</v>
      </c>
      <c r="G20" s="64" t="s">
        <v>58</v>
      </c>
      <c r="I20" s="10"/>
      <c r="J20" s="16"/>
    </row>
    <row r="21" spans="2:10">
      <c r="B21" s="99" t="s">
        <v>41</v>
      </c>
      <c r="C21" s="96">
        <v>-85.73</v>
      </c>
      <c r="D21" s="97"/>
      <c r="E21" s="63">
        <v>0</v>
      </c>
      <c r="F21" s="64">
        <v>39275</v>
      </c>
      <c r="G21" s="64" t="s">
        <v>58</v>
      </c>
      <c r="I21" s="10"/>
      <c r="J21" s="16"/>
    </row>
    <row r="22" spans="2:10">
      <c r="B22" s="99" t="s">
        <v>98</v>
      </c>
      <c r="C22" s="96">
        <v>-90</v>
      </c>
      <c r="D22" s="97"/>
      <c r="E22" s="63">
        <v>0</v>
      </c>
      <c r="F22" s="64">
        <v>39275</v>
      </c>
      <c r="G22" s="64" t="s">
        <v>58</v>
      </c>
      <c r="I22" s="10"/>
      <c r="J22" s="16"/>
    </row>
    <row r="23" spans="2:10">
      <c r="B23" s="99" t="s">
        <v>77</v>
      </c>
      <c r="C23" s="96">
        <v>-99</v>
      </c>
      <c r="D23" s="97"/>
      <c r="E23" s="63">
        <v>0</v>
      </c>
      <c r="F23" s="64">
        <v>39283</v>
      </c>
      <c r="G23" s="64" t="s">
        <v>58</v>
      </c>
      <c r="I23" s="10"/>
      <c r="J23" s="16"/>
    </row>
    <row r="24" spans="2:10">
      <c r="B24" s="99" t="s">
        <v>122</v>
      </c>
      <c r="C24" s="96">
        <v>-15</v>
      </c>
      <c r="D24" s="97"/>
      <c r="E24" s="63">
        <v>0</v>
      </c>
      <c r="F24" s="64">
        <v>39291</v>
      </c>
      <c r="G24" s="64" t="s">
        <v>58</v>
      </c>
      <c r="I24" s="10"/>
      <c r="J24" s="16"/>
    </row>
    <row r="25" spans="2:10" ht="18">
      <c r="B25" s="74" t="s">
        <v>45</v>
      </c>
      <c r="C25" s="101"/>
      <c r="D25" s="98"/>
      <c r="E25" s="101">
        <f>SUM(E3:E24)</f>
        <v>-68.369999999999976</v>
      </c>
      <c r="F25" s="75"/>
      <c r="G25" s="75"/>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sheetPr>
    <pageSetUpPr autoPageBreaks="0"/>
  </sheetPr>
  <dimension ref="B2:J31"/>
  <sheetViews>
    <sheetView showGridLines="0" topLeftCell="A4" workbookViewId="0">
      <selection activeCell="E4" activeCellId="1" sqref="G13 E4"/>
    </sheetView>
  </sheetViews>
  <sheetFormatPr defaultColWidth="8.85546875" defaultRowHeight="12.75"/>
  <cols>
    <col min="1" max="1" width="2" customWidth="1"/>
    <col min="2" max="2" width="30.42578125" customWidth="1"/>
    <col min="3" max="3" width="21.42578125" customWidth="1"/>
    <col min="4" max="4" width="1.7109375" customWidth="1"/>
    <col min="5" max="5" width="21.42578125" customWidth="1"/>
    <col min="6" max="6" width="14.140625" customWidth="1"/>
    <col min="7" max="7" width="11" customWidth="1"/>
    <col min="8" max="8" width="2.42578125" customWidth="1"/>
    <col min="9" max="9" width="18" customWidth="1"/>
    <col min="10" max="10" width="13.28515625" customWidth="1"/>
    <col min="12" max="12" width="10.42578125" customWidth="1"/>
  </cols>
  <sheetData>
    <row r="2" spans="2:10" ht="18">
      <c r="B2" s="220" t="s">
        <v>135</v>
      </c>
      <c r="C2" s="220" t="s">
        <v>136</v>
      </c>
      <c r="D2" s="90"/>
      <c r="E2" s="220" t="s">
        <v>0</v>
      </c>
      <c r="F2" s="82" t="s">
        <v>1</v>
      </c>
      <c r="G2" s="82" t="s">
        <v>57</v>
      </c>
      <c r="I2" s="84" t="s">
        <v>112</v>
      </c>
      <c r="J2" s="84" t="s">
        <v>1</v>
      </c>
    </row>
    <row r="3" spans="2:10">
      <c r="B3" s="71" t="s">
        <v>7</v>
      </c>
      <c r="C3" s="91">
        <v>0</v>
      </c>
      <c r="D3" s="92"/>
      <c r="E3" s="95">
        <v>-43.56</v>
      </c>
      <c r="F3" s="61"/>
      <c r="G3" s="61"/>
      <c r="I3" s="10"/>
      <c r="J3" s="16"/>
    </row>
    <row r="4" spans="2:10">
      <c r="B4" s="71" t="s">
        <v>11</v>
      </c>
      <c r="C4" s="91">
        <v>0</v>
      </c>
      <c r="D4" s="92"/>
      <c r="E4" s="95">
        <v>-773.52</v>
      </c>
      <c r="F4" s="61"/>
      <c r="G4" s="61"/>
      <c r="I4" s="10"/>
      <c r="J4" s="16"/>
    </row>
    <row r="5" spans="2:10" ht="12" customHeight="1">
      <c r="B5" s="71" t="s">
        <v>56</v>
      </c>
      <c r="C5" s="91">
        <v>0</v>
      </c>
      <c r="D5" s="92"/>
      <c r="E5" s="95">
        <v>-276.04000000000002</v>
      </c>
      <c r="F5" s="72"/>
      <c r="G5" s="72"/>
      <c r="I5" s="10"/>
      <c r="J5" s="16"/>
    </row>
    <row r="6" spans="2:10" ht="12" customHeight="1">
      <c r="B6" s="71" t="s">
        <v>5</v>
      </c>
      <c r="C6" s="93">
        <v>1622.3</v>
      </c>
      <c r="D6" s="94"/>
      <c r="E6" s="95">
        <v>0</v>
      </c>
      <c r="F6" s="72"/>
      <c r="G6" s="72"/>
      <c r="I6" s="10"/>
      <c r="J6" s="16"/>
    </row>
    <row r="7" spans="2:10" ht="12" customHeight="1">
      <c r="B7" s="71" t="s">
        <v>143</v>
      </c>
      <c r="C7" s="93">
        <v>1000</v>
      </c>
      <c r="D7" s="94"/>
      <c r="E7" s="95">
        <v>0</v>
      </c>
      <c r="F7" s="72"/>
      <c r="G7" s="72"/>
      <c r="I7" s="10"/>
      <c r="J7" s="16"/>
    </row>
    <row r="8" spans="2:10" ht="12" customHeight="1">
      <c r="B8" s="71" t="s">
        <v>144</v>
      </c>
      <c r="C8" s="93">
        <v>100</v>
      </c>
      <c r="D8" s="94"/>
      <c r="E8" s="95">
        <v>0</v>
      </c>
      <c r="F8" s="72"/>
      <c r="G8" s="72"/>
      <c r="I8" s="10"/>
      <c r="J8" s="16"/>
    </row>
    <row r="9" spans="2:10" ht="12" customHeight="1">
      <c r="B9" s="71" t="s">
        <v>145</v>
      </c>
      <c r="C9" s="93">
        <v>64</v>
      </c>
      <c r="D9" s="94"/>
      <c r="E9" s="95">
        <v>0</v>
      </c>
      <c r="F9" s="72"/>
      <c r="G9" s="72"/>
      <c r="I9" s="10"/>
      <c r="J9" s="16"/>
    </row>
    <row r="10" spans="2:10" ht="12" customHeight="1">
      <c r="B10" s="71" t="s">
        <v>107</v>
      </c>
      <c r="C10" s="93">
        <f>29+65</f>
        <v>94</v>
      </c>
      <c r="D10" s="94"/>
      <c r="E10" s="95">
        <v>0</v>
      </c>
      <c r="F10" s="72"/>
      <c r="G10" s="72"/>
      <c r="I10" s="10"/>
      <c r="J10" s="16"/>
    </row>
    <row r="11" spans="2:10" ht="12" customHeight="1">
      <c r="B11" s="71" t="s">
        <v>9</v>
      </c>
      <c r="C11" s="93">
        <v>130</v>
      </c>
      <c r="D11" s="94"/>
      <c r="E11" s="95">
        <v>0</v>
      </c>
      <c r="F11" s="72"/>
      <c r="G11" s="72"/>
      <c r="I11" s="10"/>
      <c r="J11" s="16"/>
    </row>
    <row r="12" spans="2:10" ht="12" customHeight="1">
      <c r="B12" s="71" t="s">
        <v>146</v>
      </c>
      <c r="C12" s="93">
        <f>25+60+15</f>
        <v>100</v>
      </c>
      <c r="D12" s="94"/>
      <c r="E12" s="95">
        <v>0</v>
      </c>
      <c r="F12" s="72"/>
      <c r="G12" s="72"/>
      <c r="I12" s="10"/>
      <c r="J12" s="16"/>
    </row>
    <row r="13" spans="2:10">
      <c r="B13" s="99" t="s">
        <v>102</v>
      </c>
      <c r="C13" s="96">
        <v>0</v>
      </c>
      <c r="D13" s="97"/>
      <c r="E13" s="63">
        <v>0</v>
      </c>
      <c r="F13" s="64">
        <v>39295</v>
      </c>
      <c r="G13" s="64" t="s">
        <v>58</v>
      </c>
      <c r="I13" s="10"/>
      <c r="J13" s="16"/>
    </row>
    <row r="14" spans="2:10">
      <c r="B14" s="99" t="s">
        <v>65</v>
      </c>
      <c r="C14" s="96">
        <v>-180</v>
      </c>
      <c r="D14" s="97"/>
      <c r="E14" s="63">
        <v>0</v>
      </c>
      <c r="F14" s="64">
        <v>39323</v>
      </c>
      <c r="G14" s="64" t="s">
        <v>58</v>
      </c>
      <c r="I14" s="10"/>
      <c r="J14" s="16"/>
    </row>
    <row r="15" spans="2:10">
      <c r="B15" s="99" t="s">
        <v>147</v>
      </c>
      <c r="C15" s="96">
        <v>-85</v>
      </c>
      <c r="D15" s="97"/>
      <c r="E15" s="63">
        <v>0</v>
      </c>
      <c r="F15" s="64">
        <v>39295</v>
      </c>
      <c r="G15" s="64" t="s">
        <v>58</v>
      </c>
      <c r="I15" s="10"/>
      <c r="J15" s="16"/>
    </row>
    <row r="16" spans="2:10">
      <c r="B16" s="99" t="s">
        <v>123</v>
      </c>
      <c r="C16" s="96">
        <v>-2304.0300000000002</v>
      </c>
      <c r="D16" s="97"/>
      <c r="E16" s="63">
        <v>0</v>
      </c>
      <c r="F16" s="64">
        <v>39295</v>
      </c>
      <c r="G16" s="64" t="s">
        <v>58</v>
      </c>
      <c r="I16" s="10"/>
      <c r="J16" s="16"/>
    </row>
    <row r="17" spans="2:10">
      <c r="B17" s="99" t="s">
        <v>148</v>
      </c>
      <c r="C17" s="96">
        <v>-82.83</v>
      </c>
      <c r="D17" s="97"/>
      <c r="E17" s="63">
        <v>0</v>
      </c>
      <c r="F17" s="64">
        <v>39296</v>
      </c>
      <c r="G17" s="64" t="s">
        <v>58</v>
      </c>
      <c r="I17" s="10"/>
      <c r="J17" s="16"/>
    </row>
    <row r="18" spans="2:10">
      <c r="B18" s="99" t="s">
        <v>110</v>
      </c>
      <c r="C18" s="96">
        <v>-137.49</v>
      </c>
      <c r="D18" s="97"/>
      <c r="E18" s="63">
        <v>0</v>
      </c>
      <c r="F18" s="64">
        <v>39295</v>
      </c>
      <c r="G18" s="64" t="s">
        <v>58</v>
      </c>
      <c r="I18" s="10"/>
      <c r="J18" s="16"/>
    </row>
    <row r="19" spans="2:10">
      <c r="B19" s="99" t="s">
        <v>137</v>
      </c>
      <c r="C19" s="96">
        <v>-50</v>
      </c>
      <c r="D19" s="97"/>
      <c r="E19" s="63">
        <v>0</v>
      </c>
      <c r="F19" s="64">
        <v>39301</v>
      </c>
      <c r="G19" s="64" t="s">
        <v>58</v>
      </c>
      <c r="I19" s="10"/>
      <c r="J19" s="16"/>
    </row>
    <row r="20" spans="2:10">
      <c r="B20" s="99" t="s">
        <v>28</v>
      </c>
      <c r="C20" s="96">
        <v>0</v>
      </c>
      <c r="D20" s="97"/>
      <c r="E20" s="63">
        <v>0</v>
      </c>
      <c r="F20" s="64">
        <v>39307</v>
      </c>
      <c r="G20" s="64" t="s">
        <v>58</v>
      </c>
      <c r="I20" s="10"/>
      <c r="J20" s="16"/>
    </row>
    <row r="21" spans="2:10">
      <c r="B21" s="99" t="s">
        <v>103</v>
      </c>
      <c r="C21" s="96">
        <v>-46</v>
      </c>
      <c r="D21" s="97"/>
      <c r="E21" s="63">
        <v>0</v>
      </c>
      <c r="F21" s="64">
        <v>39295</v>
      </c>
      <c r="G21" s="64" t="s">
        <v>58</v>
      </c>
      <c r="I21" s="10"/>
      <c r="J21" s="16"/>
    </row>
    <row r="22" spans="2:10">
      <c r="B22" s="99" t="s">
        <v>96</v>
      </c>
      <c r="C22" s="96">
        <v>-75.36</v>
      </c>
      <c r="D22" s="97"/>
      <c r="E22" s="63">
        <v>0</v>
      </c>
      <c r="F22" s="64">
        <v>39298</v>
      </c>
      <c r="G22" s="64" t="s">
        <v>58</v>
      </c>
      <c r="I22" s="10"/>
      <c r="J22" s="16"/>
    </row>
    <row r="23" spans="2:10">
      <c r="B23" s="99" t="s">
        <v>29</v>
      </c>
      <c r="C23" s="96">
        <v>-262</v>
      </c>
      <c r="D23" s="97"/>
      <c r="E23" s="63">
        <v>0</v>
      </c>
      <c r="F23" s="64">
        <v>39300</v>
      </c>
      <c r="G23" s="64" t="s">
        <v>58</v>
      </c>
      <c r="I23" s="10"/>
      <c r="J23" s="16"/>
    </row>
    <row r="24" spans="2:10">
      <c r="B24" s="99" t="s">
        <v>41</v>
      </c>
      <c r="C24" s="96">
        <v>-42.84</v>
      </c>
      <c r="D24" s="97"/>
      <c r="E24" s="63">
        <v>0</v>
      </c>
      <c r="F24" s="64">
        <v>39305</v>
      </c>
      <c r="G24" s="64" t="s">
        <v>58</v>
      </c>
      <c r="I24" s="10"/>
      <c r="J24" s="16"/>
    </row>
    <row r="25" spans="2:10">
      <c r="B25" s="99" t="s">
        <v>98</v>
      </c>
      <c r="C25" s="96">
        <v>-121.17</v>
      </c>
      <c r="D25" s="97"/>
      <c r="E25" s="63">
        <v>0</v>
      </c>
      <c r="F25" s="64">
        <v>39306</v>
      </c>
      <c r="G25" s="64" t="s">
        <v>58</v>
      </c>
      <c r="I25" s="10"/>
      <c r="J25" s="16"/>
    </row>
    <row r="26" spans="2:10">
      <c r="B26" s="99" t="s">
        <v>77</v>
      </c>
      <c r="C26" s="96">
        <v>-99</v>
      </c>
      <c r="D26" s="97"/>
      <c r="E26" s="63">
        <v>0</v>
      </c>
      <c r="F26" s="64">
        <v>39314</v>
      </c>
      <c r="G26" s="64" t="s">
        <v>58</v>
      </c>
      <c r="I26" s="10"/>
      <c r="J26" s="16"/>
    </row>
    <row r="27" spans="2:10">
      <c r="B27" s="99" t="s">
        <v>138</v>
      </c>
      <c r="C27" s="96">
        <v>-50</v>
      </c>
      <c r="D27" s="97"/>
      <c r="E27" s="63">
        <v>0</v>
      </c>
      <c r="F27" s="64">
        <v>39319</v>
      </c>
      <c r="G27" s="64" t="s">
        <v>58</v>
      </c>
      <c r="I27" s="10"/>
      <c r="J27" s="16"/>
    </row>
    <row r="28" spans="2:10">
      <c r="B28" s="99" t="s">
        <v>149</v>
      </c>
      <c r="C28" s="96">
        <v>-30</v>
      </c>
      <c r="D28" s="97"/>
      <c r="E28" s="63">
        <v>0</v>
      </c>
      <c r="F28" s="64">
        <v>39297</v>
      </c>
      <c r="G28" s="64" t="s">
        <v>58</v>
      </c>
      <c r="I28" s="10"/>
      <c r="J28" s="16"/>
    </row>
    <row r="29" spans="2:10">
      <c r="B29" s="99" t="s">
        <v>150</v>
      </c>
      <c r="C29" s="96">
        <v>-65</v>
      </c>
      <c r="D29" s="97"/>
      <c r="E29" s="63">
        <v>0</v>
      </c>
      <c r="F29" s="64">
        <v>39296</v>
      </c>
      <c r="G29" s="64" t="s">
        <v>58</v>
      </c>
      <c r="I29" s="10"/>
      <c r="J29" s="16"/>
    </row>
    <row r="30" spans="2:10">
      <c r="B30" s="99" t="s">
        <v>122</v>
      </c>
      <c r="C30" s="96">
        <v>-15.68</v>
      </c>
      <c r="D30" s="97"/>
      <c r="E30" s="63">
        <v>0</v>
      </c>
      <c r="F30" s="64">
        <v>39293</v>
      </c>
      <c r="G30" s="64" t="s">
        <v>58</v>
      </c>
      <c r="I30" s="10"/>
      <c r="J30" s="16"/>
    </row>
    <row r="31" spans="2:10" ht="18">
      <c r="B31" s="74" t="s">
        <v>45</v>
      </c>
      <c r="C31" s="101"/>
      <c r="D31" s="98"/>
      <c r="E31" s="101">
        <f>SUM(E3:E30)</f>
        <v>-1093.1199999999999</v>
      </c>
      <c r="F31" s="75"/>
      <c r="G31" s="75"/>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sheetPr>
    <pageSetUpPr autoPageBreaks="0"/>
  </sheetPr>
  <dimension ref="B2:K19"/>
  <sheetViews>
    <sheetView showGridLines="0" workbookViewId="0">
      <selection activeCell="G25" activeCellId="1" sqref="G13 G25"/>
    </sheetView>
  </sheetViews>
  <sheetFormatPr defaultColWidth="8.85546875" defaultRowHeight="12.75"/>
  <cols>
    <col min="1" max="1" width="1" customWidth="1"/>
    <col min="2" max="2" width="16" customWidth="1"/>
    <col min="3" max="3" width="16.7109375" style="1" customWidth="1"/>
    <col min="4" max="4" width="10.28515625" customWidth="1"/>
    <col min="5" max="5" width="3" customWidth="1"/>
    <col min="6" max="6" width="12.42578125" customWidth="1"/>
    <col min="7" max="7" width="14.42578125" customWidth="1"/>
    <col min="8" max="8" width="2.140625" customWidth="1"/>
    <col min="9" max="9" width="14.85546875" customWidth="1"/>
    <col min="10" max="10" width="14" customWidth="1"/>
    <col min="11" max="11" width="1.42578125" customWidth="1"/>
  </cols>
  <sheetData>
    <row r="2" spans="2:11" ht="18">
      <c r="B2" s="575" t="s">
        <v>0</v>
      </c>
      <c r="C2" s="575"/>
      <c r="D2" s="2" t="s">
        <v>1</v>
      </c>
      <c r="I2" s="8"/>
      <c r="J2" s="8"/>
      <c r="K2" s="8"/>
    </row>
    <row r="3" spans="2:11" ht="15.75">
      <c r="B3" s="3" t="s">
        <v>48</v>
      </c>
      <c r="C3" s="4">
        <v>-143.47999999999999</v>
      </c>
      <c r="D3" s="5"/>
      <c r="F3" s="6" t="s">
        <v>5</v>
      </c>
      <c r="G3" s="7">
        <v>3640</v>
      </c>
      <c r="H3" s="8"/>
      <c r="I3" s="576" t="s">
        <v>31</v>
      </c>
      <c r="J3" s="576"/>
      <c r="K3" s="8"/>
    </row>
    <row r="4" spans="2:11">
      <c r="B4" s="15" t="s">
        <v>7</v>
      </c>
      <c r="C4" s="15">
        <v>-10</v>
      </c>
      <c r="D4" s="12"/>
      <c r="F4" s="13" t="s">
        <v>8</v>
      </c>
      <c r="G4" s="14">
        <f>+G3/2</f>
        <v>1820</v>
      </c>
      <c r="I4" s="9" t="s">
        <v>34</v>
      </c>
      <c r="J4" s="10">
        <f>+G3/4</f>
        <v>910</v>
      </c>
    </row>
    <row r="5" spans="2:11">
      <c r="B5" s="15" t="s">
        <v>11</v>
      </c>
      <c r="C5" s="15">
        <v>-213.59</v>
      </c>
      <c r="D5" s="12"/>
      <c r="I5" s="9" t="s">
        <v>37</v>
      </c>
      <c r="J5" s="10">
        <f>+G3*1.3</f>
        <v>4732</v>
      </c>
    </row>
    <row r="6" spans="2:11">
      <c r="B6" s="15" t="s">
        <v>17</v>
      </c>
      <c r="C6" s="15">
        <f>-7*3.5</f>
        <v>-24.5</v>
      </c>
      <c r="D6" s="16"/>
      <c r="F6" s="8" t="s">
        <v>15</v>
      </c>
      <c r="G6" s="1">
        <v>300</v>
      </c>
      <c r="I6" s="9" t="s">
        <v>40</v>
      </c>
      <c r="J6" s="10">
        <f>(J5/12)*3</f>
        <v>1183</v>
      </c>
    </row>
    <row r="7" spans="2:11" ht="15.75">
      <c r="B7" s="21" t="s">
        <v>21</v>
      </c>
      <c r="C7" s="22">
        <f>SUM(C3:C6)</f>
        <v>-391.57</v>
      </c>
      <c r="D7" s="16">
        <v>38822</v>
      </c>
      <c r="F7" s="8" t="s">
        <v>18</v>
      </c>
      <c r="G7" s="1">
        <v>50</v>
      </c>
      <c r="I7" s="9" t="s">
        <v>43</v>
      </c>
      <c r="J7" s="10">
        <f>+(G3/12)*4</f>
        <v>1213.3333333333333</v>
      </c>
      <c r="K7" s="8"/>
    </row>
    <row r="8" spans="2:11" s="8" customFormat="1" ht="15.75">
      <c r="B8" s="23" t="s">
        <v>5</v>
      </c>
      <c r="C8" s="23">
        <v>1017.12</v>
      </c>
      <c r="D8" s="24">
        <v>38838</v>
      </c>
      <c r="F8" s="8" t="s">
        <v>20</v>
      </c>
      <c r="G8" s="1">
        <v>15</v>
      </c>
      <c r="H8"/>
      <c r="I8" s="29" t="s">
        <v>45</v>
      </c>
      <c r="J8" s="30">
        <f>SUM(J4:J7)</f>
        <v>8038.333333333333</v>
      </c>
    </row>
    <row r="9" spans="2:11" s="8" customFormat="1" ht="15">
      <c r="B9" s="3" t="s">
        <v>4</v>
      </c>
      <c r="C9" s="3">
        <f>SUM(C7:C8)</f>
        <v>625.54999999999995</v>
      </c>
      <c r="D9" s="5"/>
      <c r="F9" s="8" t="s">
        <v>22</v>
      </c>
      <c r="G9" s="1">
        <f>27</f>
        <v>27</v>
      </c>
      <c r="H9"/>
      <c r="I9"/>
      <c r="J9"/>
    </row>
    <row r="10" spans="2:11" s="8" customFormat="1">
      <c r="B10" s="15" t="s">
        <v>27</v>
      </c>
      <c r="C10" s="15">
        <v>-436</v>
      </c>
      <c r="D10" s="16">
        <v>38838</v>
      </c>
      <c r="F10" s="8" t="s">
        <v>24</v>
      </c>
      <c r="G10" s="1">
        <v>60</v>
      </c>
      <c r="H10"/>
      <c r="I10"/>
      <c r="J10"/>
      <c r="K10"/>
    </row>
    <row r="11" spans="2:11" s="8" customFormat="1">
      <c r="B11" s="15" t="s">
        <v>28</v>
      </c>
      <c r="C11" s="15">
        <v>-697</v>
      </c>
      <c r="D11" s="16">
        <v>38841</v>
      </c>
      <c r="F11" s="8" t="s">
        <v>25</v>
      </c>
      <c r="G11" s="1">
        <f>(50-35.7)*2</f>
        <v>28.599999999999994</v>
      </c>
      <c r="H11"/>
      <c r="I11"/>
      <c r="J11"/>
      <c r="K11"/>
    </row>
    <row r="12" spans="2:11" s="8" customFormat="1">
      <c r="B12" s="15" t="s">
        <v>29</v>
      </c>
      <c r="C12" s="15">
        <v>-240</v>
      </c>
      <c r="D12" s="16">
        <v>38841</v>
      </c>
      <c r="F12" s="25">
        <v>0.1</v>
      </c>
      <c r="G12" s="1">
        <f>SUM(G6:G11)*10%</f>
        <v>48.06</v>
      </c>
      <c r="H12"/>
      <c r="I12"/>
      <c r="J12"/>
      <c r="K12"/>
    </row>
    <row r="13" spans="2:11" s="8" customFormat="1">
      <c r="B13" s="15" t="s">
        <v>32</v>
      </c>
      <c r="C13" s="15">
        <v>-50</v>
      </c>
      <c r="D13" s="16">
        <v>38844</v>
      </c>
      <c r="F13" s="25"/>
      <c r="G13" s="1"/>
      <c r="H13"/>
      <c r="I13" s="1"/>
      <c r="J13"/>
      <c r="K13"/>
    </row>
    <row r="14" spans="2:11" s="8" customFormat="1">
      <c r="B14" s="15" t="s">
        <v>35</v>
      </c>
      <c r="C14" s="15">
        <v>-130</v>
      </c>
      <c r="D14" s="16">
        <v>38840</v>
      </c>
      <c r="F14" s="574" t="s">
        <v>30</v>
      </c>
      <c r="G14" s="574"/>
      <c r="H14"/>
      <c r="I14" s="1"/>
      <c r="J14"/>
      <c r="K14"/>
    </row>
    <row r="15" spans="2:11" s="8" customFormat="1">
      <c r="B15" s="15" t="s">
        <v>38</v>
      </c>
      <c r="C15" s="15">
        <v>-260</v>
      </c>
      <c r="D15" s="16">
        <v>38843</v>
      </c>
      <c r="F15" s="9" t="s">
        <v>33</v>
      </c>
      <c r="G15" s="26">
        <f>-260</f>
        <v>-260</v>
      </c>
      <c r="H15"/>
      <c r="I15"/>
      <c r="J15"/>
      <c r="K15"/>
    </row>
    <row r="16" spans="2:11" s="8" customFormat="1">
      <c r="B16" s="15" t="s">
        <v>41</v>
      </c>
      <c r="C16" s="15">
        <v>-100</v>
      </c>
      <c r="D16" s="16">
        <v>38848</v>
      </c>
      <c r="F16" s="9" t="s">
        <v>36</v>
      </c>
      <c r="G16" s="26">
        <f>-160</f>
        <v>-160</v>
      </c>
      <c r="H16"/>
      <c r="I16"/>
      <c r="J16"/>
      <c r="K16"/>
    </row>
    <row r="17" spans="2:11" s="8" customFormat="1">
      <c r="B17" s="15" t="s">
        <v>44</v>
      </c>
      <c r="C17" s="15">
        <v>-70</v>
      </c>
      <c r="D17" s="16">
        <v>38848</v>
      </c>
      <c r="F17" s="9" t="s">
        <v>39</v>
      </c>
      <c r="G17" s="26">
        <v>-1500</v>
      </c>
      <c r="H17"/>
      <c r="I17"/>
      <c r="J17"/>
      <c r="K17"/>
    </row>
    <row r="18" spans="2:11" s="8" customFormat="1">
      <c r="B18" s="11" t="s">
        <v>9</v>
      </c>
      <c r="C18" s="11">
        <f>+(C15+C14-510)*(-1)</f>
        <v>900</v>
      </c>
      <c r="D18" s="12"/>
      <c r="F18" s="9" t="s">
        <v>42</v>
      </c>
      <c r="G18" s="26">
        <f>-275*3</f>
        <v>-825</v>
      </c>
      <c r="I18"/>
      <c r="J18"/>
      <c r="K18"/>
    </row>
    <row r="19" spans="2:11" s="8" customFormat="1" ht="15.75">
      <c r="B19" s="21" t="s">
        <v>45</v>
      </c>
      <c r="C19" s="22">
        <f>SUM(C9:C18)</f>
        <v>-457.45000000000005</v>
      </c>
      <c r="D19" s="16"/>
      <c r="F19" s="27" t="s">
        <v>21</v>
      </c>
      <c r="G19" s="28">
        <f>SUM(G15:G18)</f>
        <v>-2745</v>
      </c>
      <c r="I19"/>
      <c r="J19"/>
      <c r="K19"/>
    </row>
  </sheetData>
  <sheetProtection selectLockedCells="1" selectUnlockedCells="1"/>
  <mergeCells count="3">
    <mergeCell ref="B2:C2"/>
    <mergeCell ref="I3:J3"/>
    <mergeCell ref="F14:G14"/>
  </mergeCells>
  <pageMargins left="0.35" right="0.25972222222222224" top="1" bottom="1" header="0.51180555555555551" footer="0.51180555555555551"/>
  <pageSetup firstPageNumber="0" orientation="landscape" horizontalDpi="300" verticalDpi="300"/>
  <headerFooter alignWithMargins="0"/>
</worksheet>
</file>

<file path=xl/worksheets/sheet20.xml><?xml version="1.0" encoding="utf-8"?>
<worksheet xmlns="http://schemas.openxmlformats.org/spreadsheetml/2006/main" xmlns:r="http://schemas.openxmlformats.org/officeDocument/2006/relationships">
  <sheetPr>
    <pageSetUpPr autoPageBreaks="0"/>
  </sheetPr>
  <dimension ref="B2:J35"/>
  <sheetViews>
    <sheetView showGridLines="0" topLeftCell="A4" workbookViewId="0">
      <selection activeCell="E15" activeCellId="1" sqref="G13 E15"/>
    </sheetView>
  </sheetViews>
  <sheetFormatPr defaultColWidth="8.85546875" defaultRowHeight="12.75"/>
  <cols>
    <col min="1" max="1" width="2" customWidth="1"/>
    <col min="2" max="2" width="30.42578125" customWidth="1"/>
    <col min="3" max="3" width="21.42578125" customWidth="1"/>
    <col min="4" max="4" width="1.7109375" customWidth="1"/>
    <col min="5" max="5" width="21.42578125" customWidth="1"/>
    <col min="6" max="6" width="14.140625" customWidth="1"/>
    <col min="7" max="7" width="11" customWidth="1"/>
    <col min="8" max="8" width="2.42578125" customWidth="1"/>
    <col min="9" max="9" width="18" customWidth="1"/>
    <col min="10" max="10" width="13.28515625" customWidth="1"/>
    <col min="12" max="12" width="10.42578125" customWidth="1"/>
  </cols>
  <sheetData>
    <row r="2" spans="2:10" ht="18">
      <c r="B2" s="220" t="s">
        <v>135</v>
      </c>
      <c r="C2" s="220" t="s">
        <v>136</v>
      </c>
      <c r="D2" s="90"/>
      <c r="E2" s="220" t="s">
        <v>0</v>
      </c>
      <c r="F2" s="82" t="s">
        <v>1</v>
      </c>
      <c r="G2" s="82" t="s">
        <v>57</v>
      </c>
      <c r="I2" s="84" t="s">
        <v>112</v>
      </c>
      <c r="J2" s="84" t="s">
        <v>1</v>
      </c>
    </row>
    <row r="3" spans="2:10">
      <c r="B3" s="71" t="s">
        <v>7</v>
      </c>
      <c r="C3" s="91">
        <v>0</v>
      </c>
      <c r="D3" s="92"/>
      <c r="E3" s="95">
        <f>-43.57+50</f>
        <v>6.43</v>
      </c>
      <c r="F3" s="61"/>
      <c r="G3" s="61"/>
      <c r="I3" s="10"/>
      <c r="J3" s="16"/>
    </row>
    <row r="4" spans="2:10">
      <c r="B4" s="71" t="s">
        <v>11</v>
      </c>
      <c r="C4" s="91">
        <v>0</v>
      </c>
      <c r="D4" s="92"/>
      <c r="E4" s="95">
        <v>-391.02</v>
      </c>
      <c r="F4" s="61"/>
      <c r="G4" s="61"/>
      <c r="I4" s="10"/>
      <c r="J4" s="16"/>
    </row>
    <row r="5" spans="2:10" ht="12" customHeight="1">
      <c r="B5" s="71" t="s">
        <v>56</v>
      </c>
      <c r="C5" s="91">
        <v>0</v>
      </c>
      <c r="D5" s="92"/>
      <c r="E5" s="95">
        <v>-95.88</v>
      </c>
      <c r="F5" s="72"/>
      <c r="G5" s="72"/>
      <c r="I5" s="10"/>
      <c r="J5" s="16"/>
    </row>
    <row r="6" spans="2:10" ht="12" customHeight="1">
      <c r="B6" s="71" t="s">
        <v>81</v>
      </c>
      <c r="C6" s="93">
        <v>40</v>
      </c>
      <c r="D6" s="94"/>
      <c r="E6" s="95">
        <v>0</v>
      </c>
      <c r="F6" s="72"/>
      <c r="G6" s="72"/>
      <c r="I6" s="10"/>
      <c r="J6" s="16"/>
    </row>
    <row r="7" spans="2:10" ht="12" customHeight="1">
      <c r="B7" s="71" t="s">
        <v>107</v>
      </c>
      <c r="C7" s="93">
        <v>136</v>
      </c>
      <c r="D7" s="94"/>
      <c r="E7" s="95">
        <v>0</v>
      </c>
      <c r="F7" s="72"/>
      <c r="G7" s="72"/>
      <c r="I7" s="10"/>
      <c r="J7" s="16"/>
    </row>
    <row r="8" spans="2:10" ht="12" customHeight="1">
      <c r="B8" s="71" t="s">
        <v>9</v>
      </c>
      <c r="C8" s="93">
        <v>60</v>
      </c>
      <c r="D8" s="94"/>
      <c r="E8" s="95">
        <v>0</v>
      </c>
      <c r="F8" s="72"/>
      <c r="G8" s="72"/>
      <c r="I8" s="10"/>
      <c r="J8" s="16"/>
    </row>
    <row r="9" spans="2:10" ht="12" customHeight="1">
      <c r="B9" s="71" t="s">
        <v>151</v>
      </c>
      <c r="C9" s="93">
        <f>11+50</f>
        <v>61</v>
      </c>
      <c r="D9" s="94"/>
      <c r="E9" s="95">
        <v>0</v>
      </c>
      <c r="F9" s="72"/>
      <c r="G9" s="72"/>
      <c r="I9" s="10"/>
      <c r="J9" s="16"/>
    </row>
    <row r="10" spans="2:10" ht="12" customHeight="1">
      <c r="B10" s="71" t="s">
        <v>152</v>
      </c>
      <c r="C10" s="93">
        <v>110</v>
      </c>
      <c r="D10" s="94"/>
      <c r="E10" s="95">
        <v>0</v>
      </c>
      <c r="F10" s="72"/>
      <c r="G10" s="72"/>
      <c r="I10" s="10"/>
      <c r="J10" s="16"/>
    </row>
    <row r="11" spans="2:10" ht="12" customHeight="1">
      <c r="B11" s="71" t="s">
        <v>5</v>
      </c>
      <c r="C11" s="93">
        <v>3431.52</v>
      </c>
      <c r="D11" s="94"/>
      <c r="E11" s="95">
        <v>0</v>
      </c>
      <c r="F11" s="72"/>
      <c r="G11" s="72"/>
      <c r="I11" s="10"/>
      <c r="J11" s="16"/>
    </row>
    <row r="12" spans="2:10" ht="12" customHeight="1">
      <c r="B12" s="71" t="s">
        <v>153</v>
      </c>
      <c r="C12" s="93">
        <f>56+159</f>
        <v>215</v>
      </c>
      <c r="D12" s="94"/>
      <c r="E12" s="95">
        <v>0</v>
      </c>
      <c r="F12" s="72">
        <v>39325</v>
      </c>
      <c r="G12" s="72"/>
      <c r="I12" s="10"/>
      <c r="J12" s="16"/>
    </row>
    <row r="13" spans="2:10">
      <c r="B13" s="99" t="s">
        <v>65</v>
      </c>
      <c r="C13" s="96">
        <v>-120</v>
      </c>
      <c r="D13" s="97"/>
      <c r="E13" s="63">
        <v>0</v>
      </c>
      <c r="F13" s="64">
        <v>39325</v>
      </c>
      <c r="G13" s="64"/>
      <c r="I13" s="10"/>
      <c r="J13" s="16"/>
    </row>
    <row r="14" spans="2:10">
      <c r="B14" s="99" t="s">
        <v>123</v>
      </c>
      <c r="C14" s="96">
        <v>-1007.35</v>
      </c>
      <c r="D14" s="97"/>
      <c r="E14" s="63">
        <v>0</v>
      </c>
      <c r="F14" s="64">
        <v>39326</v>
      </c>
      <c r="G14" s="64" t="s">
        <v>58</v>
      </c>
      <c r="I14" s="10"/>
      <c r="J14" s="16"/>
    </row>
    <row r="15" spans="2:10">
      <c r="B15" s="99" t="s">
        <v>110</v>
      </c>
      <c r="C15" s="96">
        <v>-110.17</v>
      </c>
      <c r="D15" s="97"/>
      <c r="E15" s="63">
        <v>0</v>
      </c>
      <c r="F15" s="64">
        <v>39326</v>
      </c>
      <c r="G15" s="64" t="s">
        <v>58</v>
      </c>
      <c r="I15" s="10"/>
      <c r="J15" s="16"/>
    </row>
    <row r="16" spans="2:10">
      <c r="B16" s="99" t="s">
        <v>137</v>
      </c>
      <c r="C16" s="96">
        <v>-50</v>
      </c>
      <c r="D16" s="97"/>
      <c r="E16" s="63">
        <v>0</v>
      </c>
      <c r="F16" s="64">
        <v>39330</v>
      </c>
      <c r="G16" s="64" t="s">
        <v>58</v>
      </c>
      <c r="I16" s="10"/>
      <c r="J16" s="16"/>
    </row>
    <row r="17" spans="2:10">
      <c r="B17" s="99" t="s">
        <v>103</v>
      </c>
      <c r="C17" s="96">
        <v>-100.34</v>
      </c>
      <c r="D17" s="97"/>
      <c r="E17" s="63">
        <v>0</v>
      </c>
      <c r="F17" s="64">
        <v>39326</v>
      </c>
      <c r="G17" s="64" t="s">
        <v>58</v>
      </c>
      <c r="I17" s="10"/>
      <c r="J17" s="16"/>
    </row>
    <row r="18" spans="2:10">
      <c r="B18" s="99" t="s">
        <v>154</v>
      </c>
      <c r="C18" s="96">
        <v>-19</v>
      </c>
      <c r="D18" s="97"/>
      <c r="E18" s="63">
        <v>0</v>
      </c>
      <c r="F18" s="64">
        <v>39329</v>
      </c>
      <c r="G18" s="64" t="s">
        <v>58</v>
      </c>
      <c r="I18" s="10"/>
      <c r="J18" s="16"/>
    </row>
    <row r="19" spans="2:10">
      <c r="B19" s="99" t="s">
        <v>155</v>
      </c>
      <c r="C19" s="96">
        <v>-9</v>
      </c>
      <c r="D19" s="97"/>
      <c r="E19" s="63">
        <v>0</v>
      </c>
      <c r="F19" s="64">
        <v>39329</v>
      </c>
      <c r="G19" s="64" t="s">
        <v>58</v>
      </c>
      <c r="I19" s="10"/>
      <c r="J19" s="16"/>
    </row>
    <row r="20" spans="2:10">
      <c r="B20" s="99" t="s">
        <v>96</v>
      </c>
      <c r="C20" s="96">
        <v>-96.64</v>
      </c>
      <c r="D20" s="97"/>
      <c r="E20" s="63">
        <v>0</v>
      </c>
      <c r="F20" s="64">
        <v>39329</v>
      </c>
      <c r="G20" s="64" t="s">
        <v>58</v>
      </c>
      <c r="I20" s="10"/>
      <c r="J20" s="16"/>
    </row>
    <row r="21" spans="2:10">
      <c r="B21" s="99" t="s">
        <v>29</v>
      </c>
      <c r="C21" s="96">
        <v>-262.01</v>
      </c>
      <c r="D21" s="97"/>
      <c r="E21" s="63">
        <v>0</v>
      </c>
      <c r="F21" s="64">
        <v>39329</v>
      </c>
      <c r="G21" s="64" t="s">
        <v>58</v>
      </c>
      <c r="I21" s="10"/>
      <c r="J21" s="16"/>
    </row>
    <row r="22" spans="2:10">
      <c r="B22" s="99" t="s">
        <v>156</v>
      </c>
      <c r="C22" s="96">
        <v>-27.9</v>
      </c>
      <c r="D22" s="97"/>
      <c r="E22" s="63">
        <v>0</v>
      </c>
      <c r="F22" s="64">
        <v>39329</v>
      </c>
      <c r="G22" s="64" t="s">
        <v>58</v>
      </c>
      <c r="I22" s="10"/>
      <c r="J22" s="16"/>
    </row>
    <row r="23" spans="2:10">
      <c r="B23" s="99" t="s">
        <v>157</v>
      </c>
      <c r="C23" s="96">
        <v>-43.85</v>
      </c>
      <c r="D23" s="97"/>
      <c r="E23" s="63">
        <v>0</v>
      </c>
      <c r="F23" s="64">
        <v>39329</v>
      </c>
      <c r="G23" s="64" t="s">
        <v>58</v>
      </c>
      <c r="I23" s="10"/>
      <c r="J23" s="16"/>
    </row>
    <row r="24" spans="2:10">
      <c r="B24" s="99" t="s">
        <v>158</v>
      </c>
      <c r="C24" s="96">
        <v>-30</v>
      </c>
      <c r="D24" s="97"/>
      <c r="E24" s="63">
        <v>0</v>
      </c>
      <c r="F24" s="64">
        <v>39335</v>
      </c>
      <c r="G24" s="64" t="s">
        <v>58</v>
      </c>
      <c r="I24" s="10"/>
      <c r="J24" s="16"/>
    </row>
    <row r="25" spans="2:10">
      <c r="B25" s="99" t="s">
        <v>83</v>
      </c>
      <c r="C25" s="96">
        <v>-68.096000000000004</v>
      </c>
      <c r="D25" s="97"/>
      <c r="E25" s="63">
        <v>0</v>
      </c>
      <c r="F25" s="64">
        <v>39336</v>
      </c>
      <c r="G25" s="64" t="s">
        <v>58</v>
      </c>
      <c r="I25" s="10"/>
      <c r="J25" s="16"/>
    </row>
    <row r="26" spans="2:10">
      <c r="B26" s="99" t="s">
        <v>39</v>
      </c>
      <c r="C26" s="96">
        <v>-400</v>
      </c>
      <c r="D26" s="97"/>
      <c r="E26" s="63">
        <v>0</v>
      </c>
      <c r="F26" s="64">
        <v>39336</v>
      </c>
      <c r="G26" s="64" t="s">
        <v>58</v>
      </c>
      <c r="I26" s="10"/>
      <c r="J26" s="16"/>
    </row>
    <row r="27" spans="2:10">
      <c r="B27" s="99" t="s">
        <v>159</v>
      </c>
      <c r="C27" s="96">
        <v>-67.5</v>
      </c>
      <c r="D27" s="97"/>
      <c r="E27" s="63">
        <v>0</v>
      </c>
      <c r="F27" s="64">
        <v>39336</v>
      </c>
      <c r="G27" s="64" t="s">
        <v>58</v>
      </c>
      <c r="I27" s="10"/>
      <c r="J27" s="16"/>
    </row>
    <row r="28" spans="2:10">
      <c r="B28" s="99" t="s">
        <v>41</v>
      </c>
      <c r="C28" s="96">
        <v>-83.03</v>
      </c>
      <c r="D28" s="97"/>
      <c r="E28" s="63">
        <v>0</v>
      </c>
      <c r="F28" s="64">
        <v>39336</v>
      </c>
      <c r="G28" s="64" t="s">
        <v>58</v>
      </c>
      <c r="I28" s="10"/>
      <c r="J28" s="16"/>
    </row>
    <row r="29" spans="2:10">
      <c r="B29" s="99" t="s">
        <v>98</v>
      </c>
      <c r="C29" s="96">
        <v>-85.5</v>
      </c>
      <c r="D29" s="97"/>
      <c r="E29" s="63">
        <v>0</v>
      </c>
      <c r="F29" s="64">
        <v>39337</v>
      </c>
      <c r="G29" s="64" t="s">
        <v>58</v>
      </c>
      <c r="I29" s="10"/>
      <c r="J29" s="16"/>
    </row>
    <row r="30" spans="2:10">
      <c r="B30" s="99" t="s">
        <v>77</v>
      </c>
      <c r="C30" s="96">
        <v>-99</v>
      </c>
      <c r="D30" s="97"/>
      <c r="E30" s="63">
        <v>0</v>
      </c>
      <c r="F30" s="64">
        <v>39345</v>
      </c>
      <c r="G30" s="64" t="s">
        <v>58</v>
      </c>
      <c r="I30" s="10"/>
      <c r="J30" s="16"/>
    </row>
    <row r="31" spans="2:10">
      <c r="B31" s="99" t="s">
        <v>138</v>
      </c>
      <c r="C31" s="96">
        <v>-50</v>
      </c>
      <c r="D31" s="97"/>
      <c r="E31" s="63">
        <v>0</v>
      </c>
      <c r="F31" s="64">
        <v>39345</v>
      </c>
      <c r="G31" s="64" t="s">
        <v>58</v>
      </c>
      <c r="I31" s="10"/>
      <c r="J31" s="16"/>
    </row>
    <row r="32" spans="2:10">
      <c r="B32" s="99" t="s">
        <v>122</v>
      </c>
      <c r="C32" s="96">
        <v>-15.68</v>
      </c>
      <c r="D32" s="97"/>
      <c r="E32" s="63">
        <v>0</v>
      </c>
      <c r="F32" s="64">
        <v>39352</v>
      </c>
      <c r="G32" s="64"/>
      <c r="I32" s="10"/>
      <c r="J32" s="16"/>
    </row>
    <row r="33" spans="2:10" ht="18">
      <c r="B33" s="74" t="s">
        <v>45</v>
      </c>
      <c r="C33" s="101"/>
      <c r="D33" s="98"/>
      <c r="E33" s="101">
        <f>SUM(E3:E32)</f>
        <v>-480.46999999999997</v>
      </c>
      <c r="F33" s="75"/>
      <c r="G33" s="75"/>
    </row>
    <row r="34" spans="2:10">
      <c r="C34" s="1"/>
      <c r="D34" s="1"/>
      <c r="E34" s="1"/>
    </row>
    <row r="35" spans="2:10">
      <c r="B35" s="102" t="s">
        <v>160</v>
      </c>
      <c r="C35" s="103"/>
      <c r="J35" s="1"/>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sheetPr>
    <pageSetUpPr autoPageBreaks="0"/>
  </sheetPr>
  <dimension ref="B2:K34"/>
  <sheetViews>
    <sheetView showGridLines="0" workbookViewId="0">
      <selection activeCell="C8" activeCellId="1" sqref="G13 C8"/>
    </sheetView>
  </sheetViews>
  <sheetFormatPr defaultColWidth="8.85546875" defaultRowHeight="12.75"/>
  <cols>
    <col min="1" max="1" width="2" customWidth="1"/>
    <col min="2" max="2" width="36.85546875" customWidth="1"/>
    <col min="3" max="3" width="21.42578125" customWidth="1"/>
    <col min="4" max="4" width="1.7109375" customWidth="1"/>
    <col min="5" max="5" width="17.140625" customWidth="1"/>
    <col min="6" max="6" width="9.28515625" customWidth="1"/>
    <col min="7" max="7" width="11" customWidth="1"/>
    <col min="8" max="8" width="1" customWidth="1"/>
    <col min="9" max="9" width="13.42578125" customWidth="1"/>
    <col min="10" max="10" width="10.42578125" customWidth="1"/>
    <col min="11" max="11" width="12.140625" customWidth="1"/>
    <col min="12" max="12" width="10.42578125" customWidth="1"/>
  </cols>
  <sheetData>
    <row r="2" spans="2:11" ht="18">
      <c r="B2" s="220" t="s">
        <v>135</v>
      </c>
      <c r="C2" s="220" t="s">
        <v>136</v>
      </c>
      <c r="D2" s="90"/>
      <c r="E2" s="220" t="s">
        <v>0</v>
      </c>
      <c r="F2" s="82" t="s">
        <v>1</v>
      </c>
      <c r="G2" s="82" t="s">
        <v>57</v>
      </c>
      <c r="I2" s="84" t="s">
        <v>112</v>
      </c>
      <c r="J2" s="84" t="s">
        <v>1</v>
      </c>
    </row>
    <row r="3" spans="2:11">
      <c r="B3" s="71" t="s">
        <v>11</v>
      </c>
      <c r="C3" s="91">
        <v>0</v>
      </c>
      <c r="D3" s="92"/>
      <c r="E3" s="95">
        <v>0</v>
      </c>
      <c r="F3" s="61"/>
      <c r="G3" s="61"/>
      <c r="I3" s="10">
        <v>400.02</v>
      </c>
      <c r="J3" s="16">
        <v>39372</v>
      </c>
    </row>
    <row r="4" spans="2:11" ht="12" customHeight="1">
      <c r="B4" s="71" t="s">
        <v>56</v>
      </c>
      <c r="C4" s="91">
        <v>0</v>
      </c>
      <c r="D4" s="92"/>
      <c r="E4" s="95">
        <v>-476.96</v>
      </c>
      <c r="F4" s="72"/>
      <c r="G4" s="72"/>
      <c r="I4" s="10"/>
      <c r="J4" s="16"/>
    </row>
    <row r="5" spans="2:11" ht="12" customHeight="1">
      <c r="B5" s="71" t="s">
        <v>9</v>
      </c>
      <c r="C5" s="93">
        <v>60</v>
      </c>
      <c r="D5" s="94"/>
      <c r="E5" s="95">
        <v>0</v>
      </c>
      <c r="F5" s="72"/>
      <c r="G5" s="72"/>
      <c r="I5" s="10"/>
      <c r="J5" s="16"/>
    </row>
    <row r="6" spans="2:11" ht="12" customHeight="1">
      <c r="B6" s="71" t="s">
        <v>161</v>
      </c>
      <c r="C6" s="93">
        <v>60</v>
      </c>
      <c r="D6" s="94"/>
      <c r="E6" s="95">
        <v>0</v>
      </c>
      <c r="F6" s="72"/>
      <c r="G6" s="72"/>
      <c r="I6" s="10"/>
      <c r="J6" s="16"/>
    </row>
    <row r="7" spans="2:11" ht="12" customHeight="1">
      <c r="B7" s="71" t="s">
        <v>162</v>
      </c>
      <c r="C7" s="93">
        <v>40</v>
      </c>
      <c r="D7" s="94"/>
      <c r="E7" s="95">
        <v>0</v>
      </c>
      <c r="F7" s="72"/>
      <c r="G7" s="72"/>
      <c r="I7" s="10"/>
      <c r="J7" s="16"/>
    </row>
    <row r="8" spans="2:11" ht="12" customHeight="1">
      <c r="B8" s="71" t="s">
        <v>5</v>
      </c>
      <c r="C8" s="93">
        <v>3431.52</v>
      </c>
      <c r="D8" s="94"/>
      <c r="E8" s="95">
        <v>0</v>
      </c>
      <c r="F8" s="72"/>
      <c r="G8" s="72"/>
      <c r="I8" s="10"/>
      <c r="J8" s="16"/>
      <c r="K8" s="52"/>
    </row>
    <row r="9" spans="2:11" ht="12" customHeight="1">
      <c r="B9" s="71" t="s">
        <v>163</v>
      </c>
      <c r="C9" s="93">
        <v>56</v>
      </c>
      <c r="D9" s="94"/>
      <c r="E9" s="95">
        <v>0</v>
      </c>
      <c r="F9" s="72"/>
      <c r="G9" s="72"/>
      <c r="I9" s="10"/>
      <c r="J9" s="16"/>
    </row>
    <row r="10" spans="2:11" ht="12" customHeight="1">
      <c r="B10" s="71" t="s">
        <v>107</v>
      </c>
      <c r="C10" s="93">
        <v>245.33</v>
      </c>
      <c r="D10" s="94"/>
      <c r="E10" s="95">
        <v>0</v>
      </c>
      <c r="F10" s="72"/>
      <c r="G10" s="72"/>
      <c r="I10" s="10"/>
      <c r="J10" s="16"/>
    </row>
    <row r="11" spans="2:11" ht="12" customHeight="1">
      <c r="B11" s="71" t="s">
        <v>46</v>
      </c>
      <c r="C11" s="93">
        <v>0</v>
      </c>
      <c r="D11" s="94"/>
      <c r="E11" s="95">
        <v>0</v>
      </c>
      <c r="F11" s="72"/>
      <c r="G11" s="72"/>
      <c r="I11" s="10"/>
      <c r="J11" s="16"/>
    </row>
    <row r="12" spans="2:11">
      <c r="B12" s="99" t="s">
        <v>14</v>
      </c>
      <c r="C12" s="96">
        <v>-15.68</v>
      </c>
      <c r="D12" s="97"/>
      <c r="E12" s="63">
        <v>-15.68</v>
      </c>
      <c r="F12" s="64">
        <v>39384</v>
      </c>
      <c r="G12" s="64"/>
      <c r="I12" s="10"/>
      <c r="J12" s="16"/>
    </row>
    <row r="13" spans="2:11">
      <c r="B13" s="99" t="s">
        <v>102</v>
      </c>
      <c r="C13" s="96">
        <v>-400</v>
      </c>
      <c r="D13" s="97"/>
      <c r="E13" s="63">
        <v>0</v>
      </c>
      <c r="F13" s="64"/>
      <c r="G13" s="64"/>
      <c r="I13" s="10"/>
      <c r="J13" s="16"/>
    </row>
    <row r="14" spans="2:11">
      <c r="B14" s="99" t="s">
        <v>65</v>
      </c>
      <c r="C14" s="96">
        <v>-180</v>
      </c>
      <c r="D14" s="97"/>
      <c r="E14" s="63">
        <v>0</v>
      </c>
      <c r="F14" s="64">
        <v>39353</v>
      </c>
      <c r="G14" s="64" t="s">
        <v>58</v>
      </c>
      <c r="I14" s="10"/>
      <c r="J14" s="16"/>
    </row>
    <row r="15" spans="2:11">
      <c r="B15" s="99" t="s">
        <v>123</v>
      </c>
      <c r="C15" s="96">
        <v>-606.59</v>
      </c>
      <c r="D15" s="97"/>
      <c r="E15" s="63">
        <v>0</v>
      </c>
      <c r="F15" s="64">
        <v>39356</v>
      </c>
      <c r="G15" s="64" t="s">
        <v>58</v>
      </c>
      <c r="I15" s="10"/>
      <c r="J15" s="16"/>
    </row>
    <row r="16" spans="2:11">
      <c r="B16" s="99" t="s">
        <v>110</v>
      </c>
      <c r="C16" s="96">
        <v>-110.17</v>
      </c>
      <c r="D16" s="97"/>
      <c r="E16" s="63">
        <v>0</v>
      </c>
      <c r="F16" s="64">
        <v>39356</v>
      </c>
      <c r="G16" s="64" t="s">
        <v>58</v>
      </c>
      <c r="I16" s="10"/>
      <c r="J16" s="16"/>
    </row>
    <row r="17" spans="2:10">
      <c r="B17" s="99" t="s">
        <v>137</v>
      </c>
      <c r="C17" s="96">
        <v>-50</v>
      </c>
      <c r="D17" s="97"/>
      <c r="E17" s="63">
        <v>0</v>
      </c>
      <c r="F17" s="64"/>
      <c r="G17" s="64" t="s">
        <v>58</v>
      </c>
      <c r="I17" s="10"/>
      <c r="J17" s="16"/>
    </row>
    <row r="18" spans="2:10">
      <c r="B18" s="99" t="s">
        <v>103</v>
      </c>
      <c r="C18" s="96">
        <v>-100.34</v>
      </c>
      <c r="D18" s="97"/>
      <c r="E18" s="63">
        <v>0</v>
      </c>
      <c r="F18" s="64">
        <v>39356</v>
      </c>
      <c r="G18" s="64" t="s">
        <v>58</v>
      </c>
      <c r="I18" s="10"/>
      <c r="J18" s="16"/>
    </row>
    <row r="19" spans="2:10">
      <c r="B19" s="99" t="s">
        <v>154</v>
      </c>
      <c r="C19" s="96">
        <v>-19</v>
      </c>
      <c r="D19" s="97"/>
      <c r="E19" s="63">
        <v>0</v>
      </c>
      <c r="F19" s="64"/>
      <c r="G19" s="64" t="s">
        <v>58</v>
      </c>
      <c r="I19" s="10"/>
      <c r="J19" s="16"/>
    </row>
    <row r="20" spans="2:10">
      <c r="B20" s="99" t="s">
        <v>155</v>
      </c>
      <c r="C20" s="96">
        <v>-9</v>
      </c>
      <c r="D20" s="97"/>
      <c r="E20" s="63">
        <v>0</v>
      </c>
      <c r="F20" s="64"/>
      <c r="G20" s="64" t="s">
        <v>58</v>
      </c>
      <c r="I20" s="10"/>
      <c r="J20" s="16"/>
    </row>
    <row r="21" spans="2:10">
      <c r="B21" s="99" t="s">
        <v>96</v>
      </c>
      <c r="C21" s="96">
        <v>-99.68</v>
      </c>
      <c r="D21" s="97"/>
      <c r="E21" s="63">
        <v>0</v>
      </c>
      <c r="F21" s="64">
        <v>39359</v>
      </c>
      <c r="G21" s="64" t="s">
        <v>58</v>
      </c>
      <c r="I21" s="10"/>
      <c r="J21" s="16"/>
    </row>
    <row r="22" spans="2:10">
      <c r="B22" s="99" t="s">
        <v>29</v>
      </c>
      <c r="C22" s="96">
        <v>-262.01</v>
      </c>
      <c r="D22" s="97"/>
      <c r="E22" s="63">
        <v>0</v>
      </c>
      <c r="F22" s="64">
        <v>39356</v>
      </c>
      <c r="G22" s="64" t="s">
        <v>58</v>
      </c>
      <c r="I22" s="10"/>
      <c r="J22" s="16"/>
    </row>
    <row r="23" spans="2:10">
      <c r="B23" s="99" t="s">
        <v>164</v>
      </c>
      <c r="C23" s="96">
        <f>-79.5</f>
        <v>-79.5</v>
      </c>
      <c r="D23" s="97"/>
      <c r="E23" s="63">
        <v>0</v>
      </c>
      <c r="F23" s="64">
        <v>39378</v>
      </c>
      <c r="G23" s="64" t="s">
        <v>58</v>
      </c>
      <c r="I23" s="10"/>
      <c r="J23" s="16"/>
    </row>
    <row r="24" spans="2:10">
      <c r="B24" s="99" t="s">
        <v>157</v>
      </c>
      <c r="C24" s="96">
        <v>-20.03</v>
      </c>
      <c r="D24" s="97"/>
      <c r="E24" s="63">
        <v>0</v>
      </c>
      <c r="F24" s="64">
        <v>39356</v>
      </c>
      <c r="G24" s="64" t="s">
        <v>58</v>
      </c>
      <c r="I24" s="10"/>
      <c r="J24" s="16"/>
    </row>
    <row r="25" spans="2:10">
      <c r="B25" s="99" t="s">
        <v>39</v>
      </c>
      <c r="C25" s="96">
        <v>-1000</v>
      </c>
      <c r="D25" s="97"/>
      <c r="E25" s="63">
        <v>0</v>
      </c>
      <c r="F25" s="64">
        <v>39356</v>
      </c>
      <c r="G25" s="64"/>
      <c r="I25" s="10"/>
      <c r="J25" s="16"/>
    </row>
    <row r="26" spans="2:10">
      <c r="B26" s="99" t="s">
        <v>159</v>
      </c>
      <c r="C26" s="96">
        <v>-90</v>
      </c>
      <c r="D26" s="97"/>
      <c r="E26" s="63">
        <v>0</v>
      </c>
      <c r="F26" s="64">
        <v>39366</v>
      </c>
      <c r="G26" s="64"/>
      <c r="I26" s="10"/>
      <c r="J26" s="16"/>
    </row>
    <row r="27" spans="2:10">
      <c r="B27" s="99" t="s">
        <v>41</v>
      </c>
      <c r="C27" s="96">
        <v>-79.14</v>
      </c>
      <c r="D27" s="97"/>
      <c r="E27" s="63">
        <v>0</v>
      </c>
      <c r="F27" s="64">
        <v>39366</v>
      </c>
      <c r="G27" s="64" t="s">
        <v>58</v>
      </c>
      <c r="I27" s="10"/>
      <c r="J27" s="16"/>
    </row>
    <row r="28" spans="2:10">
      <c r="B28" s="99" t="s">
        <v>158</v>
      </c>
      <c r="C28" s="96">
        <v>-30</v>
      </c>
      <c r="D28" s="97"/>
      <c r="E28" s="63">
        <v>0</v>
      </c>
      <c r="F28" s="64">
        <v>39367</v>
      </c>
      <c r="G28" s="64" t="s">
        <v>58</v>
      </c>
      <c r="I28" s="10"/>
      <c r="J28" s="16"/>
    </row>
    <row r="29" spans="2:10">
      <c r="B29" s="99" t="s">
        <v>98</v>
      </c>
      <c r="C29" s="96">
        <v>-96.91</v>
      </c>
      <c r="D29" s="97"/>
      <c r="E29" s="63">
        <v>0</v>
      </c>
      <c r="F29" s="64">
        <v>39367</v>
      </c>
      <c r="G29" s="64" t="s">
        <v>58</v>
      </c>
      <c r="I29" s="10"/>
      <c r="J29" s="16"/>
    </row>
    <row r="30" spans="2:10">
      <c r="B30" s="99" t="s">
        <v>77</v>
      </c>
      <c r="C30" s="96">
        <v>-99</v>
      </c>
      <c r="D30" s="97"/>
      <c r="E30" s="63">
        <v>0</v>
      </c>
      <c r="F30" s="64">
        <v>39375</v>
      </c>
      <c r="G30" s="64" t="s">
        <v>58</v>
      </c>
      <c r="I30" s="10"/>
      <c r="J30" s="16"/>
    </row>
    <row r="31" spans="2:10">
      <c r="B31" s="99" t="s">
        <v>138</v>
      </c>
      <c r="C31" s="96">
        <v>-50</v>
      </c>
      <c r="D31" s="97"/>
      <c r="E31" s="63">
        <v>0</v>
      </c>
      <c r="F31" s="64">
        <v>39378</v>
      </c>
      <c r="G31" s="64" t="s">
        <v>58</v>
      </c>
      <c r="I31" s="10"/>
      <c r="J31" s="16"/>
    </row>
    <row r="32" spans="2:10" ht="18">
      <c r="B32" s="74" t="s">
        <v>45</v>
      </c>
      <c r="C32" s="101"/>
      <c r="D32" s="98"/>
      <c r="E32" s="101">
        <f>SUM(E3:E31)</f>
        <v>-492.64</v>
      </c>
      <c r="F32" s="75"/>
      <c r="G32" s="75"/>
    </row>
    <row r="33" spans="2:10">
      <c r="C33" s="1"/>
      <c r="D33" s="1"/>
      <c r="E33" s="1"/>
    </row>
    <row r="34" spans="2:10">
      <c r="B34" s="102" t="s">
        <v>160</v>
      </c>
      <c r="C34" s="103"/>
      <c r="J34" s="1"/>
    </row>
  </sheetData>
  <sheetProtection selectLockedCells="1" selectUnlockedCells="1"/>
  <pageMargins left="0.40972222222222221" right="0.27986111111111112" top="1" bottom="1" header="0.51180555555555551" footer="0.51180555555555551"/>
  <pageSetup firstPageNumber="0" orientation="landscape" horizontalDpi="300" verticalDpi="300"/>
  <headerFooter alignWithMargins="0"/>
</worksheet>
</file>

<file path=xl/worksheets/sheet22.xml><?xml version="1.0" encoding="utf-8"?>
<worksheet xmlns="http://schemas.openxmlformats.org/spreadsheetml/2006/main" xmlns:r="http://schemas.openxmlformats.org/officeDocument/2006/relationships">
  <sheetPr>
    <pageSetUpPr autoPageBreaks="0"/>
  </sheetPr>
  <dimension ref="B2:J31"/>
  <sheetViews>
    <sheetView showGridLines="0" workbookViewId="0">
      <selection activeCell="E22" activeCellId="1" sqref="G13 E22"/>
    </sheetView>
  </sheetViews>
  <sheetFormatPr defaultColWidth="8.85546875" defaultRowHeight="12.75"/>
  <cols>
    <col min="1" max="1" width="2" customWidth="1"/>
    <col min="2" max="2" width="36.85546875" customWidth="1"/>
    <col min="3" max="3" width="21.42578125" customWidth="1"/>
    <col min="4" max="4" width="1.7109375" customWidth="1"/>
    <col min="5" max="5" width="17.140625" customWidth="1"/>
    <col min="6" max="6" width="9.28515625" customWidth="1"/>
    <col min="7" max="7" width="11" customWidth="1"/>
    <col min="8" max="8" width="1" customWidth="1"/>
    <col min="9" max="9" width="13.42578125" customWidth="1"/>
    <col min="10" max="10" width="10.42578125" customWidth="1"/>
    <col min="12" max="12" width="10.42578125" customWidth="1"/>
  </cols>
  <sheetData>
    <row r="2" spans="2:10" ht="18">
      <c r="B2" s="220" t="s">
        <v>135</v>
      </c>
      <c r="C2" s="220" t="s">
        <v>136</v>
      </c>
      <c r="D2" s="90"/>
      <c r="E2" s="220" t="s">
        <v>0</v>
      </c>
      <c r="F2" s="82" t="s">
        <v>1</v>
      </c>
      <c r="G2" s="82" t="s">
        <v>57</v>
      </c>
      <c r="I2" s="84" t="s">
        <v>112</v>
      </c>
      <c r="J2" s="84" t="s">
        <v>1</v>
      </c>
    </row>
    <row r="3" spans="2:10">
      <c r="B3" s="71" t="s">
        <v>11</v>
      </c>
      <c r="C3" s="91">
        <v>0</v>
      </c>
      <c r="D3" s="92"/>
      <c r="E3" s="95">
        <v>-132.83000000000001</v>
      </c>
      <c r="F3" s="61"/>
      <c r="G3" s="61"/>
      <c r="I3" s="10">
        <v>3667.27</v>
      </c>
      <c r="J3" s="16">
        <v>39407</v>
      </c>
    </row>
    <row r="4" spans="2:10" ht="12" customHeight="1">
      <c r="B4" s="71" t="s">
        <v>56</v>
      </c>
      <c r="C4" s="91">
        <v>0</v>
      </c>
      <c r="D4" s="92"/>
      <c r="E4" s="95">
        <v>-181.41</v>
      </c>
      <c r="F4" s="72"/>
      <c r="G4" s="72"/>
      <c r="I4" s="10">
        <v>3668.37</v>
      </c>
      <c r="J4" s="16">
        <v>39408</v>
      </c>
    </row>
    <row r="5" spans="2:10" ht="12" customHeight="1">
      <c r="B5" s="71" t="s">
        <v>9</v>
      </c>
      <c r="C5" s="93">
        <v>60</v>
      </c>
      <c r="D5" s="94"/>
      <c r="E5" s="95">
        <v>0</v>
      </c>
      <c r="F5" s="72"/>
      <c r="G5" s="72"/>
      <c r="I5" s="10">
        <v>3670.57</v>
      </c>
      <c r="J5" s="16">
        <v>39412</v>
      </c>
    </row>
    <row r="6" spans="2:10" ht="12" customHeight="1">
      <c r="B6" s="71" t="s">
        <v>165</v>
      </c>
      <c r="C6" s="93">
        <v>6724.41</v>
      </c>
      <c r="D6" s="94"/>
      <c r="E6" s="95">
        <v>0</v>
      </c>
      <c r="F6" s="72"/>
      <c r="G6" s="72"/>
      <c r="I6" s="10"/>
      <c r="J6" s="16"/>
    </row>
    <row r="7" spans="2:10" ht="12" customHeight="1">
      <c r="B7" s="71" t="s">
        <v>107</v>
      </c>
      <c r="C7" s="93">
        <v>197</v>
      </c>
      <c r="D7" s="94"/>
      <c r="E7" s="95">
        <v>0</v>
      </c>
      <c r="F7" s="72"/>
      <c r="G7" s="72"/>
      <c r="I7" s="10"/>
      <c r="J7" s="16"/>
    </row>
    <row r="8" spans="2:10" ht="12" customHeight="1">
      <c r="B8" s="71" t="s">
        <v>166</v>
      </c>
      <c r="C8" s="93">
        <v>71.53</v>
      </c>
      <c r="D8" s="94"/>
      <c r="E8" s="95">
        <v>0</v>
      </c>
      <c r="F8" s="72">
        <v>39384</v>
      </c>
      <c r="G8" s="72" t="s">
        <v>58</v>
      </c>
      <c r="I8" s="10"/>
      <c r="J8" s="16"/>
    </row>
    <row r="9" spans="2:10" ht="12" customHeight="1">
      <c r="B9" s="71" t="s">
        <v>167</v>
      </c>
      <c r="C9" s="93">
        <v>190</v>
      </c>
      <c r="D9" s="94"/>
      <c r="E9" s="95">
        <v>0</v>
      </c>
      <c r="F9" s="72"/>
      <c r="G9" s="72"/>
      <c r="I9" s="10"/>
      <c r="J9" s="16"/>
    </row>
    <row r="10" spans="2:10">
      <c r="B10" s="99" t="s">
        <v>14</v>
      </c>
      <c r="C10" s="96">
        <v>-15.68</v>
      </c>
      <c r="D10" s="97"/>
      <c r="E10" s="63">
        <v>0</v>
      </c>
      <c r="F10" s="64">
        <v>39384</v>
      </c>
      <c r="G10" s="64" t="s">
        <v>58</v>
      </c>
      <c r="I10" s="10"/>
      <c r="J10" s="16"/>
    </row>
    <row r="11" spans="2:10">
      <c r="B11" s="99" t="s">
        <v>102</v>
      </c>
      <c r="C11" s="96">
        <v>-3250</v>
      </c>
      <c r="D11" s="97"/>
      <c r="E11" s="63">
        <v>0</v>
      </c>
      <c r="F11" s="64"/>
      <c r="G11" s="64" t="s">
        <v>58</v>
      </c>
      <c r="I11" s="10"/>
      <c r="J11" s="16"/>
    </row>
    <row r="12" spans="2:10">
      <c r="B12" s="99" t="s">
        <v>65</v>
      </c>
      <c r="C12" s="96">
        <v>-180</v>
      </c>
      <c r="D12" s="97"/>
      <c r="E12" s="63">
        <v>0</v>
      </c>
      <c r="F12" s="64">
        <v>39385</v>
      </c>
      <c r="G12" s="64" t="s">
        <v>58</v>
      </c>
      <c r="I12" s="10"/>
      <c r="J12" s="16"/>
    </row>
    <row r="13" spans="2:10">
      <c r="B13" s="99" t="s">
        <v>123</v>
      </c>
      <c r="C13" s="96">
        <v>-1090.24</v>
      </c>
      <c r="D13" s="97"/>
      <c r="E13" s="63">
        <v>0</v>
      </c>
      <c r="F13" s="64"/>
      <c r="G13" s="64" t="s">
        <v>58</v>
      </c>
      <c r="I13" s="10"/>
      <c r="J13" s="16"/>
    </row>
    <row r="14" spans="2:10">
      <c r="B14" s="99" t="s">
        <v>110</v>
      </c>
      <c r="C14" s="96">
        <v>-110.17</v>
      </c>
      <c r="D14" s="97"/>
      <c r="E14" s="63">
        <v>0</v>
      </c>
      <c r="F14" s="64"/>
      <c r="G14" s="64" t="s">
        <v>58</v>
      </c>
      <c r="I14" s="10"/>
      <c r="J14" s="16"/>
    </row>
    <row r="15" spans="2:10">
      <c r="B15" s="99" t="s">
        <v>137</v>
      </c>
      <c r="C15" s="96">
        <v>-20</v>
      </c>
      <c r="D15" s="97"/>
      <c r="E15" s="63">
        <v>0</v>
      </c>
      <c r="F15" s="64"/>
      <c r="G15" s="64" t="s">
        <v>58</v>
      </c>
      <c r="I15" s="10"/>
      <c r="J15" s="16"/>
    </row>
    <row r="16" spans="2:10">
      <c r="B16" s="99" t="s">
        <v>168</v>
      </c>
      <c r="C16" s="96">
        <v>-300</v>
      </c>
      <c r="D16" s="97"/>
      <c r="E16" s="63">
        <v>0</v>
      </c>
      <c r="F16" s="64"/>
      <c r="G16" s="64" t="s">
        <v>58</v>
      </c>
      <c r="I16" s="10"/>
      <c r="J16" s="16"/>
    </row>
    <row r="17" spans="2:10">
      <c r="B17" s="99" t="s">
        <v>103</v>
      </c>
      <c r="C17" s="96">
        <v>-152.49</v>
      </c>
      <c r="D17" s="97"/>
      <c r="E17" s="63">
        <v>0</v>
      </c>
      <c r="F17" s="64"/>
      <c r="G17" s="64" t="s">
        <v>58</v>
      </c>
      <c r="I17" s="10"/>
      <c r="J17" s="16"/>
    </row>
    <row r="18" spans="2:10">
      <c r="B18" s="99" t="s">
        <v>154</v>
      </c>
      <c r="C18" s="96">
        <v>-19</v>
      </c>
      <c r="D18" s="97"/>
      <c r="E18" s="63">
        <v>0</v>
      </c>
      <c r="F18" s="64"/>
      <c r="G18" s="64" t="s">
        <v>58</v>
      </c>
      <c r="I18" s="10"/>
      <c r="J18" s="16"/>
    </row>
    <row r="19" spans="2:10">
      <c r="B19" s="99" t="s">
        <v>155</v>
      </c>
      <c r="C19" s="96">
        <v>-9</v>
      </c>
      <c r="D19" s="97"/>
      <c r="E19" s="63">
        <v>0</v>
      </c>
      <c r="F19" s="64"/>
      <c r="G19" s="64" t="s">
        <v>58</v>
      </c>
      <c r="I19" s="10"/>
      <c r="J19" s="16"/>
    </row>
    <row r="20" spans="2:10">
      <c r="B20" s="99" t="s">
        <v>169</v>
      </c>
      <c r="C20" s="96">
        <v>-380</v>
      </c>
      <c r="D20" s="97"/>
      <c r="E20" s="63">
        <v>0</v>
      </c>
      <c r="F20" s="64">
        <v>39390</v>
      </c>
      <c r="G20" s="64" t="s">
        <v>58</v>
      </c>
      <c r="I20" s="10"/>
      <c r="J20" s="16"/>
    </row>
    <row r="21" spans="2:10">
      <c r="B21" s="99" t="s">
        <v>96</v>
      </c>
      <c r="C21" s="96">
        <v>-82.71</v>
      </c>
      <c r="D21" s="97"/>
      <c r="E21" s="63">
        <v>0</v>
      </c>
      <c r="F21" s="64">
        <v>39390</v>
      </c>
      <c r="G21" s="64" t="s">
        <v>58</v>
      </c>
      <c r="I21" s="10"/>
      <c r="J21" s="16"/>
    </row>
    <row r="22" spans="2:10">
      <c r="B22" s="99" t="s">
        <v>29</v>
      </c>
      <c r="C22" s="96">
        <v>-262.01</v>
      </c>
      <c r="D22" s="97"/>
      <c r="E22" s="63">
        <v>0</v>
      </c>
      <c r="F22" s="64">
        <v>39391</v>
      </c>
      <c r="G22" s="64" t="s">
        <v>58</v>
      </c>
      <c r="I22" s="10"/>
      <c r="J22" s="16"/>
    </row>
    <row r="23" spans="2:10">
      <c r="B23" s="99" t="s">
        <v>170</v>
      </c>
      <c r="C23" s="96">
        <v>-150</v>
      </c>
      <c r="D23" s="97"/>
      <c r="E23" s="63">
        <v>0</v>
      </c>
      <c r="F23" s="64"/>
      <c r="G23" s="64" t="s">
        <v>58</v>
      </c>
      <c r="I23" s="10"/>
      <c r="J23" s="16"/>
    </row>
    <row r="24" spans="2:10">
      <c r="B24" s="99" t="s">
        <v>157</v>
      </c>
      <c r="C24" s="96">
        <v>-4.78</v>
      </c>
      <c r="D24" s="97"/>
      <c r="E24" s="63">
        <v>0</v>
      </c>
      <c r="F24" s="64"/>
      <c r="G24" s="64" t="s">
        <v>58</v>
      </c>
      <c r="I24" s="10"/>
      <c r="J24" s="16"/>
    </row>
    <row r="25" spans="2:10">
      <c r="B25" s="99" t="s">
        <v>159</v>
      </c>
      <c r="C25" s="96">
        <v>-90</v>
      </c>
      <c r="D25" s="97"/>
      <c r="E25" s="63">
        <v>0</v>
      </c>
      <c r="F25" s="64"/>
      <c r="G25" s="64" t="s">
        <v>58</v>
      </c>
      <c r="I25" s="10"/>
      <c r="J25" s="16"/>
    </row>
    <row r="26" spans="2:10">
      <c r="B26" s="99" t="s">
        <v>41</v>
      </c>
      <c r="C26" s="96">
        <v>-79.599999999999994</v>
      </c>
      <c r="D26" s="97"/>
      <c r="E26" s="63">
        <v>0</v>
      </c>
      <c r="F26" s="64"/>
      <c r="G26" s="64" t="s">
        <v>58</v>
      </c>
      <c r="I26" s="10"/>
      <c r="J26" s="16"/>
    </row>
    <row r="27" spans="2:10">
      <c r="B27" s="99" t="s">
        <v>98</v>
      </c>
      <c r="C27" s="96">
        <v>-113</v>
      </c>
      <c r="D27" s="97"/>
      <c r="E27" s="63">
        <v>0</v>
      </c>
      <c r="F27" s="64"/>
      <c r="G27" s="64" t="s">
        <v>58</v>
      </c>
      <c r="I27" s="10"/>
      <c r="J27" s="16"/>
    </row>
    <row r="28" spans="2:10">
      <c r="B28" s="99" t="s">
        <v>171</v>
      </c>
      <c r="C28" s="96">
        <v>-30</v>
      </c>
      <c r="D28" s="97"/>
      <c r="E28" s="63">
        <v>0</v>
      </c>
      <c r="F28" s="64"/>
      <c r="G28" s="64" t="s">
        <v>58</v>
      </c>
      <c r="I28" s="10"/>
      <c r="J28" s="16"/>
    </row>
    <row r="29" spans="2:10">
      <c r="B29" s="99" t="s">
        <v>77</v>
      </c>
      <c r="C29" s="96">
        <v>-99</v>
      </c>
      <c r="D29" s="97"/>
      <c r="E29" s="63">
        <v>0</v>
      </c>
      <c r="F29" s="64"/>
      <c r="G29" s="64" t="s">
        <v>58</v>
      </c>
      <c r="I29" s="10"/>
      <c r="J29" s="16"/>
    </row>
    <row r="30" spans="2:10">
      <c r="B30" s="99" t="s">
        <v>138</v>
      </c>
      <c r="C30" s="96">
        <v>-50</v>
      </c>
      <c r="D30" s="97"/>
      <c r="E30" s="63">
        <v>0</v>
      </c>
      <c r="F30" s="64"/>
      <c r="G30" s="64" t="s">
        <v>58</v>
      </c>
      <c r="I30" s="10"/>
      <c r="J30" s="16"/>
    </row>
    <row r="31" spans="2:10" ht="18">
      <c r="B31" s="74" t="s">
        <v>45</v>
      </c>
      <c r="C31" s="101"/>
      <c r="D31" s="98"/>
      <c r="E31" s="101">
        <f>SUM(E3:E30)</f>
        <v>-314.24</v>
      </c>
      <c r="F31" s="75"/>
      <c r="G31" s="75"/>
    </row>
  </sheetData>
  <sheetProtection selectLockedCells="1" selectUnlockedCells="1"/>
  <pageMargins left="0.40972222222222221" right="0.27986111111111112" top="1" bottom="1" header="0.51180555555555551" footer="0.51180555555555551"/>
  <pageSetup firstPageNumber="0" orientation="landscape" horizontalDpi="300" verticalDpi="300"/>
  <headerFooter alignWithMargins="0"/>
</worksheet>
</file>

<file path=xl/worksheets/sheet23.xml><?xml version="1.0" encoding="utf-8"?>
<worksheet xmlns="http://schemas.openxmlformats.org/spreadsheetml/2006/main" xmlns:r="http://schemas.openxmlformats.org/officeDocument/2006/relationships">
  <sheetPr>
    <pageSetUpPr autoPageBreaks="0"/>
  </sheetPr>
  <dimension ref="B2:L34"/>
  <sheetViews>
    <sheetView showGridLines="0" workbookViewId="0">
      <selection activeCell="B34" sqref="B34"/>
    </sheetView>
  </sheetViews>
  <sheetFormatPr defaultColWidth="8.85546875" defaultRowHeight="12.75"/>
  <cols>
    <col min="1" max="1" width="2" customWidth="1"/>
    <col min="2" max="2" width="36.85546875" customWidth="1"/>
    <col min="3" max="3" width="21.42578125" customWidth="1"/>
    <col min="4" max="4" width="1.7109375" customWidth="1"/>
    <col min="5" max="5" width="18.28515625" customWidth="1"/>
    <col min="6" max="6" width="9.28515625" customWidth="1"/>
    <col min="7" max="7" width="11" customWidth="1"/>
    <col min="8" max="8" width="1" customWidth="1"/>
    <col min="9" max="9" width="13.42578125" customWidth="1"/>
    <col min="10" max="10" width="10.42578125" customWidth="1"/>
    <col min="12" max="12" width="12.7109375" customWidth="1"/>
  </cols>
  <sheetData>
    <row r="2" spans="2:12" ht="18">
      <c r="B2" s="220" t="s">
        <v>135</v>
      </c>
      <c r="C2" s="220" t="s">
        <v>136</v>
      </c>
      <c r="D2" s="90"/>
      <c r="E2" s="220" t="s">
        <v>0</v>
      </c>
      <c r="F2" s="82" t="s">
        <v>1</v>
      </c>
      <c r="G2" s="82" t="s">
        <v>57</v>
      </c>
      <c r="I2" s="84" t="s">
        <v>112</v>
      </c>
      <c r="J2" s="84" t="s">
        <v>1</v>
      </c>
    </row>
    <row r="3" spans="2:12">
      <c r="B3" s="71" t="s">
        <v>11</v>
      </c>
      <c r="C3" s="91">
        <v>0</v>
      </c>
      <c r="D3" s="92"/>
      <c r="E3" s="95">
        <v>-97.81</v>
      </c>
      <c r="F3" s="61"/>
      <c r="G3" s="61"/>
      <c r="I3" s="10">
        <v>3667.27</v>
      </c>
      <c r="J3" s="16">
        <v>39407</v>
      </c>
    </row>
    <row r="4" spans="2:12" ht="12" customHeight="1">
      <c r="B4" s="71" t="s">
        <v>56</v>
      </c>
      <c r="C4" s="91">
        <v>0</v>
      </c>
      <c r="D4" s="92"/>
      <c r="E4" s="95">
        <v>1887.31</v>
      </c>
      <c r="F4" s="72"/>
      <c r="G4" s="72"/>
      <c r="I4" s="10">
        <v>3668.37</v>
      </c>
      <c r="J4" s="16">
        <v>39408</v>
      </c>
    </row>
    <row r="5" spans="2:12" ht="12" customHeight="1">
      <c r="B5" s="71" t="s">
        <v>9</v>
      </c>
      <c r="C5" s="93">
        <v>60</v>
      </c>
      <c r="D5" s="94"/>
      <c r="E5" s="95">
        <v>60</v>
      </c>
      <c r="F5" s="72"/>
      <c r="G5" s="72"/>
      <c r="I5" s="10">
        <v>3670.57</v>
      </c>
      <c r="J5" s="16">
        <v>39412</v>
      </c>
    </row>
    <row r="6" spans="2:12" ht="12" customHeight="1">
      <c r="B6" s="71" t="s">
        <v>172</v>
      </c>
      <c r="C6" s="93">
        <v>6459.67</v>
      </c>
      <c r="D6" s="94"/>
      <c r="E6" s="95">
        <v>0</v>
      </c>
      <c r="F6" s="72"/>
      <c r="G6" s="72"/>
      <c r="I6" s="10">
        <v>3672.78</v>
      </c>
      <c r="J6" s="16">
        <v>39414</v>
      </c>
    </row>
    <row r="7" spans="2:12" ht="12" customHeight="1">
      <c r="B7" s="71" t="s">
        <v>173</v>
      </c>
      <c r="C7" s="93">
        <f>25+140+24</f>
        <v>189</v>
      </c>
      <c r="D7" s="94"/>
      <c r="E7" s="95">
        <v>0</v>
      </c>
      <c r="F7" s="72"/>
      <c r="G7" s="72"/>
      <c r="I7" s="10">
        <v>6674.99</v>
      </c>
      <c r="J7" s="16">
        <v>39416</v>
      </c>
    </row>
    <row r="8" spans="2:12">
      <c r="B8" s="99" t="s">
        <v>14</v>
      </c>
      <c r="C8" s="96">
        <v>-15.68</v>
      </c>
      <c r="D8" s="97"/>
      <c r="E8" s="63">
        <v>0</v>
      </c>
      <c r="F8" s="64">
        <v>39415</v>
      </c>
      <c r="G8" s="64" t="s">
        <v>58</v>
      </c>
      <c r="I8" s="10">
        <v>6671.8</v>
      </c>
      <c r="J8" s="16">
        <v>39419</v>
      </c>
      <c r="L8" s="96">
        <v>-15.68</v>
      </c>
    </row>
    <row r="9" spans="2:12">
      <c r="B9" s="99" t="s">
        <v>102</v>
      </c>
      <c r="C9" s="96">
        <v>-3000</v>
      </c>
      <c r="D9" s="97"/>
      <c r="E9" s="63">
        <v>0</v>
      </c>
      <c r="F9" s="64">
        <v>39415</v>
      </c>
      <c r="G9" s="64" t="s">
        <v>58</v>
      </c>
      <c r="I9" s="10">
        <v>6672.9</v>
      </c>
      <c r="J9" s="16">
        <v>39420</v>
      </c>
      <c r="L9" s="96">
        <v>0</v>
      </c>
    </row>
    <row r="10" spans="2:12">
      <c r="B10" s="99" t="s">
        <v>65</v>
      </c>
      <c r="C10" s="96">
        <v>-170</v>
      </c>
      <c r="D10" s="97"/>
      <c r="E10" s="63">
        <v>0</v>
      </c>
      <c r="F10" s="64">
        <v>39416</v>
      </c>
      <c r="G10" s="64" t="s">
        <v>58</v>
      </c>
      <c r="I10" s="10">
        <v>6765.6</v>
      </c>
      <c r="J10" s="16">
        <v>39427</v>
      </c>
      <c r="L10" s="96">
        <v>0</v>
      </c>
    </row>
    <row r="11" spans="2:12">
      <c r="B11" s="99" t="s">
        <v>123</v>
      </c>
      <c r="C11" s="96">
        <v>-232.01</v>
      </c>
      <c r="D11" s="97"/>
      <c r="E11" s="63">
        <v>0</v>
      </c>
      <c r="F11" s="64">
        <v>39417</v>
      </c>
      <c r="G11" s="64" t="s">
        <v>58</v>
      </c>
      <c r="I11" s="10">
        <v>6767.63</v>
      </c>
      <c r="J11" s="16">
        <v>39428</v>
      </c>
      <c r="L11" s="96">
        <v>0</v>
      </c>
    </row>
    <row r="12" spans="2:12">
      <c r="B12" s="99" t="s">
        <v>110</v>
      </c>
      <c r="C12" s="96">
        <v>-110.17</v>
      </c>
      <c r="D12" s="97"/>
      <c r="E12" s="63">
        <v>0</v>
      </c>
      <c r="F12" s="64">
        <v>39418</v>
      </c>
      <c r="G12" s="64" t="s">
        <v>58</v>
      </c>
      <c r="I12" s="10">
        <v>6771.69</v>
      </c>
      <c r="J12" s="16">
        <v>39430</v>
      </c>
      <c r="L12" s="96">
        <v>-110.17</v>
      </c>
    </row>
    <row r="13" spans="2:12">
      <c r="B13" s="99" t="s">
        <v>137</v>
      </c>
      <c r="C13" s="96">
        <v>-50</v>
      </c>
      <c r="D13" s="97"/>
      <c r="E13" s="63">
        <v>0</v>
      </c>
      <c r="F13" s="64">
        <v>39414</v>
      </c>
      <c r="G13" s="64" t="s">
        <v>58</v>
      </c>
      <c r="I13" s="10">
        <v>6773.72</v>
      </c>
      <c r="J13" s="16">
        <v>39433</v>
      </c>
      <c r="L13" s="96">
        <v>-150</v>
      </c>
    </row>
    <row r="14" spans="2:12">
      <c r="B14" s="99" t="s">
        <v>138</v>
      </c>
      <c r="C14" s="96">
        <v>-50</v>
      </c>
      <c r="D14" s="97"/>
      <c r="E14" s="63">
        <v>0</v>
      </c>
      <c r="F14" s="64">
        <v>39421</v>
      </c>
      <c r="G14" s="64" t="s">
        <v>58</v>
      </c>
      <c r="I14" s="10">
        <v>9475.76</v>
      </c>
      <c r="J14" s="16">
        <v>39434</v>
      </c>
      <c r="L14" s="96">
        <v>0</v>
      </c>
    </row>
    <row r="15" spans="2:12">
      <c r="B15" s="99" t="s">
        <v>103</v>
      </c>
      <c r="C15" s="96">
        <v>-996.47</v>
      </c>
      <c r="D15" s="97"/>
      <c r="E15" s="63">
        <v>0</v>
      </c>
      <c r="F15" s="64">
        <v>39417</v>
      </c>
      <c r="G15" s="64" t="s">
        <v>58</v>
      </c>
      <c r="I15" s="10">
        <v>9478.61</v>
      </c>
      <c r="J15" s="16">
        <v>39435</v>
      </c>
      <c r="L15" s="96">
        <v>-1515.32</v>
      </c>
    </row>
    <row r="16" spans="2:12">
      <c r="B16" s="99" t="s">
        <v>154</v>
      </c>
      <c r="C16" s="96">
        <v>-19</v>
      </c>
      <c r="D16" s="97"/>
      <c r="E16" s="63">
        <v>0</v>
      </c>
      <c r="F16" s="64">
        <v>39417</v>
      </c>
      <c r="G16" s="64" t="s">
        <v>58</v>
      </c>
      <c r="I16" s="10">
        <v>9481.4500000000007</v>
      </c>
      <c r="J16" s="16">
        <v>39436</v>
      </c>
      <c r="L16" s="96">
        <v>-19</v>
      </c>
    </row>
    <row r="17" spans="2:12">
      <c r="B17" s="99" t="s">
        <v>155</v>
      </c>
      <c r="C17" s="96">
        <v>-9</v>
      </c>
      <c r="D17" s="97"/>
      <c r="E17" s="63">
        <v>0</v>
      </c>
      <c r="F17" s="64">
        <v>39417</v>
      </c>
      <c r="G17" s="64" t="s">
        <v>58</v>
      </c>
      <c r="I17" s="10"/>
      <c r="J17" s="16"/>
      <c r="L17" s="96">
        <v>-9</v>
      </c>
    </row>
    <row r="18" spans="2:12">
      <c r="B18" s="99" t="s">
        <v>96</v>
      </c>
      <c r="C18" s="96">
        <v>-129</v>
      </c>
      <c r="D18" s="97"/>
      <c r="E18" s="63">
        <v>0</v>
      </c>
      <c r="F18" s="64">
        <v>39420</v>
      </c>
      <c r="G18" s="64" t="s">
        <v>58</v>
      </c>
      <c r="I18" s="10"/>
      <c r="J18" s="16"/>
      <c r="L18" s="96">
        <v>-129</v>
      </c>
    </row>
    <row r="19" spans="2:12">
      <c r="B19" s="99" t="s">
        <v>29</v>
      </c>
      <c r="C19" s="96">
        <v>-262.01</v>
      </c>
      <c r="D19" s="97"/>
      <c r="E19" s="63">
        <v>0</v>
      </c>
      <c r="F19" s="64">
        <v>39423</v>
      </c>
      <c r="G19" s="64" t="s">
        <v>58</v>
      </c>
      <c r="I19" s="10"/>
      <c r="J19" s="16"/>
      <c r="L19" s="96">
        <v>-262.01</v>
      </c>
    </row>
    <row r="20" spans="2:12">
      <c r="B20" s="99" t="s">
        <v>157</v>
      </c>
      <c r="C20" s="96">
        <v>-20</v>
      </c>
      <c r="D20" s="97"/>
      <c r="E20" s="63">
        <v>0</v>
      </c>
      <c r="F20" s="64">
        <v>39420</v>
      </c>
      <c r="G20" s="64" t="s">
        <v>58</v>
      </c>
      <c r="I20" s="10"/>
      <c r="J20" s="16"/>
      <c r="L20" s="96">
        <v>-20</v>
      </c>
    </row>
    <row r="21" spans="2:12">
      <c r="B21" s="99" t="s">
        <v>174</v>
      </c>
      <c r="C21" s="96">
        <v>-400</v>
      </c>
      <c r="D21" s="97"/>
      <c r="E21" s="63">
        <v>0</v>
      </c>
      <c r="F21" s="64">
        <v>39423</v>
      </c>
      <c r="G21" s="64" t="s">
        <v>58</v>
      </c>
      <c r="I21" s="10"/>
      <c r="J21" s="16"/>
      <c r="L21" s="96">
        <v>0</v>
      </c>
    </row>
    <row r="22" spans="2:12">
      <c r="B22" s="99" t="s">
        <v>159</v>
      </c>
      <c r="C22" s="96">
        <v>-90</v>
      </c>
      <c r="D22" s="97"/>
      <c r="E22" s="63">
        <v>0</v>
      </c>
      <c r="F22" s="64">
        <v>39426</v>
      </c>
      <c r="G22" s="64" t="s">
        <v>58</v>
      </c>
      <c r="I22" s="10"/>
      <c r="J22" s="16"/>
      <c r="L22" s="96">
        <v>0</v>
      </c>
    </row>
    <row r="23" spans="2:12">
      <c r="B23" s="99" t="s">
        <v>41</v>
      </c>
      <c r="C23" s="96">
        <v>-77.89</v>
      </c>
      <c r="D23" s="97"/>
      <c r="E23" s="63">
        <v>0</v>
      </c>
      <c r="F23" s="64">
        <v>39426</v>
      </c>
      <c r="G23" s="64" t="s">
        <v>58</v>
      </c>
      <c r="I23" s="10"/>
      <c r="J23" s="16"/>
      <c r="L23" s="96">
        <v>-77.89</v>
      </c>
    </row>
    <row r="24" spans="2:12">
      <c r="B24" s="99" t="s">
        <v>98</v>
      </c>
      <c r="C24" s="96">
        <v>-155</v>
      </c>
      <c r="D24" s="97"/>
      <c r="E24" s="63">
        <v>0</v>
      </c>
      <c r="F24" s="64">
        <v>39426</v>
      </c>
      <c r="G24" s="64" t="s">
        <v>58</v>
      </c>
      <c r="I24" s="10"/>
      <c r="J24" s="16"/>
      <c r="L24" s="96">
        <v>-155</v>
      </c>
    </row>
    <row r="25" spans="2:12">
      <c r="B25" s="99" t="s">
        <v>175</v>
      </c>
      <c r="C25" s="96">
        <v>-21</v>
      </c>
      <c r="D25" s="97"/>
      <c r="E25" s="63">
        <v>0</v>
      </c>
      <c r="F25" s="64">
        <v>39431</v>
      </c>
      <c r="G25" s="64" t="s">
        <v>58</v>
      </c>
      <c r="I25" s="10"/>
      <c r="J25" s="16"/>
      <c r="L25" s="96">
        <v>-21</v>
      </c>
    </row>
    <row r="26" spans="2:12">
      <c r="B26" s="99" t="s">
        <v>171</v>
      </c>
      <c r="C26" s="96">
        <v>-30</v>
      </c>
      <c r="D26" s="97"/>
      <c r="E26" s="63">
        <v>0</v>
      </c>
      <c r="F26" s="64">
        <v>39421</v>
      </c>
      <c r="G26" s="64" t="s">
        <v>58</v>
      </c>
      <c r="I26" s="10"/>
      <c r="J26" s="16"/>
      <c r="L26" s="96">
        <v>-30</v>
      </c>
    </row>
    <row r="27" spans="2:12">
      <c r="B27" s="99" t="s">
        <v>77</v>
      </c>
      <c r="C27" s="96">
        <v>-99</v>
      </c>
      <c r="D27" s="97"/>
      <c r="E27" s="63">
        <v>0</v>
      </c>
      <c r="F27" s="64">
        <v>39436</v>
      </c>
      <c r="G27" s="64" t="s">
        <v>58</v>
      </c>
      <c r="I27" s="10"/>
      <c r="J27" s="16"/>
      <c r="L27" s="96">
        <v>-99</v>
      </c>
    </row>
    <row r="28" spans="2:12">
      <c r="B28" s="99" t="s">
        <v>176</v>
      </c>
      <c r="C28" s="96">
        <v>-100</v>
      </c>
      <c r="D28" s="97"/>
      <c r="E28" s="63">
        <v>0</v>
      </c>
      <c r="F28" s="64"/>
      <c r="G28" s="64" t="s">
        <v>58</v>
      </c>
      <c r="I28" s="10"/>
      <c r="J28" s="16"/>
      <c r="L28" s="96">
        <v>0</v>
      </c>
    </row>
    <row r="29" spans="2:12">
      <c r="B29" s="99" t="s">
        <v>177</v>
      </c>
      <c r="C29" s="96">
        <f>-190*2</f>
        <v>-380</v>
      </c>
      <c r="D29" s="97"/>
      <c r="E29" s="63">
        <v>0</v>
      </c>
      <c r="F29" s="64">
        <v>39434</v>
      </c>
      <c r="G29" s="64" t="s">
        <v>58</v>
      </c>
      <c r="I29" s="10"/>
      <c r="J29" s="16"/>
      <c r="L29" s="96">
        <v>0</v>
      </c>
    </row>
    <row r="30" spans="2:12">
      <c r="B30" s="99" t="s">
        <v>138</v>
      </c>
      <c r="C30" s="96">
        <v>-50</v>
      </c>
      <c r="D30" s="97"/>
      <c r="E30" s="63">
        <v>0</v>
      </c>
      <c r="F30" s="64">
        <v>39436</v>
      </c>
      <c r="G30" s="64" t="s">
        <v>58</v>
      </c>
      <c r="I30" s="10"/>
      <c r="J30" s="16"/>
      <c r="L30" s="96">
        <v>0</v>
      </c>
    </row>
    <row r="31" spans="2:12" ht="18">
      <c r="B31" s="74" t="s">
        <v>45</v>
      </c>
      <c r="C31" s="101"/>
      <c r="D31" s="98"/>
      <c r="E31" s="101">
        <f>SUM(E3:E30)</f>
        <v>1849.5</v>
      </c>
      <c r="F31" s="75"/>
      <c r="G31" s="75"/>
    </row>
    <row r="32" spans="2:12">
      <c r="C32" s="1"/>
      <c r="D32" s="1"/>
      <c r="E32" s="1"/>
    </row>
    <row r="33" spans="2:10">
      <c r="B33" s="102" t="s">
        <v>178</v>
      </c>
      <c r="C33" s="1"/>
      <c r="G33" s="1"/>
    </row>
    <row r="34" spans="2:10">
      <c r="B34" s="102" t="s">
        <v>179</v>
      </c>
      <c r="C34" s="1">
        <v>2345.06</v>
      </c>
      <c r="J34" s="1"/>
    </row>
  </sheetData>
  <sheetProtection selectLockedCells="1" selectUnlockedCells="1"/>
  <pageMargins left="0.40972222222222221" right="0.27986111111111112" top="1" bottom="1" header="0.51180555555555551" footer="0.51180555555555551"/>
  <pageSetup firstPageNumber="0" orientation="landscape" horizontalDpi="300" verticalDpi="300"/>
  <headerFooter alignWithMargins="0"/>
</worksheet>
</file>

<file path=xl/worksheets/sheet24.xml><?xml version="1.0" encoding="utf-8"?>
<worksheet xmlns="http://schemas.openxmlformats.org/spreadsheetml/2006/main" xmlns:r="http://schemas.openxmlformats.org/officeDocument/2006/relationships">
  <sheetPr>
    <pageSetUpPr autoPageBreaks="0"/>
  </sheetPr>
  <dimension ref="B2:P38"/>
  <sheetViews>
    <sheetView showGridLines="0" workbookViewId="0">
      <selection activeCell="L1" activeCellId="1" sqref="G13 L1"/>
    </sheetView>
  </sheetViews>
  <sheetFormatPr defaultColWidth="8.85546875" defaultRowHeight="12.75"/>
  <cols>
    <col min="1" max="1" width="2" customWidth="1"/>
    <col min="2" max="2" width="26.85546875" customWidth="1"/>
    <col min="3" max="3" width="21.42578125" customWidth="1"/>
    <col min="4" max="4" width="1.7109375" customWidth="1"/>
    <col min="5" max="5" width="18.28515625" customWidth="1"/>
    <col min="6" max="6" width="9.28515625" customWidth="1"/>
    <col min="7" max="7" width="11" customWidth="1"/>
    <col min="8" max="8" width="1" customWidth="1"/>
    <col min="9" max="9" width="14.28515625" customWidth="1"/>
    <col min="10" max="10" width="6.42578125" customWidth="1"/>
    <col min="11" max="11" width="1.7109375" customWidth="1"/>
    <col min="12" max="12" width="20.7109375" customWidth="1"/>
    <col min="13" max="13" width="6.28515625" customWidth="1"/>
    <col min="14" max="14" width="1.28515625" customWidth="1"/>
    <col min="15" max="15" width="19" customWidth="1"/>
  </cols>
  <sheetData>
    <row r="2" spans="2:16" ht="18">
      <c r="B2" s="220" t="s">
        <v>135</v>
      </c>
      <c r="C2" s="220" t="s">
        <v>136</v>
      </c>
      <c r="D2" s="90"/>
      <c r="E2" s="220" t="s">
        <v>0</v>
      </c>
      <c r="F2" s="82" t="s">
        <v>1</v>
      </c>
      <c r="G2" s="82" t="s">
        <v>57</v>
      </c>
      <c r="I2" s="221" t="s">
        <v>180</v>
      </c>
      <c r="J2" s="221" t="s">
        <v>1</v>
      </c>
      <c r="K2" s="104"/>
      <c r="L2" s="221" t="s">
        <v>181</v>
      </c>
      <c r="M2" s="221" t="s">
        <v>1</v>
      </c>
      <c r="O2" s="221" t="s">
        <v>182</v>
      </c>
      <c r="P2" s="221" t="s">
        <v>1</v>
      </c>
    </row>
    <row r="3" spans="2:16">
      <c r="B3" s="71" t="s">
        <v>11</v>
      </c>
      <c r="C3" s="91">
        <v>0</v>
      </c>
      <c r="D3" s="92"/>
      <c r="E3" s="95">
        <f>-287.95+300</f>
        <v>12.050000000000011</v>
      </c>
      <c r="F3" s="61"/>
      <c r="G3" s="61"/>
      <c r="I3" s="10">
        <v>3667.27</v>
      </c>
      <c r="J3" s="16">
        <v>39407</v>
      </c>
      <c r="L3" s="10">
        <v>1500</v>
      </c>
      <c r="M3" s="16">
        <v>39463</v>
      </c>
      <c r="O3" s="10"/>
      <c r="P3" s="16"/>
    </row>
    <row r="4" spans="2:16" ht="12" customHeight="1">
      <c r="B4" s="71" t="s">
        <v>56</v>
      </c>
      <c r="C4" s="91">
        <v>0</v>
      </c>
      <c r="D4" s="92"/>
      <c r="E4" s="95">
        <f>-221.44-300</f>
        <v>-521.44000000000005</v>
      </c>
      <c r="F4" s="72"/>
      <c r="G4" s="72"/>
      <c r="I4" s="10">
        <v>3668.37</v>
      </c>
      <c r="J4" s="16">
        <v>39408</v>
      </c>
      <c r="L4" s="10">
        <v>1461.94</v>
      </c>
      <c r="M4" s="16">
        <v>39465</v>
      </c>
      <c r="O4" s="10"/>
      <c r="P4" s="16"/>
    </row>
    <row r="5" spans="2:16" ht="12" customHeight="1">
      <c r="B5" s="71" t="s">
        <v>9</v>
      </c>
      <c r="C5" s="93">
        <v>120</v>
      </c>
      <c r="D5" s="94"/>
      <c r="E5" s="95">
        <v>0</v>
      </c>
      <c r="F5" s="72"/>
      <c r="G5" s="72"/>
      <c r="I5" s="10">
        <v>3670.57</v>
      </c>
      <c r="J5" s="16">
        <v>39412</v>
      </c>
      <c r="L5" s="10">
        <v>1454.04</v>
      </c>
      <c r="M5" s="16">
        <v>39468</v>
      </c>
    </row>
    <row r="6" spans="2:16" ht="12" customHeight="1">
      <c r="B6" s="71" t="s">
        <v>5</v>
      </c>
      <c r="C6" s="93">
        <v>2345.06</v>
      </c>
      <c r="D6" s="94"/>
      <c r="E6" s="95">
        <v>0</v>
      </c>
      <c r="F6" s="72"/>
      <c r="G6" s="72"/>
      <c r="I6" s="10">
        <v>3672.78</v>
      </c>
      <c r="J6" s="16">
        <v>39414</v>
      </c>
      <c r="L6" s="10">
        <v>1380.27</v>
      </c>
      <c r="M6" s="16">
        <v>39469</v>
      </c>
    </row>
    <row r="7" spans="2:16" ht="12" customHeight="1">
      <c r="B7" s="71" t="s">
        <v>183</v>
      </c>
      <c r="C7" s="93">
        <v>1530</v>
      </c>
      <c r="D7" s="94"/>
      <c r="E7" s="95">
        <v>0</v>
      </c>
      <c r="F7" s="72"/>
      <c r="G7" s="72"/>
      <c r="I7" s="10">
        <v>6674.99</v>
      </c>
      <c r="J7" s="16">
        <v>39416</v>
      </c>
      <c r="L7" s="10">
        <v>1407.33</v>
      </c>
      <c r="M7" s="16">
        <v>39470</v>
      </c>
    </row>
    <row r="8" spans="2:16">
      <c r="B8" s="71" t="s">
        <v>184</v>
      </c>
      <c r="C8" s="93">
        <v>2413.62</v>
      </c>
      <c r="D8" s="94"/>
      <c r="E8" s="95">
        <v>0</v>
      </c>
      <c r="F8" s="72"/>
      <c r="G8" s="72"/>
      <c r="I8" s="10">
        <v>6671.8</v>
      </c>
      <c r="J8" s="16">
        <v>39419</v>
      </c>
      <c r="L8" s="10">
        <v>1381.59</v>
      </c>
      <c r="M8" s="16">
        <v>39471</v>
      </c>
    </row>
    <row r="9" spans="2:16">
      <c r="B9" s="71" t="s">
        <v>185</v>
      </c>
      <c r="C9" s="93">
        <v>72</v>
      </c>
      <c r="D9" s="94"/>
      <c r="E9" s="95">
        <v>72</v>
      </c>
      <c r="F9" s="72"/>
      <c r="G9" s="72"/>
      <c r="I9" s="10">
        <v>6672.9</v>
      </c>
      <c r="J9" s="16">
        <v>39420</v>
      </c>
      <c r="L9" s="10"/>
      <c r="M9" s="16"/>
    </row>
    <row r="10" spans="2:16">
      <c r="B10" s="71" t="s">
        <v>186</v>
      </c>
      <c r="C10" s="93">
        <v>38</v>
      </c>
      <c r="D10" s="94"/>
      <c r="E10" s="95">
        <v>38</v>
      </c>
      <c r="F10" s="72"/>
      <c r="G10" s="72"/>
      <c r="I10" s="10">
        <v>6765.6</v>
      </c>
      <c r="J10" s="16">
        <v>39427</v>
      </c>
      <c r="L10" s="10"/>
      <c r="M10" s="16"/>
    </row>
    <row r="11" spans="2:16">
      <c r="B11" s="99" t="s">
        <v>14</v>
      </c>
      <c r="C11" s="96">
        <v>-16.649999999999999</v>
      </c>
      <c r="D11" s="97"/>
      <c r="E11" s="63">
        <v>0</v>
      </c>
      <c r="F11" s="64">
        <v>39445</v>
      </c>
      <c r="G11" s="64" t="s">
        <v>58</v>
      </c>
      <c r="I11" s="10">
        <v>6767.63</v>
      </c>
      <c r="J11" s="16">
        <v>39428</v>
      </c>
      <c r="L11" s="10"/>
      <c r="M11" s="16"/>
    </row>
    <row r="12" spans="2:16">
      <c r="B12" s="99" t="s">
        <v>187</v>
      </c>
      <c r="C12" s="96">
        <v>-1530</v>
      </c>
      <c r="D12" s="97"/>
      <c r="E12" s="63">
        <v>0</v>
      </c>
      <c r="F12" s="64">
        <v>39443</v>
      </c>
      <c r="G12" s="64" t="s">
        <v>58</v>
      </c>
      <c r="I12" s="10">
        <v>6771.69</v>
      </c>
      <c r="J12" s="16">
        <v>39430</v>
      </c>
      <c r="L12" s="10"/>
      <c r="M12" s="16"/>
    </row>
    <row r="13" spans="2:16">
      <c r="B13" s="99" t="s">
        <v>188</v>
      </c>
      <c r="C13" s="96">
        <v>-500</v>
      </c>
      <c r="D13" s="97"/>
      <c r="E13" s="63">
        <v>0</v>
      </c>
      <c r="F13" s="64">
        <v>39443</v>
      </c>
      <c r="G13" s="64" t="s">
        <v>58</v>
      </c>
      <c r="I13" s="10">
        <v>6773.72</v>
      </c>
      <c r="J13" s="16">
        <v>39433</v>
      </c>
      <c r="L13" s="10"/>
      <c r="M13" s="16"/>
    </row>
    <row r="14" spans="2:16">
      <c r="B14" s="99" t="s">
        <v>189</v>
      </c>
      <c r="C14" s="96">
        <v>-500</v>
      </c>
      <c r="D14" s="97"/>
      <c r="E14" s="63">
        <v>0</v>
      </c>
      <c r="F14" s="64">
        <v>39452</v>
      </c>
      <c r="G14" s="64" t="s">
        <v>58</v>
      </c>
      <c r="I14" s="10">
        <v>9475.76</v>
      </c>
      <c r="J14" s="16">
        <v>39434</v>
      </c>
      <c r="L14" s="10"/>
      <c r="M14" s="16"/>
    </row>
    <row r="15" spans="2:16">
      <c r="B15" s="99" t="s">
        <v>123</v>
      </c>
      <c r="C15" s="96">
        <v>-3.6</v>
      </c>
      <c r="D15" s="97"/>
      <c r="E15" s="63">
        <v>0</v>
      </c>
      <c r="F15" s="64">
        <v>39417</v>
      </c>
      <c r="G15" s="64" t="s">
        <v>58</v>
      </c>
      <c r="I15" s="10">
        <v>9478.61</v>
      </c>
      <c r="J15" s="16">
        <v>39435</v>
      </c>
    </row>
    <row r="16" spans="2:16">
      <c r="B16" s="99" t="s">
        <v>110</v>
      </c>
      <c r="C16" s="96">
        <v>-132.51</v>
      </c>
      <c r="D16" s="97"/>
      <c r="E16" s="63">
        <v>0</v>
      </c>
      <c r="F16" s="64">
        <v>39449</v>
      </c>
      <c r="G16" s="64" t="s">
        <v>58</v>
      </c>
      <c r="I16" s="10">
        <v>9481.4500000000007</v>
      </c>
      <c r="J16" s="16">
        <v>39436</v>
      </c>
    </row>
    <row r="17" spans="2:12">
      <c r="B17" s="99" t="s">
        <v>137</v>
      </c>
      <c r="C17" s="96">
        <v>-20</v>
      </c>
      <c r="D17" s="97"/>
      <c r="E17" s="63">
        <v>0</v>
      </c>
      <c r="F17" s="64">
        <v>39457</v>
      </c>
      <c r="G17" s="64" t="s">
        <v>58</v>
      </c>
      <c r="I17" s="10">
        <v>9484.2900000000009</v>
      </c>
      <c r="J17" s="16">
        <v>39437</v>
      </c>
    </row>
    <row r="18" spans="2:12">
      <c r="B18" s="99" t="s">
        <v>103</v>
      </c>
      <c r="C18" s="96">
        <v>-1515.13</v>
      </c>
      <c r="D18" s="97"/>
      <c r="E18" s="63">
        <v>0</v>
      </c>
      <c r="F18" s="64">
        <v>39448</v>
      </c>
      <c r="G18" s="64" t="s">
        <v>58</v>
      </c>
      <c r="I18" s="10">
        <v>9490.01</v>
      </c>
      <c r="J18" s="16">
        <v>39442</v>
      </c>
    </row>
    <row r="19" spans="2:12">
      <c r="B19" s="99" t="s">
        <v>154</v>
      </c>
      <c r="C19" s="96">
        <v>-19</v>
      </c>
      <c r="D19" s="97"/>
      <c r="E19" s="63">
        <v>0</v>
      </c>
      <c r="F19" s="64">
        <v>39457</v>
      </c>
      <c r="G19" s="64" t="s">
        <v>58</v>
      </c>
      <c r="I19" s="10">
        <v>11008.02</v>
      </c>
      <c r="J19" s="16">
        <v>39443</v>
      </c>
    </row>
    <row r="20" spans="2:12">
      <c r="B20" s="99" t="s">
        <v>155</v>
      </c>
      <c r="C20" s="96">
        <v>-9</v>
      </c>
      <c r="D20" s="97"/>
      <c r="E20" s="63">
        <v>0</v>
      </c>
      <c r="F20" s="64">
        <v>39457</v>
      </c>
      <c r="G20" s="64" t="s">
        <v>58</v>
      </c>
      <c r="I20" s="10">
        <v>11022.06</v>
      </c>
      <c r="J20" s="16">
        <v>39450</v>
      </c>
    </row>
    <row r="21" spans="2:12">
      <c r="B21" s="99" t="s">
        <v>96</v>
      </c>
      <c r="C21" s="96">
        <v>-113.68</v>
      </c>
      <c r="D21" s="97"/>
      <c r="E21" s="63">
        <v>0</v>
      </c>
      <c r="F21" s="64">
        <v>39451</v>
      </c>
      <c r="G21" s="64" t="s">
        <v>58</v>
      </c>
      <c r="I21" s="10">
        <v>11025.22</v>
      </c>
      <c r="J21" s="16">
        <v>39451</v>
      </c>
    </row>
    <row r="22" spans="2:12">
      <c r="B22" s="99" t="s">
        <v>29</v>
      </c>
      <c r="C22" s="96">
        <v>-262.01</v>
      </c>
      <c r="D22" s="97"/>
      <c r="E22" s="63">
        <v>0</v>
      </c>
      <c r="F22" s="64">
        <v>39454</v>
      </c>
      <c r="G22" s="64" t="s">
        <v>58</v>
      </c>
      <c r="I22" s="10">
        <v>11028.94</v>
      </c>
      <c r="J22" s="16">
        <v>39454</v>
      </c>
    </row>
    <row r="23" spans="2:12">
      <c r="B23" s="99" t="s">
        <v>157</v>
      </c>
      <c r="C23" s="96">
        <v>-6.36</v>
      </c>
      <c r="D23" s="97"/>
      <c r="E23" s="63">
        <v>0</v>
      </c>
      <c r="F23" s="64">
        <v>39454</v>
      </c>
      <c r="G23" s="64" t="s">
        <v>58</v>
      </c>
      <c r="I23" s="10">
        <v>11032.57</v>
      </c>
      <c r="J23" s="16">
        <v>39455</v>
      </c>
    </row>
    <row r="24" spans="2:12">
      <c r="B24" s="99" t="s">
        <v>41</v>
      </c>
      <c r="C24" s="96">
        <v>-81.23</v>
      </c>
      <c r="D24" s="97"/>
      <c r="E24" s="63">
        <v>0</v>
      </c>
      <c r="F24" s="64">
        <v>39457</v>
      </c>
      <c r="G24" s="64" t="s">
        <v>58</v>
      </c>
      <c r="I24" s="10">
        <v>11036.04</v>
      </c>
      <c r="J24" s="16">
        <v>39456</v>
      </c>
    </row>
    <row r="25" spans="2:12">
      <c r="B25" s="99" t="s">
        <v>98</v>
      </c>
      <c r="C25" s="96">
        <v>-152.91999999999999</v>
      </c>
      <c r="D25" s="97"/>
      <c r="E25" s="63">
        <v>0</v>
      </c>
      <c r="F25" s="64">
        <v>39459</v>
      </c>
      <c r="G25" s="64" t="s">
        <v>58</v>
      </c>
      <c r="I25" s="10">
        <v>11039.63</v>
      </c>
      <c r="J25" s="16">
        <v>39457</v>
      </c>
    </row>
    <row r="26" spans="2:12">
      <c r="B26" s="99" t="s">
        <v>175</v>
      </c>
      <c r="C26" s="96">
        <v>-21</v>
      </c>
      <c r="D26" s="97"/>
      <c r="E26" s="63">
        <v>0</v>
      </c>
      <c r="F26" s="64">
        <v>39457</v>
      </c>
      <c r="G26" s="64" t="s">
        <v>58</v>
      </c>
      <c r="I26" s="10">
        <v>11043.06</v>
      </c>
      <c r="J26" s="16">
        <v>39458</v>
      </c>
    </row>
    <row r="27" spans="2:12">
      <c r="B27" s="99" t="s">
        <v>190</v>
      </c>
      <c r="C27" s="96">
        <v>-21</v>
      </c>
      <c r="D27" s="97"/>
      <c r="E27" s="63">
        <v>0</v>
      </c>
      <c r="F27" s="64">
        <v>39457</v>
      </c>
      <c r="G27" s="64" t="s">
        <v>58</v>
      </c>
      <c r="I27" s="10">
        <v>10044.719999999999</v>
      </c>
      <c r="J27" s="16">
        <v>39461</v>
      </c>
      <c r="L27" t="s">
        <v>191</v>
      </c>
    </row>
    <row r="28" spans="2:12">
      <c r="B28" s="99" t="s">
        <v>192</v>
      </c>
      <c r="C28" s="96">
        <v>-40</v>
      </c>
      <c r="D28" s="97"/>
      <c r="E28" s="63">
        <v>0</v>
      </c>
      <c r="F28" s="64">
        <v>39457</v>
      </c>
      <c r="G28" s="64" t="s">
        <v>58</v>
      </c>
      <c r="I28" s="10">
        <v>10051.040000000001</v>
      </c>
      <c r="J28" s="16">
        <v>39463</v>
      </c>
      <c r="L28">
        <v>2963.2</v>
      </c>
    </row>
    <row r="29" spans="2:12">
      <c r="B29" s="99" t="s">
        <v>171</v>
      </c>
      <c r="C29" s="96">
        <v>-30</v>
      </c>
      <c r="D29" s="97"/>
      <c r="E29" s="63">
        <v>0</v>
      </c>
      <c r="F29" s="64">
        <v>39457</v>
      </c>
      <c r="G29" s="64" t="s">
        <v>58</v>
      </c>
      <c r="I29" s="10">
        <v>10057.17</v>
      </c>
      <c r="J29" s="16">
        <v>39465</v>
      </c>
    </row>
    <row r="30" spans="2:12">
      <c r="B30" s="99" t="s">
        <v>77</v>
      </c>
      <c r="C30" s="96">
        <v>-99.9</v>
      </c>
      <c r="D30" s="97"/>
      <c r="E30" s="63">
        <v>0</v>
      </c>
      <c r="F30" s="64">
        <v>39467</v>
      </c>
      <c r="G30" s="64" t="s">
        <v>58</v>
      </c>
      <c r="I30" s="10">
        <v>10060.459999999999</v>
      </c>
      <c r="J30" s="16">
        <v>39468</v>
      </c>
    </row>
    <row r="31" spans="2:12">
      <c r="B31" s="99" t="s">
        <v>193</v>
      </c>
      <c r="C31" s="96">
        <v>-66</v>
      </c>
      <c r="D31" s="97"/>
      <c r="E31" s="63">
        <v>0</v>
      </c>
      <c r="F31" s="64">
        <v>39462</v>
      </c>
      <c r="G31" s="64" t="s">
        <v>58</v>
      </c>
      <c r="I31" s="10">
        <v>10063.44</v>
      </c>
      <c r="J31" s="16">
        <v>39469</v>
      </c>
    </row>
    <row r="32" spans="2:12">
      <c r="B32" s="99" t="s">
        <v>69</v>
      </c>
      <c r="C32" s="96">
        <v>-28</v>
      </c>
      <c r="D32" s="97"/>
      <c r="E32" s="63">
        <v>0</v>
      </c>
      <c r="F32" s="64">
        <v>39462</v>
      </c>
      <c r="G32" s="64" t="s">
        <v>58</v>
      </c>
      <c r="I32" s="10">
        <v>10069.700000000001</v>
      </c>
      <c r="J32" s="16">
        <v>39471</v>
      </c>
    </row>
    <row r="33" spans="2:10">
      <c r="B33" s="99" t="s">
        <v>194</v>
      </c>
      <c r="C33" s="96">
        <v>-25</v>
      </c>
      <c r="D33" s="97"/>
      <c r="E33" s="63">
        <v>0</v>
      </c>
      <c r="F33" s="64">
        <v>39462</v>
      </c>
      <c r="G33" s="64" t="s">
        <v>58</v>
      </c>
      <c r="I33" s="10"/>
      <c r="J33" s="16"/>
    </row>
    <row r="34" spans="2:10">
      <c r="B34" s="99" t="s">
        <v>195</v>
      </c>
      <c r="C34" s="96">
        <v>-24</v>
      </c>
      <c r="D34" s="97"/>
      <c r="E34" s="63">
        <v>0</v>
      </c>
      <c r="F34" s="64">
        <v>39462</v>
      </c>
      <c r="G34" s="64" t="s">
        <v>58</v>
      </c>
      <c r="I34" s="10"/>
      <c r="J34" s="16"/>
    </row>
    <row r="35" spans="2:10">
      <c r="B35" s="99" t="s">
        <v>158</v>
      </c>
      <c r="C35" s="96">
        <v>-30</v>
      </c>
      <c r="D35" s="97"/>
      <c r="E35" s="63">
        <v>0</v>
      </c>
      <c r="F35" s="64">
        <v>39478</v>
      </c>
      <c r="G35" s="64" t="s">
        <v>58</v>
      </c>
      <c r="I35" s="10"/>
      <c r="J35" s="16"/>
    </row>
    <row r="36" spans="2:10">
      <c r="B36" s="99" t="s">
        <v>196</v>
      </c>
      <c r="C36" s="96">
        <v>-110</v>
      </c>
      <c r="D36" s="97"/>
      <c r="E36" s="63">
        <v>0</v>
      </c>
      <c r="F36" s="64">
        <v>39454</v>
      </c>
      <c r="G36" s="64" t="s">
        <v>58</v>
      </c>
      <c r="I36" s="10"/>
      <c r="J36" s="16"/>
    </row>
    <row r="37" spans="2:10">
      <c r="B37" s="99" t="s">
        <v>197</v>
      </c>
      <c r="C37" s="96">
        <v>-250</v>
      </c>
      <c r="D37" s="97"/>
      <c r="E37" s="63">
        <v>0</v>
      </c>
      <c r="F37" s="64">
        <v>39462</v>
      </c>
      <c r="G37" s="64" t="s">
        <v>58</v>
      </c>
    </row>
    <row r="38" spans="2:10" ht="18">
      <c r="B38" s="74" t="s">
        <v>45</v>
      </c>
      <c r="C38" s="101"/>
      <c r="D38" s="98"/>
      <c r="E38" s="101">
        <f>SUM(E3:E37)</f>
        <v>-399.39000000000004</v>
      </c>
      <c r="F38" s="75"/>
      <c r="G38" s="75"/>
    </row>
  </sheetData>
  <sheetProtection selectLockedCells="1" selectUnlockedCells="1"/>
  <pageMargins left="0.40972222222222221" right="0.27986111111111112" top="1" bottom="1" header="0.51180555555555551" footer="0.51180555555555551"/>
  <pageSetup firstPageNumber="0" orientation="landscape" horizontalDpi="300" verticalDpi="300"/>
  <headerFooter alignWithMargins="0"/>
</worksheet>
</file>

<file path=xl/worksheets/sheet25.xml><?xml version="1.0" encoding="utf-8"?>
<worksheet xmlns="http://schemas.openxmlformats.org/spreadsheetml/2006/main" xmlns:r="http://schemas.openxmlformats.org/officeDocument/2006/relationships">
  <sheetPr>
    <pageSetUpPr autoPageBreaks="0"/>
  </sheetPr>
  <dimension ref="B2:P43"/>
  <sheetViews>
    <sheetView showGridLines="0" zoomScale="75" zoomScaleNormal="75" zoomScalePageLayoutView="75" workbookViewId="0">
      <selection activeCell="E35" activeCellId="1" sqref="G13 E35"/>
    </sheetView>
  </sheetViews>
  <sheetFormatPr defaultColWidth="8.85546875" defaultRowHeight="12.75"/>
  <cols>
    <col min="1" max="1" width="2" customWidth="1"/>
    <col min="2" max="2" width="26.85546875" customWidth="1"/>
    <col min="3" max="3" width="21.42578125" customWidth="1"/>
    <col min="4" max="4" width="1.7109375" customWidth="1"/>
    <col min="5" max="5" width="18.28515625" customWidth="1"/>
    <col min="6" max="6" width="10.85546875" customWidth="1"/>
    <col min="7" max="7" width="11" customWidth="1"/>
    <col min="8" max="8" width="1" customWidth="1"/>
    <col min="9" max="9" width="14.28515625" customWidth="1"/>
    <col min="10" max="10" width="6.7109375" customWidth="1"/>
    <col min="11" max="11" width="1.7109375" customWidth="1"/>
    <col min="12" max="12" width="20.7109375" customWidth="1"/>
    <col min="13" max="13" width="6.28515625" customWidth="1"/>
    <col min="14" max="14" width="1.28515625" customWidth="1"/>
    <col min="15" max="15" width="22.28515625" customWidth="1"/>
    <col min="16" max="16" width="15" customWidth="1"/>
  </cols>
  <sheetData>
    <row r="2" spans="2:16" ht="18">
      <c r="B2" s="220" t="s">
        <v>135</v>
      </c>
      <c r="C2" s="220" t="s">
        <v>136</v>
      </c>
      <c r="D2" s="90"/>
      <c r="E2" s="220" t="s">
        <v>0</v>
      </c>
      <c r="F2" s="82" t="s">
        <v>1</v>
      </c>
      <c r="G2" s="82" t="s">
        <v>57</v>
      </c>
      <c r="I2" s="221" t="s">
        <v>180</v>
      </c>
      <c r="J2" s="221" t="s">
        <v>1</v>
      </c>
      <c r="K2" s="104"/>
      <c r="L2" s="221" t="s">
        <v>181</v>
      </c>
      <c r="M2" s="221" t="s">
        <v>1</v>
      </c>
      <c r="O2" s="221" t="s">
        <v>182</v>
      </c>
      <c r="P2" s="221" t="s">
        <v>1</v>
      </c>
    </row>
    <row r="3" spans="2:16">
      <c r="B3" s="71" t="s">
        <v>11</v>
      </c>
      <c r="C3" s="91">
        <v>0</v>
      </c>
      <c r="D3" s="92"/>
      <c r="E3" s="95">
        <f>'Março 08'!E3</f>
        <v>-96.48</v>
      </c>
      <c r="F3" s="61"/>
      <c r="G3" s="61"/>
      <c r="I3" s="10">
        <v>10069.700000000001</v>
      </c>
      <c r="J3" s="16">
        <v>39471</v>
      </c>
      <c r="L3" s="10">
        <v>1381.59</v>
      </c>
      <c r="M3" s="16">
        <v>39471</v>
      </c>
      <c r="O3" s="10">
        <v>400</v>
      </c>
      <c r="P3" s="16">
        <v>39486</v>
      </c>
    </row>
    <row r="4" spans="2:16" ht="12" customHeight="1">
      <c r="B4" s="71" t="s">
        <v>56</v>
      </c>
      <c r="C4" s="91">
        <v>0</v>
      </c>
      <c r="D4" s="92"/>
      <c r="E4" s="95">
        <f>'Março 08'!E4</f>
        <v>-506.48</v>
      </c>
      <c r="F4" s="72"/>
      <c r="G4" s="72"/>
      <c r="I4" s="10">
        <v>10076.17</v>
      </c>
      <c r="J4" s="16">
        <v>39475</v>
      </c>
      <c r="L4" s="10">
        <v>1429.66</v>
      </c>
      <c r="M4" s="16">
        <v>39476</v>
      </c>
    </row>
    <row r="5" spans="2:16" ht="12" customHeight="1">
      <c r="B5" s="71" t="s">
        <v>107</v>
      </c>
      <c r="C5" s="91">
        <v>49</v>
      </c>
      <c r="D5" s="92"/>
      <c r="E5" s="95">
        <v>0</v>
      </c>
      <c r="F5" s="72"/>
      <c r="G5" s="72"/>
      <c r="I5" s="10">
        <v>10079.11</v>
      </c>
      <c r="J5" s="16">
        <v>39476</v>
      </c>
      <c r="L5" s="10">
        <v>1473.25</v>
      </c>
      <c r="M5" s="16">
        <v>39478</v>
      </c>
    </row>
    <row r="6" spans="2:16" ht="12" customHeight="1">
      <c r="B6" s="71" t="s">
        <v>198</v>
      </c>
      <c r="C6" s="91">
        <f>39+555.8</f>
        <v>594.79999999999995</v>
      </c>
      <c r="D6" s="92"/>
      <c r="E6" s="95">
        <v>0</v>
      </c>
      <c r="F6" s="72"/>
      <c r="G6" s="72"/>
      <c r="I6" s="10">
        <v>10082.33</v>
      </c>
      <c r="J6" s="16">
        <v>39477</v>
      </c>
      <c r="L6" s="10">
        <v>1475.45</v>
      </c>
      <c r="M6" s="16">
        <v>39479</v>
      </c>
    </row>
    <row r="7" spans="2:16">
      <c r="B7" s="71" t="s">
        <v>9</v>
      </c>
      <c r="C7" s="93">
        <v>60</v>
      </c>
      <c r="D7" s="94"/>
      <c r="E7" s="95">
        <v>0</v>
      </c>
      <c r="F7" s="72"/>
      <c r="G7" s="72"/>
      <c r="I7" s="10">
        <v>10085.52</v>
      </c>
      <c r="J7" s="16">
        <v>39478</v>
      </c>
      <c r="L7" s="10">
        <v>1463.91</v>
      </c>
      <c r="M7" s="16">
        <v>39484</v>
      </c>
    </row>
    <row r="8" spans="2:16">
      <c r="B8" s="71" t="s">
        <v>5</v>
      </c>
      <c r="C8" s="93">
        <v>2963.2</v>
      </c>
      <c r="D8" s="94"/>
      <c r="E8" s="95">
        <v>0</v>
      </c>
      <c r="F8" s="72"/>
      <c r="G8" s="72"/>
      <c r="I8" s="10">
        <v>10088.67</v>
      </c>
      <c r="J8" s="16">
        <v>39479</v>
      </c>
      <c r="L8" s="10">
        <v>1470.39</v>
      </c>
      <c r="M8" s="16">
        <v>39485</v>
      </c>
    </row>
    <row r="9" spans="2:16">
      <c r="B9" s="71" t="s">
        <v>185</v>
      </c>
      <c r="C9" s="93">
        <v>72</v>
      </c>
      <c r="D9" s="94"/>
      <c r="E9" s="95">
        <v>0</v>
      </c>
      <c r="F9" s="72"/>
      <c r="G9" s="72"/>
      <c r="I9" s="10">
        <v>15091.92</v>
      </c>
      <c r="J9" s="16">
        <v>39484</v>
      </c>
      <c r="L9" s="10">
        <v>1462.91</v>
      </c>
      <c r="M9" s="16">
        <v>39486</v>
      </c>
    </row>
    <row r="10" spans="2:16">
      <c r="B10" s="71" t="s">
        <v>199</v>
      </c>
      <c r="C10" s="93">
        <f>(8000)*(1-0.275)</f>
        <v>5800</v>
      </c>
      <c r="D10" s="94"/>
      <c r="E10" s="95">
        <v>0</v>
      </c>
      <c r="F10" s="72">
        <v>39479</v>
      </c>
      <c r="G10" s="72"/>
      <c r="I10" s="10">
        <v>15096.63</v>
      </c>
      <c r="J10" s="16">
        <v>39485</v>
      </c>
      <c r="L10" s="10">
        <v>1461.85</v>
      </c>
      <c r="M10" s="16">
        <v>39489</v>
      </c>
    </row>
    <row r="11" spans="2:16">
      <c r="B11" s="71" t="s">
        <v>200</v>
      </c>
      <c r="C11" s="93">
        <v>84</v>
      </c>
      <c r="D11" s="94"/>
      <c r="E11" s="95">
        <v>0</v>
      </c>
      <c r="F11" s="72"/>
      <c r="G11" s="72"/>
      <c r="I11" s="10">
        <v>15101.64</v>
      </c>
      <c r="J11" s="16">
        <v>39486</v>
      </c>
      <c r="L11" s="10">
        <v>1461.85</v>
      </c>
      <c r="M11" s="16">
        <v>39490</v>
      </c>
    </row>
    <row r="12" spans="2:16">
      <c r="B12" s="71" t="s">
        <v>186</v>
      </c>
      <c r="C12" s="93">
        <v>38</v>
      </c>
      <c r="D12" s="94"/>
      <c r="E12" s="95">
        <v>0</v>
      </c>
      <c r="F12" s="72"/>
      <c r="G12" s="72"/>
      <c r="I12" s="10">
        <v>15106.27</v>
      </c>
      <c r="J12" s="16">
        <v>39489</v>
      </c>
      <c r="L12" s="10">
        <v>1500.44</v>
      </c>
      <c r="M12" s="16">
        <v>39492</v>
      </c>
    </row>
    <row r="13" spans="2:16">
      <c r="B13" s="99" t="s">
        <v>14</v>
      </c>
      <c r="C13" s="96">
        <v>-15.68</v>
      </c>
      <c r="D13" s="97"/>
      <c r="E13" s="63">
        <v>0</v>
      </c>
      <c r="F13" s="64">
        <v>39475</v>
      </c>
      <c r="G13" s="64" t="s">
        <v>58</v>
      </c>
      <c r="I13" s="10">
        <v>15111.19</v>
      </c>
      <c r="J13" s="16">
        <v>39490</v>
      </c>
      <c r="L13" s="10">
        <v>1507.78</v>
      </c>
      <c r="M13" s="16">
        <v>39493</v>
      </c>
    </row>
    <row r="14" spans="2:16">
      <c r="B14" s="99" t="s">
        <v>201</v>
      </c>
      <c r="C14" s="96">
        <v>-40</v>
      </c>
      <c r="D14" s="97"/>
      <c r="E14" s="63">
        <v>0</v>
      </c>
      <c r="F14" s="64">
        <v>39477</v>
      </c>
      <c r="G14" s="64" t="s">
        <v>58</v>
      </c>
      <c r="I14" s="10">
        <v>15121.08</v>
      </c>
      <c r="J14" s="16">
        <v>39492</v>
      </c>
      <c r="L14" s="10">
        <v>1481.85</v>
      </c>
      <c r="M14" s="16">
        <v>39496</v>
      </c>
    </row>
    <row r="15" spans="2:16">
      <c r="B15" s="99" t="s">
        <v>202</v>
      </c>
      <c r="C15" s="96">
        <v>-300</v>
      </c>
      <c r="D15" s="97"/>
      <c r="E15" s="63">
        <v>0</v>
      </c>
      <c r="F15" s="64">
        <v>39114</v>
      </c>
      <c r="G15" s="64" t="s">
        <v>58</v>
      </c>
      <c r="I15" s="10">
        <v>15125.87</v>
      </c>
      <c r="J15" s="16">
        <v>39493</v>
      </c>
      <c r="L15" s="10">
        <v>1503.37</v>
      </c>
      <c r="M15" s="16">
        <v>39497</v>
      </c>
    </row>
    <row r="16" spans="2:16">
      <c r="B16" s="99" t="s">
        <v>203</v>
      </c>
      <c r="C16" s="96">
        <v>-5000</v>
      </c>
      <c r="D16" s="97"/>
      <c r="E16" s="63">
        <v>0</v>
      </c>
      <c r="F16" s="64">
        <v>39484</v>
      </c>
      <c r="G16" s="64" t="s">
        <v>58</v>
      </c>
      <c r="I16" s="10">
        <v>15130.94</v>
      </c>
      <c r="J16" s="16">
        <v>39496</v>
      </c>
      <c r="L16" s="10">
        <v>1541.29</v>
      </c>
      <c r="M16" s="16">
        <v>39500</v>
      </c>
    </row>
    <row r="17" spans="2:11">
      <c r="B17" s="99" t="s">
        <v>204</v>
      </c>
      <c r="C17" s="96">
        <v>-400</v>
      </c>
      <c r="D17" s="97"/>
      <c r="E17" s="63">
        <v>0</v>
      </c>
      <c r="F17" s="64">
        <v>39484</v>
      </c>
      <c r="G17" s="64" t="s">
        <v>58</v>
      </c>
      <c r="I17" s="10">
        <v>15135.99</v>
      </c>
      <c r="J17" s="16">
        <v>39497</v>
      </c>
    </row>
    <row r="18" spans="2:11">
      <c r="B18" s="99" t="s">
        <v>205</v>
      </c>
      <c r="C18" s="96">
        <v>-99</v>
      </c>
      <c r="D18" s="97"/>
      <c r="E18" s="63">
        <v>0</v>
      </c>
      <c r="F18" s="64">
        <v>39484</v>
      </c>
      <c r="G18" s="64" t="s">
        <v>58</v>
      </c>
      <c r="I18" s="10">
        <v>15140.39</v>
      </c>
      <c r="J18" s="16">
        <v>39498</v>
      </c>
    </row>
    <row r="19" spans="2:11">
      <c r="B19" s="99" t="s">
        <v>106</v>
      </c>
      <c r="C19" s="96">
        <v>-423.67</v>
      </c>
      <c r="D19" s="97"/>
      <c r="E19" s="63">
        <v>0</v>
      </c>
      <c r="F19" s="64">
        <v>39479</v>
      </c>
      <c r="G19" s="64" t="s">
        <v>58</v>
      </c>
      <c r="I19" s="10">
        <v>15150.2</v>
      </c>
      <c r="J19" s="16">
        <v>39500</v>
      </c>
    </row>
    <row r="20" spans="2:11">
      <c r="B20" s="99" t="s">
        <v>206</v>
      </c>
      <c r="C20" s="96">
        <v>-241.58</v>
      </c>
      <c r="D20" s="97"/>
      <c r="E20" s="63">
        <v>0</v>
      </c>
      <c r="F20" s="64">
        <v>39478</v>
      </c>
      <c r="G20" s="64" t="s">
        <v>58</v>
      </c>
      <c r="I20" s="10">
        <v>15154.65</v>
      </c>
      <c r="J20" s="16">
        <v>39503</v>
      </c>
    </row>
    <row r="21" spans="2:11">
      <c r="B21" s="99" t="s">
        <v>110</v>
      </c>
      <c r="C21" s="96">
        <v>-133.91999999999999</v>
      </c>
      <c r="D21" s="97"/>
      <c r="E21" s="63">
        <v>0</v>
      </c>
      <c r="F21" s="64">
        <v>39480</v>
      </c>
      <c r="G21" s="64" t="s">
        <v>58</v>
      </c>
      <c r="I21" s="10">
        <v>12757.69</v>
      </c>
      <c r="J21" s="16">
        <v>39504</v>
      </c>
    </row>
    <row r="22" spans="2:11">
      <c r="B22" s="99" t="s">
        <v>88</v>
      </c>
      <c r="C22" s="96">
        <v>-46</v>
      </c>
      <c r="D22" s="97"/>
      <c r="E22" s="63">
        <v>0</v>
      </c>
      <c r="F22" s="64" t="s">
        <v>207</v>
      </c>
      <c r="G22" s="64" t="s">
        <v>58</v>
      </c>
      <c r="I22" s="10"/>
      <c r="J22" s="16"/>
    </row>
    <row r="23" spans="2:11">
      <c r="B23" s="99" t="s">
        <v>190</v>
      </c>
      <c r="C23" s="96">
        <v>-21</v>
      </c>
      <c r="D23" s="97"/>
      <c r="E23" s="63">
        <v>0</v>
      </c>
      <c r="F23" s="64">
        <v>39489</v>
      </c>
      <c r="G23" s="64" t="s">
        <v>58</v>
      </c>
      <c r="I23" s="10"/>
      <c r="J23" s="16"/>
    </row>
    <row r="24" spans="2:11">
      <c r="B24" s="99" t="s">
        <v>208</v>
      </c>
      <c r="C24" s="96">
        <v>-120</v>
      </c>
      <c r="D24" s="97"/>
      <c r="E24" s="63">
        <v>0</v>
      </c>
      <c r="F24" s="64">
        <v>39478</v>
      </c>
      <c r="G24" s="64" t="s">
        <v>58</v>
      </c>
    </row>
    <row r="25" spans="2:11">
      <c r="B25" s="99" t="s">
        <v>103</v>
      </c>
      <c r="C25" s="96">
        <v>-687.06</v>
      </c>
      <c r="D25" s="97"/>
      <c r="E25" s="63">
        <v>0</v>
      </c>
      <c r="F25" s="64">
        <v>39479</v>
      </c>
      <c r="G25" s="64" t="s">
        <v>58</v>
      </c>
      <c r="J25" s="1"/>
    </row>
    <row r="26" spans="2:11">
      <c r="B26" s="99" t="s">
        <v>154</v>
      </c>
      <c r="C26" s="96">
        <v>-9.5</v>
      </c>
      <c r="D26" s="97"/>
      <c r="E26" s="63">
        <v>0</v>
      </c>
      <c r="F26" s="64">
        <v>39488</v>
      </c>
      <c r="G26" s="64" t="s">
        <v>58</v>
      </c>
      <c r="I26" s="1"/>
    </row>
    <row r="27" spans="2:11" ht="23.25">
      <c r="B27" s="99" t="s">
        <v>155</v>
      </c>
      <c r="C27" s="96">
        <v>-14</v>
      </c>
      <c r="D27" s="97"/>
      <c r="E27" s="63">
        <v>0</v>
      </c>
      <c r="F27" s="64">
        <v>39488</v>
      </c>
      <c r="G27" s="64" t="s">
        <v>58</v>
      </c>
      <c r="I27" s="105" t="s">
        <v>209</v>
      </c>
      <c r="J27" s="221" t="s">
        <v>1</v>
      </c>
    </row>
    <row r="28" spans="2:11">
      <c r="B28" s="99" t="s">
        <v>96</v>
      </c>
      <c r="C28" s="96">
        <v>-88.92</v>
      </c>
      <c r="D28" s="97"/>
      <c r="E28" s="63">
        <v>0</v>
      </c>
      <c r="F28" s="64">
        <v>39482</v>
      </c>
      <c r="G28" s="64" t="s">
        <v>58</v>
      </c>
      <c r="I28" s="10">
        <v>108.97</v>
      </c>
      <c r="J28" s="16">
        <v>39492</v>
      </c>
      <c r="K28" t="s">
        <v>58</v>
      </c>
    </row>
    <row r="29" spans="2:11">
      <c r="B29" s="99" t="s">
        <v>210</v>
      </c>
      <c r="C29" s="96">
        <v>-80</v>
      </c>
      <c r="D29" s="97"/>
      <c r="E29" s="63">
        <v>0</v>
      </c>
      <c r="F29" s="64">
        <v>39494</v>
      </c>
      <c r="G29" s="64" t="s">
        <v>58</v>
      </c>
      <c r="I29" s="10">
        <v>108.97</v>
      </c>
      <c r="J29" s="16">
        <v>39521</v>
      </c>
    </row>
    <row r="30" spans="2:11">
      <c r="B30" s="99" t="s">
        <v>29</v>
      </c>
      <c r="C30" s="96">
        <v>-262.01</v>
      </c>
      <c r="D30" s="97"/>
      <c r="E30" s="63">
        <v>0</v>
      </c>
      <c r="F30" s="64">
        <v>39485</v>
      </c>
      <c r="G30" s="64" t="s">
        <v>58</v>
      </c>
      <c r="I30" s="10">
        <v>108.97</v>
      </c>
      <c r="J30" s="16">
        <v>39552</v>
      </c>
    </row>
    <row r="31" spans="2:11">
      <c r="B31" s="99" t="s">
        <v>157</v>
      </c>
      <c r="C31" s="96">
        <v>-8.99</v>
      </c>
      <c r="D31" s="97"/>
      <c r="E31" s="63">
        <v>0</v>
      </c>
      <c r="F31" s="64">
        <v>39485</v>
      </c>
      <c r="G31" s="64" t="s">
        <v>58</v>
      </c>
      <c r="I31" s="10">
        <v>76.3</v>
      </c>
      <c r="J31" s="16">
        <v>39582</v>
      </c>
    </row>
    <row r="32" spans="2:11">
      <c r="B32" s="99" t="s">
        <v>211</v>
      </c>
      <c r="C32" s="96">
        <v>-108.97</v>
      </c>
      <c r="D32" s="97"/>
      <c r="E32" s="63">
        <v>0</v>
      </c>
      <c r="F32" s="64">
        <v>39492</v>
      </c>
      <c r="G32" s="64"/>
      <c r="I32" s="10">
        <v>76.3</v>
      </c>
      <c r="J32" s="16">
        <v>39613</v>
      </c>
    </row>
    <row r="33" spans="2:10">
      <c r="B33" s="99" t="s">
        <v>41</v>
      </c>
      <c r="C33" s="96">
        <v>-48.22</v>
      </c>
      <c r="D33" s="97"/>
      <c r="E33" s="63">
        <v>0</v>
      </c>
      <c r="F33" s="64">
        <v>39488</v>
      </c>
      <c r="G33" s="64"/>
      <c r="I33" s="10">
        <v>76.3</v>
      </c>
      <c r="J33" s="16">
        <v>39643</v>
      </c>
    </row>
    <row r="34" spans="2:10">
      <c r="B34" s="99" t="s">
        <v>98</v>
      </c>
      <c r="C34" s="96">
        <v>-97.07</v>
      </c>
      <c r="D34" s="97"/>
      <c r="E34" s="63">
        <v>0</v>
      </c>
      <c r="F34" s="64">
        <v>39490</v>
      </c>
      <c r="G34" s="64"/>
    </row>
    <row r="35" spans="2:10">
      <c r="B35" s="99" t="s">
        <v>175</v>
      </c>
      <c r="C35" s="96">
        <v>-21</v>
      </c>
      <c r="D35" s="97"/>
      <c r="E35" s="63">
        <v>0</v>
      </c>
      <c r="F35" s="64">
        <v>39488</v>
      </c>
      <c r="G35" s="64" t="s">
        <v>58</v>
      </c>
    </row>
    <row r="36" spans="2:10">
      <c r="B36" s="99" t="s">
        <v>171</v>
      </c>
      <c r="C36" s="96">
        <v>-29.61</v>
      </c>
      <c r="D36" s="97"/>
      <c r="E36" s="63">
        <v>0</v>
      </c>
      <c r="F36" s="64">
        <v>39488</v>
      </c>
      <c r="G36" s="64" t="s">
        <v>58</v>
      </c>
    </row>
    <row r="37" spans="2:10">
      <c r="B37" s="99" t="s">
        <v>69</v>
      </c>
      <c r="C37" s="96">
        <v>-21</v>
      </c>
      <c r="D37" s="97"/>
      <c r="E37" s="63">
        <v>0</v>
      </c>
      <c r="F37" s="64">
        <v>39498</v>
      </c>
      <c r="G37" s="64" t="s">
        <v>58</v>
      </c>
    </row>
    <row r="38" spans="2:10">
      <c r="B38" s="99" t="s">
        <v>69</v>
      </c>
      <c r="C38" s="96">
        <v>-21</v>
      </c>
      <c r="D38" s="97"/>
      <c r="E38" s="63">
        <v>0</v>
      </c>
      <c r="F38" s="64">
        <v>39500</v>
      </c>
      <c r="G38" s="64" t="s">
        <v>58</v>
      </c>
    </row>
    <row r="39" spans="2:10">
      <c r="B39" s="99" t="s">
        <v>212</v>
      </c>
      <c r="C39" s="96">
        <v>-2374.06</v>
      </c>
      <c r="D39" s="97"/>
      <c r="E39" s="63">
        <v>0</v>
      </c>
      <c r="F39" s="64">
        <v>39503</v>
      </c>
      <c r="G39" s="64" t="s">
        <v>58</v>
      </c>
    </row>
    <row r="40" spans="2:10">
      <c r="B40" s="99" t="s">
        <v>213</v>
      </c>
      <c r="C40" s="96">
        <v>2375</v>
      </c>
      <c r="D40" s="97"/>
      <c r="E40" s="63">
        <v>0</v>
      </c>
      <c r="F40" s="64">
        <v>39503</v>
      </c>
      <c r="G40" s="64" t="s">
        <v>58</v>
      </c>
      <c r="H40" s="89"/>
    </row>
    <row r="41" spans="2:10">
      <c r="B41" s="99" t="s">
        <v>69</v>
      </c>
      <c r="C41" s="96">
        <v>-28</v>
      </c>
      <c r="D41" s="97"/>
      <c r="E41" s="63">
        <v>0</v>
      </c>
      <c r="F41" s="64"/>
      <c r="G41" s="64" t="s">
        <v>58</v>
      </c>
    </row>
    <row r="42" spans="2:10">
      <c r="B42" s="99" t="s">
        <v>77</v>
      </c>
      <c r="C42" s="96">
        <v>-215.37</v>
      </c>
      <c r="D42" s="97"/>
      <c r="E42" s="63">
        <v>0</v>
      </c>
      <c r="F42" s="64">
        <v>39498</v>
      </c>
      <c r="G42" s="64" t="s">
        <v>58</v>
      </c>
    </row>
    <row r="43" spans="2:10" ht="18">
      <c r="B43" s="74" t="s">
        <v>45</v>
      </c>
      <c r="C43" s="101"/>
      <c r="D43" s="98"/>
      <c r="E43" s="101">
        <f>SUM(E3:E42)</f>
        <v>-602.96</v>
      </c>
      <c r="F43" s="75"/>
      <c r="G43" s="75"/>
    </row>
  </sheetData>
  <sheetProtection selectLockedCells="1" selectUnlockedCells="1"/>
  <pageMargins left="0.40972222222222221" right="0.27986111111111112" top="1" bottom="1" header="0.51180555555555551" footer="0.51180555555555551"/>
  <pageSetup firstPageNumber="0" orientation="landscape" horizontalDpi="300" verticalDpi="300"/>
  <headerFooter alignWithMargins="0"/>
</worksheet>
</file>

<file path=xl/worksheets/sheet26.xml><?xml version="1.0" encoding="utf-8"?>
<worksheet xmlns="http://schemas.openxmlformats.org/spreadsheetml/2006/main" xmlns:r="http://schemas.openxmlformats.org/officeDocument/2006/relationships">
  <sheetPr>
    <pageSetUpPr autoPageBreaks="0"/>
  </sheetPr>
  <dimension ref="B1:T49"/>
  <sheetViews>
    <sheetView showGridLines="0" zoomScale="75" zoomScaleNormal="75" zoomScalePageLayoutView="75" workbookViewId="0">
      <selection activeCell="E1" activeCellId="1" sqref="G13 E1"/>
    </sheetView>
  </sheetViews>
  <sheetFormatPr defaultColWidth="8.85546875" defaultRowHeight="12.75"/>
  <cols>
    <col min="1" max="1" width="2" customWidth="1"/>
    <col min="2" max="2" width="26.8554687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4.85546875" customWidth="1"/>
    <col min="13" max="13" width="12.140625" customWidth="1"/>
    <col min="14" max="14" width="1.85546875" customWidth="1"/>
    <col min="15" max="15" width="12.140625" customWidth="1"/>
    <col min="16" max="16" width="10.42578125" customWidth="1"/>
    <col min="17" max="17" width="6.42578125" customWidth="1"/>
    <col min="18" max="18" width="37.42578125" customWidth="1"/>
    <col min="19" max="19" width="10.85546875" customWidth="1"/>
    <col min="20" max="20" width="7.28515625" customWidth="1"/>
  </cols>
  <sheetData>
    <row r="1" spans="2:20">
      <c r="E1" s="106"/>
    </row>
    <row r="2" spans="2:20" ht="18">
      <c r="B2" s="220" t="s">
        <v>135</v>
      </c>
      <c r="C2" s="220" t="s">
        <v>136</v>
      </c>
      <c r="D2" s="90"/>
      <c r="E2" s="220" t="s">
        <v>0</v>
      </c>
      <c r="F2" s="82" t="s">
        <v>1</v>
      </c>
      <c r="G2" s="82" t="s">
        <v>57</v>
      </c>
      <c r="I2" s="221" t="s">
        <v>214</v>
      </c>
      <c r="J2" s="221" t="s">
        <v>1</v>
      </c>
      <c r="L2" s="221" t="s">
        <v>102</v>
      </c>
      <c r="M2" s="221" t="s">
        <v>1</v>
      </c>
      <c r="O2" s="580" t="s">
        <v>215</v>
      </c>
      <c r="P2" s="580"/>
      <c r="Q2" s="580"/>
      <c r="R2" s="580"/>
      <c r="S2" s="580"/>
      <c r="T2" s="580"/>
    </row>
    <row r="3" spans="2:20">
      <c r="B3" s="71" t="s">
        <v>11</v>
      </c>
      <c r="C3" s="91">
        <v>0</v>
      </c>
      <c r="D3" s="92"/>
      <c r="E3" s="95">
        <v>-96.48</v>
      </c>
      <c r="F3" s="61"/>
      <c r="G3" s="61"/>
      <c r="I3" s="10">
        <v>1938.04</v>
      </c>
      <c r="J3" s="16">
        <v>39476</v>
      </c>
      <c r="L3" s="10">
        <v>3000</v>
      </c>
      <c r="M3" s="16">
        <v>39512</v>
      </c>
      <c r="O3" s="581" t="s">
        <v>216</v>
      </c>
      <c r="P3" s="581"/>
      <c r="Q3" s="581"/>
      <c r="R3" s="582" t="s">
        <v>217</v>
      </c>
      <c r="S3" s="582"/>
      <c r="T3" s="582"/>
    </row>
    <row r="4" spans="2:20" ht="12" customHeight="1">
      <c r="B4" s="71" t="s">
        <v>56</v>
      </c>
      <c r="C4" s="91">
        <v>0</v>
      </c>
      <c r="D4" s="92"/>
      <c r="E4" s="95">
        <v>-506.48</v>
      </c>
      <c r="F4" s="72"/>
      <c r="G4" s="72"/>
      <c r="I4" s="10">
        <v>1938.04</v>
      </c>
      <c r="J4" s="16">
        <v>39518</v>
      </c>
      <c r="L4" s="10">
        <v>3000.8</v>
      </c>
      <c r="M4" s="16">
        <v>39513</v>
      </c>
      <c r="O4" s="107" t="s">
        <v>218</v>
      </c>
      <c r="P4" s="108" t="s">
        <v>219</v>
      </c>
      <c r="Q4" s="109" t="s">
        <v>1</v>
      </c>
      <c r="R4" s="107" t="s">
        <v>218</v>
      </c>
      <c r="S4" s="108" t="s">
        <v>219</v>
      </c>
      <c r="T4" s="109" t="s">
        <v>1</v>
      </c>
    </row>
    <row r="5" spans="2:20" ht="12" customHeight="1">
      <c r="B5" s="71" t="s">
        <v>107</v>
      </c>
      <c r="C5" s="91">
        <v>49</v>
      </c>
      <c r="D5" s="92"/>
      <c r="E5" s="95">
        <v>0</v>
      </c>
      <c r="F5" s="72"/>
      <c r="G5" s="72"/>
      <c r="I5" s="10">
        <v>1959.83</v>
      </c>
      <c r="J5" s="16">
        <v>39519</v>
      </c>
      <c r="L5" s="10">
        <v>3001.5</v>
      </c>
      <c r="M5" s="16">
        <v>39514</v>
      </c>
      <c r="O5" s="110" t="s">
        <v>220</v>
      </c>
      <c r="P5" s="111">
        <v>0</v>
      </c>
      <c r="Q5" s="112">
        <v>39520</v>
      </c>
      <c r="R5" s="110" t="s">
        <v>221</v>
      </c>
      <c r="S5" s="111">
        <v>31.05</v>
      </c>
      <c r="T5" s="113">
        <v>39480</v>
      </c>
    </row>
    <row r="6" spans="2:20">
      <c r="B6" s="71" t="s">
        <v>9</v>
      </c>
      <c r="C6" s="93">
        <v>120</v>
      </c>
      <c r="D6" s="94"/>
      <c r="E6" s="95">
        <v>0</v>
      </c>
      <c r="F6" s="72"/>
      <c r="G6" s="72"/>
      <c r="I6" s="10">
        <v>1985.53</v>
      </c>
      <c r="J6" s="16">
        <v>39520</v>
      </c>
      <c r="L6" s="10">
        <v>3002.23</v>
      </c>
      <c r="M6" s="16">
        <v>39517</v>
      </c>
      <c r="O6" s="110" t="s">
        <v>222</v>
      </c>
      <c r="P6" s="111">
        <v>184.52</v>
      </c>
      <c r="Q6" s="112">
        <v>39520</v>
      </c>
      <c r="R6" s="110" t="s">
        <v>223</v>
      </c>
      <c r="S6" s="111">
        <v>60</v>
      </c>
      <c r="T6" s="113">
        <v>39498</v>
      </c>
    </row>
    <row r="7" spans="2:20">
      <c r="B7" s="71" t="s">
        <v>5</v>
      </c>
      <c r="C7" s="93">
        <v>3626.65</v>
      </c>
      <c r="D7" s="94"/>
      <c r="E7" s="95">
        <v>0</v>
      </c>
      <c r="F7" s="72"/>
      <c r="G7" s="72"/>
      <c r="I7" s="10">
        <v>1942.71</v>
      </c>
      <c r="J7" s="16">
        <v>39531</v>
      </c>
      <c r="L7" s="10">
        <v>3002.99</v>
      </c>
      <c r="M7" s="16">
        <v>39518</v>
      </c>
      <c r="O7" s="110"/>
      <c r="P7" s="111"/>
      <c r="Q7" s="114"/>
      <c r="R7" s="110" t="s">
        <v>224</v>
      </c>
      <c r="S7" s="111">
        <v>56</v>
      </c>
      <c r="T7" s="113">
        <v>39502</v>
      </c>
    </row>
    <row r="8" spans="2:20">
      <c r="B8" s="71" t="s">
        <v>225</v>
      </c>
      <c r="C8" s="93">
        <v>6498.62</v>
      </c>
      <c r="D8" s="94"/>
      <c r="E8" s="95">
        <v>0</v>
      </c>
      <c r="F8" s="72"/>
      <c r="G8" s="72"/>
      <c r="I8" s="10">
        <v>1958.95</v>
      </c>
      <c r="J8" s="16">
        <v>39534</v>
      </c>
      <c r="L8" s="10">
        <v>3003.67</v>
      </c>
      <c r="M8" s="16">
        <v>39519</v>
      </c>
      <c r="O8" s="110"/>
      <c r="P8" s="111"/>
      <c r="Q8" s="114"/>
      <c r="R8" s="110" t="s">
        <v>226</v>
      </c>
      <c r="S8" s="111">
        <v>88.54</v>
      </c>
      <c r="T8" s="113">
        <v>39507</v>
      </c>
    </row>
    <row r="9" spans="2:20">
      <c r="B9" s="71" t="s">
        <v>162</v>
      </c>
      <c r="C9" s="93">
        <v>39</v>
      </c>
      <c r="D9" s="94"/>
      <c r="E9" s="95">
        <v>0</v>
      </c>
      <c r="F9" s="72"/>
      <c r="G9" s="72"/>
      <c r="I9" s="10"/>
      <c r="J9" s="16"/>
      <c r="L9" s="10">
        <v>3004.32</v>
      </c>
      <c r="M9" s="16">
        <v>39520</v>
      </c>
      <c r="O9" s="110"/>
      <c r="P9" s="111"/>
      <c r="Q9" s="114"/>
      <c r="R9" s="110" t="s">
        <v>227</v>
      </c>
      <c r="S9" s="111">
        <v>77</v>
      </c>
      <c r="T9" s="113">
        <v>39508</v>
      </c>
    </row>
    <row r="10" spans="2:20">
      <c r="B10" s="71" t="s">
        <v>228</v>
      </c>
      <c r="C10" s="93">
        <v>600</v>
      </c>
      <c r="D10" s="94"/>
      <c r="E10" s="95">
        <v>0</v>
      </c>
      <c r="F10" s="72"/>
      <c r="G10" s="72"/>
      <c r="I10" s="10"/>
      <c r="J10" s="16"/>
      <c r="L10" s="10">
        <v>2405.04</v>
      </c>
      <c r="M10" s="16">
        <v>39524</v>
      </c>
      <c r="O10" s="110"/>
      <c r="P10" s="111"/>
      <c r="Q10" s="114"/>
      <c r="R10" s="110" t="s">
        <v>229</v>
      </c>
      <c r="S10" s="111">
        <v>91.5</v>
      </c>
      <c r="T10" s="113">
        <v>39508</v>
      </c>
    </row>
    <row r="11" spans="2:20">
      <c r="B11" s="71" t="s">
        <v>230</v>
      </c>
      <c r="C11" s="93">
        <v>400</v>
      </c>
      <c r="D11" s="94"/>
      <c r="E11" s="95">
        <v>0</v>
      </c>
      <c r="F11" s="72"/>
      <c r="G11" s="72"/>
      <c r="I11" s="10"/>
      <c r="J11" s="16"/>
      <c r="L11" s="10">
        <v>2004.51</v>
      </c>
      <c r="M11" s="16">
        <v>39524</v>
      </c>
      <c r="O11" s="110"/>
      <c r="P11" s="111"/>
      <c r="Q11" s="114"/>
      <c r="R11" s="110" t="s">
        <v>231</v>
      </c>
      <c r="S11" s="111">
        <v>88.58</v>
      </c>
      <c r="T11" s="113">
        <v>39509</v>
      </c>
    </row>
    <row r="12" spans="2:20">
      <c r="B12" s="99" t="s">
        <v>65</v>
      </c>
      <c r="C12" s="96">
        <v>-40</v>
      </c>
      <c r="D12" s="97"/>
      <c r="E12" s="63">
        <v>0</v>
      </c>
      <c r="F12" s="64">
        <v>39504</v>
      </c>
      <c r="G12" s="64" t="s">
        <v>58</v>
      </c>
      <c r="I12" s="10"/>
      <c r="J12" s="16"/>
      <c r="L12" s="10">
        <v>2005.04</v>
      </c>
      <c r="M12" s="16">
        <v>39525</v>
      </c>
      <c r="O12" s="110"/>
      <c r="P12" s="111"/>
      <c r="Q12" s="114"/>
      <c r="R12" s="110" t="s">
        <v>232</v>
      </c>
      <c r="S12" s="111">
        <v>70.400000000000006</v>
      </c>
      <c r="T12" s="113">
        <v>39509</v>
      </c>
    </row>
    <row r="13" spans="2:20">
      <c r="B13" s="99" t="s">
        <v>233</v>
      </c>
      <c r="C13" s="96">
        <v>-85</v>
      </c>
      <c r="D13" s="97"/>
      <c r="E13" s="63">
        <v>0</v>
      </c>
      <c r="F13" s="64">
        <v>39506</v>
      </c>
      <c r="G13" s="64" t="s">
        <v>58</v>
      </c>
      <c r="I13" s="10"/>
      <c r="J13" s="16"/>
      <c r="L13" s="10">
        <v>2005.53</v>
      </c>
      <c r="M13" s="16">
        <v>39526</v>
      </c>
      <c r="O13" s="110"/>
      <c r="P13" s="111"/>
      <c r="Q13" s="114"/>
      <c r="R13" s="110" t="s">
        <v>234</v>
      </c>
      <c r="S13" s="111">
        <v>46.9</v>
      </c>
      <c r="T13" s="113">
        <v>39514</v>
      </c>
    </row>
    <row r="14" spans="2:20">
      <c r="B14" s="99" t="s">
        <v>235</v>
      </c>
      <c r="C14" s="96">
        <v>-190</v>
      </c>
      <c r="D14" s="97"/>
      <c r="E14" s="63">
        <v>0</v>
      </c>
      <c r="F14" s="64">
        <v>39506</v>
      </c>
      <c r="G14" s="64" t="s">
        <v>58</v>
      </c>
      <c r="I14" s="10"/>
      <c r="J14" s="16"/>
      <c r="L14" s="10">
        <v>2006</v>
      </c>
      <c r="M14" s="16">
        <v>39527</v>
      </c>
      <c r="O14" s="110"/>
      <c r="P14" s="111"/>
      <c r="Q14" s="114"/>
      <c r="R14" s="110" t="s">
        <v>236</v>
      </c>
      <c r="S14" s="111">
        <v>65.97</v>
      </c>
      <c r="T14" s="113">
        <v>39515</v>
      </c>
    </row>
    <row r="15" spans="2:20">
      <c r="B15" s="99" t="s">
        <v>237</v>
      </c>
      <c r="C15" s="96">
        <v>-16850.330000000002</v>
      </c>
      <c r="D15" s="97"/>
      <c r="E15" s="63">
        <v>0</v>
      </c>
      <c r="F15" s="64">
        <v>39506</v>
      </c>
      <c r="G15" s="64" t="s">
        <v>58</v>
      </c>
      <c r="I15" s="10"/>
      <c r="J15" s="16"/>
      <c r="L15" s="10">
        <v>2006.49</v>
      </c>
      <c r="M15" s="16">
        <v>39531</v>
      </c>
      <c r="O15" s="110"/>
      <c r="P15" s="111"/>
      <c r="Q15" s="114"/>
      <c r="R15" s="110" t="s">
        <v>238</v>
      </c>
      <c r="S15" s="111">
        <v>50</v>
      </c>
      <c r="T15" s="113">
        <v>39516</v>
      </c>
    </row>
    <row r="16" spans="2:20">
      <c r="B16" s="99" t="s">
        <v>239</v>
      </c>
      <c r="C16" s="96">
        <v>12728.21</v>
      </c>
      <c r="D16" s="97"/>
      <c r="E16" s="63">
        <v>0</v>
      </c>
      <c r="F16" s="64">
        <v>39506</v>
      </c>
      <c r="G16" s="64" t="s">
        <v>58</v>
      </c>
      <c r="I16" s="10"/>
      <c r="J16" s="16"/>
      <c r="L16" s="10">
        <v>2006.98</v>
      </c>
      <c r="M16" s="16">
        <v>39532</v>
      </c>
      <c r="O16" s="110"/>
      <c r="P16" s="111"/>
      <c r="Q16" s="114"/>
      <c r="R16" s="110" t="s">
        <v>240</v>
      </c>
      <c r="S16" s="111">
        <v>146.74</v>
      </c>
      <c r="T16" s="113">
        <v>39517</v>
      </c>
    </row>
    <row r="17" spans="2:20">
      <c r="B17" s="99" t="s">
        <v>14</v>
      </c>
      <c r="C17" s="96">
        <v>-16.649999999999999</v>
      </c>
      <c r="D17" s="97"/>
      <c r="E17" s="63">
        <v>0</v>
      </c>
      <c r="F17" s="64">
        <v>39506</v>
      </c>
      <c r="G17" s="64" t="s">
        <v>58</v>
      </c>
      <c r="I17" s="10"/>
      <c r="J17" s="16"/>
      <c r="L17" s="10">
        <v>2007.54</v>
      </c>
      <c r="M17" s="16">
        <v>39533</v>
      </c>
      <c r="O17" s="110"/>
      <c r="P17" s="111"/>
      <c r="Q17" s="114"/>
      <c r="R17" s="110" t="s">
        <v>241</v>
      </c>
      <c r="S17" s="111">
        <v>49</v>
      </c>
      <c r="T17" s="113">
        <v>39530</v>
      </c>
    </row>
    <row r="18" spans="2:20">
      <c r="B18" s="99" t="s">
        <v>242</v>
      </c>
      <c r="C18" s="96">
        <v>-430</v>
      </c>
      <c r="D18" s="97"/>
      <c r="E18" s="63">
        <v>0</v>
      </c>
      <c r="F18" s="64">
        <v>39508</v>
      </c>
      <c r="G18" s="64" t="s">
        <v>58</v>
      </c>
      <c r="L18" s="10">
        <v>2008.04</v>
      </c>
      <c r="M18" s="16">
        <v>39534</v>
      </c>
      <c r="O18" s="115"/>
      <c r="P18" s="116"/>
      <c r="Q18" s="117"/>
      <c r="R18" s="115"/>
      <c r="S18" s="116"/>
      <c r="T18" s="118"/>
    </row>
    <row r="19" spans="2:20">
      <c r="B19" s="99" t="s">
        <v>93</v>
      </c>
      <c r="C19" s="96">
        <v>-134</v>
      </c>
      <c r="D19" s="97"/>
      <c r="E19" s="63">
        <v>0</v>
      </c>
      <c r="F19" s="64">
        <v>39508</v>
      </c>
      <c r="G19" s="64" t="s">
        <v>58</v>
      </c>
      <c r="L19" s="10">
        <v>2008.58</v>
      </c>
      <c r="M19" s="16">
        <v>39535</v>
      </c>
      <c r="O19" s="119" t="s">
        <v>45</v>
      </c>
      <c r="P19" s="120">
        <f>SUM(P5:P18)</f>
        <v>184.52</v>
      </c>
      <c r="Q19" s="121"/>
      <c r="R19" s="119" t="s">
        <v>45</v>
      </c>
      <c r="S19" s="122">
        <f>SUM(S5:S18)</f>
        <v>921.68000000000006</v>
      </c>
      <c r="T19" s="123"/>
    </row>
    <row r="20" spans="2:20">
      <c r="B20" s="99" t="s">
        <v>110</v>
      </c>
      <c r="C20" s="96">
        <v>-151.21</v>
      </c>
      <c r="D20" s="97"/>
      <c r="E20" s="63">
        <v>0</v>
      </c>
      <c r="F20" s="64">
        <v>39509</v>
      </c>
      <c r="G20" s="64" t="s">
        <v>58</v>
      </c>
      <c r="L20" s="10"/>
      <c r="M20" s="16"/>
    </row>
    <row r="21" spans="2:20">
      <c r="B21" s="99" t="s">
        <v>88</v>
      </c>
      <c r="C21" s="96">
        <v>-50</v>
      </c>
      <c r="D21" s="97"/>
      <c r="E21" s="63">
        <v>0</v>
      </c>
      <c r="F21" s="64" t="s">
        <v>207</v>
      </c>
      <c r="G21" s="64" t="s">
        <v>58</v>
      </c>
      <c r="L21" s="10"/>
      <c r="M21" s="16"/>
    </row>
    <row r="22" spans="2:20">
      <c r="B22" s="99" t="s">
        <v>208</v>
      </c>
      <c r="C22" s="96">
        <v>-120</v>
      </c>
      <c r="D22" s="97"/>
      <c r="E22" s="63">
        <v>0</v>
      </c>
      <c r="F22" s="64">
        <v>39508</v>
      </c>
      <c r="G22" s="64" t="s">
        <v>58</v>
      </c>
    </row>
    <row r="23" spans="2:20">
      <c r="B23" s="99" t="s">
        <v>103</v>
      </c>
      <c r="C23" s="96">
        <v>-945.44</v>
      </c>
      <c r="D23" s="97"/>
      <c r="E23" s="63">
        <v>0</v>
      </c>
      <c r="F23" s="64">
        <v>39508</v>
      </c>
      <c r="G23" s="64" t="s">
        <v>58</v>
      </c>
    </row>
    <row r="24" spans="2:20">
      <c r="B24" s="99" t="s">
        <v>154</v>
      </c>
      <c r="C24" s="96">
        <v>-9.5</v>
      </c>
      <c r="D24" s="97"/>
      <c r="E24" s="63">
        <v>0</v>
      </c>
      <c r="F24" s="64">
        <v>39517</v>
      </c>
      <c r="G24" s="64" t="s">
        <v>58</v>
      </c>
    </row>
    <row r="25" spans="2:20">
      <c r="B25" s="99" t="s">
        <v>155</v>
      </c>
      <c r="C25" s="96">
        <v>-14</v>
      </c>
      <c r="D25" s="97"/>
      <c r="E25" s="63">
        <v>0</v>
      </c>
      <c r="F25" s="64">
        <v>39517</v>
      </c>
      <c r="G25" s="64" t="s">
        <v>58</v>
      </c>
      <c r="I25" s="1"/>
      <c r="J25" s="1"/>
    </row>
    <row r="26" spans="2:20">
      <c r="B26" s="99" t="s">
        <v>96</v>
      </c>
      <c r="C26" s="96">
        <v>-82.5</v>
      </c>
      <c r="D26" s="97"/>
      <c r="E26" s="63">
        <v>0</v>
      </c>
      <c r="F26" s="64">
        <v>39482</v>
      </c>
      <c r="G26" s="64" t="s">
        <v>58</v>
      </c>
    </row>
    <row r="27" spans="2:20" ht="30.75" customHeight="1">
      <c r="B27" s="99" t="s">
        <v>29</v>
      </c>
      <c r="C27" s="96">
        <v>-262.01</v>
      </c>
      <c r="D27" s="97"/>
      <c r="E27" s="63">
        <v>0</v>
      </c>
      <c r="F27" s="64">
        <v>39514</v>
      </c>
      <c r="G27" s="64" t="s">
        <v>58</v>
      </c>
      <c r="I27" s="105" t="s">
        <v>209</v>
      </c>
      <c r="J27" s="221" t="s">
        <v>1</v>
      </c>
    </row>
    <row r="28" spans="2:20">
      <c r="B28" s="99" t="s">
        <v>157</v>
      </c>
      <c r="C28" s="96">
        <v>-26.1</v>
      </c>
      <c r="D28" s="97"/>
      <c r="E28" s="63">
        <v>0</v>
      </c>
      <c r="F28" s="64">
        <v>39514</v>
      </c>
      <c r="G28" s="64" t="s">
        <v>58</v>
      </c>
      <c r="I28" s="124">
        <v>108.97</v>
      </c>
      <c r="J28" s="125">
        <v>39492</v>
      </c>
      <c r="K28" t="s">
        <v>58</v>
      </c>
    </row>
    <row r="29" spans="2:20">
      <c r="B29" s="99" t="s">
        <v>243</v>
      </c>
      <c r="C29" s="96">
        <v>-79</v>
      </c>
      <c r="D29" s="97"/>
      <c r="E29" s="63">
        <v>0</v>
      </c>
      <c r="F29" s="64">
        <v>39514</v>
      </c>
      <c r="G29" s="64" t="s">
        <v>58</v>
      </c>
      <c r="I29" s="10">
        <v>108.97</v>
      </c>
      <c r="J29" s="16">
        <v>39521</v>
      </c>
    </row>
    <row r="30" spans="2:20">
      <c r="B30" s="99" t="s">
        <v>244</v>
      </c>
      <c r="C30" s="96">
        <v>-39</v>
      </c>
      <c r="D30" s="97"/>
      <c r="E30" s="63">
        <v>0</v>
      </c>
      <c r="F30" s="64">
        <v>39514</v>
      </c>
      <c r="G30" s="64" t="s">
        <v>58</v>
      </c>
      <c r="I30" s="10">
        <v>108.97</v>
      </c>
      <c r="J30" s="16">
        <v>39552</v>
      </c>
      <c r="O30" s="52"/>
    </row>
    <row r="31" spans="2:20">
      <c r="B31" s="99" t="s">
        <v>102</v>
      </c>
      <c r="C31" s="96">
        <v>-3000</v>
      </c>
      <c r="D31" s="97"/>
      <c r="E31" s="63">
        <v>0</v>
      </c>
      <c r="F31" s="64">
        <v>39512</v>
      </c>
      <c r="G31" s="64" t="s">
        <v>58</v>
      </c>
      <c r="I31" s="10">
        <v>76.3</v>
      </c>
      <c r="J31" s="16">
        <v>39582</v>
      </c>
    </row>
    <row r="32" spans="2:20">
      <c r="B32" s="99" t="s">
        <v>245</v>
      </c>
      <c r="C32" s="96">
        <v>-600</v>
      </c>
      <c r="D32" s="97"/>
      <c r="E32" s="63">
        <v>0</v>
      </c>
      <c r="F32" s="64">
        <v>39524</v>
      </c>
      <c r="G32" s="64" t="s">
        <v>58</v>
      </c>
      <c r="I32" s="10">
        <v>76.3</v>
      </c>
      <c r="J32" s="16">
        <v>39613</v>
      </c>
    </row>
    <row r="33" spans="2:10">
      <c r="B33" s="99" t="s">
        <v>239</v>
      </c>
      <c r="C33" s="96">
        <v>600</v>
      </c>
      <c r="D33" s="97"/>
      <c r="E33" s="63">
        <v>0</v>
      </c>
      <c r="F33" s="64">
        <v>39524</v>
      </c>
      <c r="G33" s="64" t="s">
        <v>58</v>
      </c>
      <c r="I33" s="10">
        <v>76.3</v>
      </c>
      <c r="J33" s="16">
        <v>39643</v>
      </c>
    </row>
    <row r="34" spans="2:10">
      <c r="B34" s="99" t="s">
        <v>246</v>
      </c>
      <c r="C34" s="96">
        <v>-55</v>
      </c>
      <c r="D34" s="97"/>
      <c r="E34" s="63">
        <v>0</v>
      </c>
      <c r="F34" s="64">
        <v>39514</v>
      </c>
      <c r="G34" s="64" t="s">
        <v>58</v>
      </c>
    </row>
    <row r="35" spans="2:10">
      <c r="B35" s="99" t="s">
        <v>247</v>
      </c>
      <c r="C35" s="96">
        <v>-400</v>
      </c>
      <c r="D35" s="97"/>
      <c r="E35" s="63">
        <v>0</v>
      </c>
      <c r="F35" s="64">
        <v>39524</v>
      </c>
      <c r="G35" s="64" t="s">
        <v>58</v>
      </c>
    </row>
    <row r="36" spans="2:10" ht="23.25">
      <c r="B36" s="99" t="s">
        <v>239</v>
      </c>
      <c r="C36" s="96">
        <v>400</v>
      </c>
      <c r="D36" s="97"/>
      <c r="E36" s="63">
        <v>0</v>
      </c>
      <c r="F36" s="64">
        <v>39524</v>
      </c>
      <c r="G36" s="64" t="s">
        <v>58</v>
      </c>
      <c r="I36" s="105" t="s">
        <v>248</v>
      </c>
      <c r="J36" s="221" t="s">
        <v>1</v>
      </c>
    </row>
    <row r="37" spans="2:10">
      <c r="B37" s="99" t="s">
        <v>249</v>
      </c>
      <c r="C37" s="96">
        <v>-62</v>
      </c>
      <c r="D37" s="97"/>
      <c r="E37" s="63">
        <v>0</v>
      </c>
      <c r="F37" s="64">
        <v>39526</v>
      </c>
      <c r="G37" s="64" t="s">
        <v>58</v>
      </c>
      <c r="I37" s="124">
        <v>400</v>
      </c>
      <c r="J37" s="125">
        <v>39524</v>
      </c>
    </row>
    <row r="38" spans="2:10">
      <c r="B38" s="99" t="s">
        <v>250</v>
      </c>
      <c r="C38" s="96">
        <v>-120</v>
      </c>
      <c r="D38" s="97"/>
      <c r="E38" s="63">
        <v>0</v>
      </c>
      <c r="F38" s="64">
        <v>39526</v>
      </c>
      <c r="G38" s="64" t="s">
        <v>58</v>
      </c>
      <c r="I38" s="10">
        <v>390</v>
      </c>
      <c r="J38" s="126">
        <v>39552</v>
      </c>
    </row>
    <row r="39" spans="2:10">
      <c r="B39" s="99" t="s">
        <v>65</v>
      </c>
      <c r="C39" s="96">
        <v>-40</v>
      </c>
      <c r="D39" s="97"/>
      <c r="E39" s="63">
        <v>0</v>
      </c>
      <c r="F39" s="64">
        <v>39519</v>
      </c>
      <c r="G39" s="64" t="s">
        <v>58</v>
      </c>
    </row>
    <row r="40" spans="2:10" ht="23.25">
      <c r="B40" s="99" t="s">
        <v>211</v>
      </c>
      <c r="C40" s="96">
        <v>-108.97</v>
      </c>
      <c r="D40" s="97"/>
      <c r="E40" s="63">
        <v>0</v>
      </c>
      <c r="F40" s="64">
        <v>39519</v>
      </c>
      <c r="G40" s="64" t="s">
        <v>58</v>
      </c>
      <c r="H40" s="89"/>
      <c r="I40" s="105" t="s">
        <v>251</v>
      </c>
      <c r="J40" s="221" t="s">
        <v>1</v>
      </c>
    </row>
    <row r="41" spans="2:10">
      <c r="B41" s="99" t="s">
        <v>41</v>
      </c>
      <c r="C41" s="96">
        <v>-81.95</v>
      </c>
      <c r="D41" s="97"/>
      <c r="E41" s="63">
        <v>0</v>
      </c>
      <c r="F41" s="64">
        <v>39517</v>
      </c>
      <c r="G41" s="64" t="s">
        <v>58</v>
      </c>
      <c r="I41" s="124">
        <v>-100</v>
      </c>
      <c r="J41" s="125">
        <v>39531</v>
      </c>
    </row>
    <row r="42" spans="2:10">
      <c r="B42" s="99" t="s">
        <v>98</v>
      </c>
      <c r="C42" s="96">
        <v>-90.78</v>
      </c>
      <c r="D42" s="97"/>
      <c r="E42" s="63">
        <v>0</v>
      </c>
      <c r="F42" s="64">
        <v>39519</v>
      </c>
      <c r="G42" s="64" t="s">
        <v>58</v>
      </c>
      <c r="I42" s="10">
        <v>-100</v>
      </c>
      <c r="J42" s="16">
        <v>39562</v>
      </c>
    </row>
    <row r="43" spans="2:10">
      <c r="B43" s="99" t="s">
        <v>175</v>
      </c>
      <c r="C43" s="96">
        <v>-21</v>
      </c>
      <c r="D43" s="97"/>
      <c r="E43" s="63">
        <v>0</v>
      </c>
      <c r="F43" s="64">
        <v>39517</v>
      </c>
      <c r="G43" s="64" t="s">
        <v>58</v>
      </c>
      <c r="I43" s="10">
        <v>-100</v>
      </c>
      <c r="J43" s="16">
        <v>39592</v>
      </c>
    </row>
    <row r="44" spans="2:10">
      <c r="B44" s="99" t="s">
        <v>171</v>
      </c>
      <c r="C44" s="96">
        <v>-29.61</v>
      </c>
      <c r="D44" s="97"/>
      <c r="E44" s="63">
        <v>0</v>
      </c>
      <c r="F44" s="64">
        <v>39517</v>
      </c>
      <c r="G44" s="64" t="s">
        <v>58</v>
      </c>
    </row>
    <row r="45" spans="2:10">
      <c r="B45" s="99" t="s">
        <v>77</v>
      </c>
      <c r="C45" s="96">
        <v>-156.80000000000001</v>
      </c>
      <c r="D45" s="97"/>
      <c r="E45" s="63">
        <v>0</v>
      </c>
      <c r="F45" s="64">
        <v>39527</v>
      </c>
      <c r="G45" s="64" t="s">
        <v>58</v>
      </c>
    </row>
    <row r="46" spans="2:10">
      <c r="B46" s="99" t="s">
        <v>252</v>
      </c>
      <c r="C46" s="96">
        <v>-55</v>
      </c>
      <c r="D46" s="97"/>
      <c r="E46" s="63"/>
      <c r="F46" s="64">
        <v>39533</v>
      </c>
      <c r="G46" s="64" t="s">
        <v>58</v>
      </c>
    </row>
    <row r="47" spans="2:10">
      <c r="B47" s="99" t="s">
        <v>252</v>
      </c>
      <c r="C47" s="96">
        <v>-18.63</v>
      </c>
      <c r="D47" s="97"/>
      <c r="E47" s="63"/>
      <c r="F47" s="64">
        <v>39535</v>
      </c>
      <c r="G47" s="64"/>
    </row>
    <row r="48" spans="2:10">
      <c r="B48" s="99" t="s">
        <v>69</v>
      </c>
      <c r="C48" s="96">
        <v>-31.8</v>
      </c>
      <c r="D48" s="97"/>
      <c r="E48" s="65">
        <f>C48</f>
        <v>-31.8</v>
      </c>
      <c r="F48" s="127">
        <v>39534</v>
      </c>
      <c r="G48" s="127"/>
    </row>
    <row r="49" spans="2:7" ht="18">
      <c r="B49" s="74" t="s">
        <v>45</v>
      </c>
      <c r="C49" s="101"/>
      <c r="D49" s="98"/>
      <c r="E49" s="101">
        <f>SUM(E3:E47)</f>
        <v>-602.96</v>
      </c>
      <c r="F49" s="75"/>
      <c r="G49" s="75"/>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27.xml><?xml version="1.0" encoding="utf-8"?>
<worksheet xmlns="http://schemas.openxmlformats.org/spreadsheetml/2006/main" xmlns:r="http://schemas.openxmlformats.org/officeDocument/2006/relationships">
  <sheetPr>
    <pageSetUpPr autoPageBreaks="0"/>
  </sheetPr>
  <dimension ref="B1:T36"/>
  <sheetViews>
    <sheetView showGridLines="0" zoomScale="75" zoomScaleNormal="75" zoomScalePageLayoutView="75" workbookViewId="0">
      <selection activeCell="C5" activeCellId="1" sqref="G13 C5"/>
    </sheetView>
  </sheetViews>
  <sheetFormatPr defaultColWidth="8.85546875" defaultRowHeight="12.75"/>
  <cols>
    <col min="1" max="1" width="2" customWidth="1"/>
    <col min="2" max="2" width="26.8554687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4.85546875" customWidth="1"/>
    <col min="13" max="13" width="12.140625" customWidth="1"/>
    <col min="14" max="14" width="1.85546875" customWidth="1"/>
    <col min="15" max="15" width="12.140625" customWidth="1"/>
    <col min="16" max="16" width="10.42578125" customWidth="1"/>
    <col min="17" max="17" width="6.42578125" customWidth="1"/>
    <col min="18" max="18" width="37.42578125" customWidth="1"/>
    <col min="19" max="19" width="10.85546875" customWidth="1"/>
    <col min="20" max="20" width="7.28515625" customWidth="1"/>
  </cols>
  <sheetData>
    <row r="1" spans="2:20">
      <c r="E1" s="106"/>
    </row>
    <row r="2" spans="2:20" ht="18">
      <c r="B2" s="220" t="s">
        <v>135</v>
      </c>
      <c r="C2" s="220" t="s">
        <v>136</v>
      </c>
      <c r="D2" s="90"/>
      <c r="E2" s="220" t="s">
        <v>0</v>
      </c>
      <c r="F2" s="82" t="s">
        <v>1</v>
      </c>
      <c r="G2" s="82" t="s">
        <v>57</v>
      </c>
      <c r="I2" s="221" t="s">
        <v>214</v>
      </c>
      <c r="J2" s="221" t="s">
        <v>1</v>
      </c>
      <c r="L2" s="221" t="s">
        <v>102</v>
      </c>
      <c r="M2" s="221" t="s">
        <v>1</v>
      </c>
      <c r="O2" s="580" t="s">
        <v>215</v>
      </c>
      <c r="P2" s="580"/>
      <c r="Q2" s="580"/>
      <c r="R2" s="580"/>
      <c r="S2" s="580"/>
      <c r="T2" s="580"/>
    </row>
    <row r="3" spans="2:20">
      <c r="B3" s="71" t="s">
        <v>11</v>
      </c>
      <c r="C3" s="91">
        <v>0</v>
      </c>
      <c r="D3" s="92"/>
      <c r="E3" s="95">
        <v>-53.67</v>
      </c>
      <c r="F3" s="61"/>
      <c r="G3" s="61"/>
      <c r="I3" s="10">
        <v>1958.95</v>
      </c>
      <c r="J3" s="16">
        <v>39535</v>
      </c>
      <c r="L3" s="10">
        <v>2008.58</v>
      </c>
      <c r="M3" s="16">
        <v>39535</v>
      </c>
      <c r="O3" s="581" t="s">
        <v>216</v>
      </c>
      <c r="P3" s="581"/>
      <c r="Q3" s="581"/>
      <c r="R3" s="582" t="s">
        <v>217</v>
      </c>
      <c r="S3" s="582"/>
      <c r="T3" s="582"/>
    </row>
    <row r="4" spans="2:20" ht="12" customHeight="1">
      <c r="B4" s="71" t="s">
        <v>56</v>
      </c>
      <c r="C4" s="91">
        <v>0</v>
      </c>
      <c r="D4" s="92"/>
      <c r="E4" s="95">
        <v>939.37</v>
      </c>
      <c r="F4" s="72"/>
      <c r="G4" s="72"/>
      <c r="I4" s="10">
        <v>1941.84</v>
      </c>
      <c r="J4" s="16">
        <v>39538</v>
      </c>
      <c r="L4" s="10">
        <v>2009.09</v>
      </c>
      <c r="M4" s="16">
        <v>39538</v>
      </c>
      <c r="O4" s="107" t="s">
        <v>218</v>
      </c>
      <c r="P4" s="108" t="s">
        <v>219</v>
      </c>
      <c r="Q4" s="109" t="s">
        <v>1</v>
      </c>
      <c r="R4" s="107" t="s">
        <v>218</v>
      </c>
      <c r="S4" s="108" t="s">
        <v>219</v>
      </c>
      <c r="T4" s="109" t="s">
        <v>1</v>
      </c>
    </row>
    <row r="5" spans="2:20" ht="12" customHeight="1">
      <c r="B5" s="71" t="s">
        <v>5</v>
      </c>
      <c r="C5" s="93">
        <v>4388.95</v>
      </c>
      <c r="D5" s="94"/>
      <c r="E5" s="95">
        <v>0</v>
      </c>
      <c r="F5" s="72"/>
      <c r="G5" s="72"/>
      <c r="I5" s="10">
        <v>1959.11</v>
      </c>
      <c r="J5" s="16">
        <v>39509</v>
      </c>
      <c r="L5" s="10">
        <v>2009.6</v>
      </c>
      <c r="M5" s="16">
        <v>39539</v>
      </c>
      <c r="O5" s="110"/>
      <c r="P5" s="111"/>
      <c r="Q5" s="112"/>
      <c r="R5" s="110" t="s">
        <v>253</v>
      </c>
      <c r="S5" s="111">
        <v>20.100000000000001</v>
      </c>
      <c r="T5" s="113"/>
    </row>
    <row r="6" spans="2:20">
      <c r="B6" s="71" t="s">
        <v>173</v>
      </c>
      <c r="C6" s="93">
        <f>17+24.5</f>
        <v>41.5</v>
      </c>
      <c r="D6" s="94"/>
      <c r="E6" s="95">
        <v>0</v>
      </c>
      <c r="F6" s="72"/>
      <c r="G6" s="72"/>
      <c r="I6" s="10">
        <v>2052.17</v>
      </c>
      <c r="J6" s="16">
        <v>39511</v>
      </c>
      <c r="L6" s="10">
        <v>2011.15</v>
      </c>
      <c r="M6" s="16">
        <v>39542</v>
      </c>
      <c r="O6" s="110"/>
      <c r="P6" s="111"/>
      <c r="Q6" s="112"/>
      <c r="R6" s="110" t="s">
        <v>254</v>
      </c>
      <c r="S6" s="111">
        <v>48.06</v>
      </c>
      <c r="T6" s="113"/>
    </row>
    <row r="7" spans="2:20">
      <c r="B7" s="71" t="s">
        <v>255</v>
      </c>
      <c r="C7" s="93">
        <v>3289.68</v>
      </c>
      <c r="D7" s="94"/>
      <c r="E7" s="95">
        <v>0</v>
      </c>
      <c r="F7" s="72"/>
      <c r="G7" s="72"/>
      <c r="I7" s="10">
        <v>2031.94</v>
      </c>
      <c r="J7" s="16">
        <v>39545</v>
      </c>
      <c r="L7" s="10">
        <v>2011.64</v>
      </c>
      <c r="M7" s="16">
        <v>39545</v>
      </c>
      <c r="O7" s="110"/>
      <c r="P7" s="111"/>
      <c r="Q7" s="114"/>
      <c r="R7" s="110" t="s">
        <v>256</v>
      </c>
      <c r="S7" s="111">
        <v>40</v>
      </c>
      <c r="T7" s="113"/>
    </row>
    <row r="8" spans="2:20">
      <c r="B8" s="99" t="s">
        <v>65</v>
      </c>
      <c r="C8" s="96">
        <v>-80</v>
      </c>
      <c r="D8" s="97"/>
      <c r="E8" s="63">
        <v>0</v>
      </c>
      <c r="F8" s="64">
        <v>39535</v>
      </c>
      <c r="G8" s="64"/>
      <c r="I8" s="10">
        <v>2048.1799999999998</v>
      </c>
      <c r="J8" s="16">
        <v>39546</v>
      </c>
      <c r="L8" s="10">
        <v>2012.13</v>
      </c>
      <c r="M8" s="16">
        <v>39546</v>
      </c>
      <c r="O8" s="110"/>
      <c r="P8" s="111"/>
      <c r="Q8" s="114"/>
      <c r="R8" s="110"/>
      <c r="S8" s="111"/>
      <c r="T8" s="113"/>
    </row>
    <row r="9" spans="2:20">
      <c r="B9" s="99" t="s">
        <v>38</v>
      </c>
      <c r="C9" s="96">
        <v>-500.59</v>
      </c>
      <c r="D9" s="97"/>
      <c r="E9" s="63">
        <v>0</v>
      </c>
      <c r="F9" s="64" t="s">
        <v>257</v>
      </c>
      <c r="G9" s="64" t="s">
        <v>58</v>
      </c>
      <c r="I9" s="10">
        <v>2040.31</v>
      </c>
      <c r="J9" s="16">
        <v>39547</v>
      </c>
      <c r="L9" s="10">
        <v>2012.66</v>
      </c>
      <c r="M9" s="16">
        <v>39547</v>
      </c>
      <c r="O9" s="110"/>
      <c r="P9" s="111"/>
      <c r="Q9" s="114"/>
      <c r="R9" s="110"/>
      <c r="S9" s="111"/>
      <c r="T9" s="113"/>
    </row>
    <row r="10" spans="2:20">
      <c r="B10" s="99" t="s">
        <v>14</v>
      </c>
      <c r="C10" s="96">
        <v>-15.68</v>
      </c>
      <c r="D10" s="97"/>
      <c r="E10" s="63">
        <v>0</v>
      </c>
      <c r="F10" s="64">
        <v>39538</v>
      </c>
      <c r="G10" s="64" t="s">
        <v>58</v>
      </c>
      <c r="I10" s="10">
        <v>2026.31</v>
      </c>
      <c r="J10" s="16">
        <v>39549</v>
      </c>
      <c r="L10" s="10">
        <v>2013.17</v>
      </c>
      <c r="M10" s="16">
        <v>39548</v>
      </c>
      <c r="O10" s="110"/>
      <c r="P10" s="111"/>
      <c r="Q10" s="114"/>
      <c r="R10" s="110"/>
      <c r="S10" s="111"/>
      <c r="T10" s="113"/>
    </row>
    <row r="11" spans="2:20">
      <c r="B11" s="99" t="s">
        <v>93</v>
      </c>
      <c r="C11" s="96">
        <v>-188.21</v>
      </c>
      <c r="D11" s="97"/>
      <c r="E11" s="63">
        <v>0</v>
      </c>
      <c r="F11" s="64" t="s">
        <v>258</v>
      </c>
      <c r="G11" s="64" t="s">
        <v>58</v>
      </c>
      <c r="I11" s="10"/>
      <c r="J11" s="16"/>
      <c r="L11" s="10">
        <v>2013.68</v>
      </c>
      <c r="M11" s="16">
        <v>39549</v>
      </c>
      <c r="O11" s="110"/>
      <c r="P11" s="111"/>
      <c r="Q11" s="114"/>
      <c r="R11" s="110"/>
      <c r="S11" s="111"/>
      <c r="T11" s="113"/>
    </row>
    <row r="12" spans="2:20">
      <c r="B12" s="99" t="s">
        <v>110</v>
      </c>
      <c r="C12" s="96">
        <v>-162.54</v>
      </c>
      <c r="D12" s="97"/>
      <c r="E12" s="63">
        <v>0</v>
      </c>
      <c r="F12" s="64" t="s">
        <v>258</v>
      </c>
      <c r="G12" s="64" t="s">
        <v>58</v>
      </c>
      <c r="I12" s="10"/>
      <c r="J12" s="16"/>
      <c r="L12" s="10"/>
      <c r="M12" s="16"/>
      <c r="O12" s="110"/>
      <c r="P12" s="111"/>
      <c r="Q12" s="114"/>
      <c r="R12" s="110"/>
      <c r="S12" s="111"/>
      <c r="T12" s="113"/>
    </row>
    <row r="13" spans="2:20">
      <c r="B13" s="99" t="s">
        <v>103</v>
      </c>
      <c r="C13" s="96">
        <v>-921.58</v>
      </c>
      <c r="D13" s="97"/>
      <c r="E13" s="63">
        <v>0</v>
      </c>
      <c r="F13" s="64" t="s">
        <v>258</v>
      </c>
      <c r="G13" s="64" t="s">
        <v>58</v>
      </c>
      <c r="I13" s="10"/>
      <c r="J13" s="16"/>
      <c r="L13" s="10"/>
      <c r="M13" s="16"/>
      <c r="O13" s="110"/>
      <c r="P13" s="111"/>
      <c r="Q13" s="114"/>
      <c r="R13" s="110"/>
      <c r="S13" s="111"/>
      <c r="T13" s="113"/>
    </row>
    <row r="14" spans="2:20">
      <c r="B14" s="99" t="s">
        <v>154</v>
      </c>
      <c r="C14" s="96">
        <v>-9.5</v>
      </c>
      <c r="D14" s="97"/>
      <c r="E14" s="63">
        <v>0</v>
      </c>
      <c r="F14" s="64" t="s">
        <v>259</v>
      </c>
      <c r="G14" s="64" t="s">
        <v>58</v>
      </c>
      <c r="I14" s="10"/>
      <c r="J14" s="16"/>
      <c r="L14" s="10"/>
      <c r="M14" s="16"/>
      <c r="O14" s="110"/>
      <c r="P14" s="111"/>
      <c r="Q14" s="114"/>
      <c r="R14" s="110"/>
      <c r="S14" s="111"/>
      <c r="T14" s="113"/>
    </row>
    <row r="15" spans="2:20">
      <c r="B15" s="99" t="s">
        <v>155</v>
      </c>
      <c r="C15" s="96">
        <v>-14</v>
      </c>
      <c r="D15" s="97"/>
      <c r="E15" s="63">
        <v>0</v>
      </c>
      <c r="F15" s="64" t="s">
        <v>259</v>
      </c>
      <c r="G15" s="64" t="s">
        <v>58</v>
      </c>
      <c r="I15" s="10"/>
      <c r="J15" s="16"/>
      <c r="L15" s="10"/>
      <c r="M15" s="16"/>
      <c r="O15" s="110"/>
      <c r="P15" s="111"/>
      <c r="Q15" s="114"/>
      <c r="R15" s="110"/>
      <c r="S15" s="111"/>
      <c r="T15" s="113"/>
    </row>
    <row r="16" spans="2:20">
      <c r="B16" s="99" t="s">
        <v>96</v>
      </c>
      <c r="C16" s="96">
        <v>-124.62</v>
      </c>
      <c r="D16" s="97"/>
      <c r="E16" s="63">
        <v>0</v>
      </c>
      <c r="F16" s="64">
        <v>39542</v>
      </c>
      <c r="G16" s="64" t="s">
        <v>58</v>
      </c>
      <c r="I16" s="10"/>
      <c r="J16" s="16"/>
      <c r="L16" s="10"/>
      <c r="M16" s="16"/>
      <c r="O16" s="110"/>
      <c r="P16" s="111"/>
      <c r="Q16" s="114"/>
      <c r="R16" s="110"/>
      <c r="S16" s="111"/>
      <c r="T16" s="113"/>
    </row>
    <row r="17" spans="2:20">
      <c r="B17" s="99" t="s">
        <v>29</v>
      </c>
      <c r="C17" s="96">
        <v>-262.01</v>
      </c>
      <c r="D17" s="97"/>
      <c r="E17" s="63">
        <v>0</v>
      </c>
      <c r="F17" s="64" t="s">
        <v>260</v>
      </c>
      <c r="G17" s="64" t="s">
        <v>58</v>
      </c>
      <c r="I17" s="10"/>
      <c r="J17" s="16"/>
      <c r="L17" s="10"/>
      <c r="M17" s="16"/>
      <c r="O17" s="110"/>
      <c r="P17" s="111"/>
      <c r="Q17" s="114"/>
      <c r="R17" s="110"/>
      <c r="S17" s="111"/>
      <c r="T17" s="113"/>
    </row>
    <row r="18" spans="2:20">
      <c r="B18" s="99" t="s">
        <v>157</v>
      </c>
      <c r="C18" s="96">
        <v>-36.159999999999997</v>
      </c>
      <c r="D18" s="97"/>
      <c r="E18" s="63">
        <v>0</v>
      </c>
      <c r="F18" s="64" t="s">
        <v>259</v>
      </c>
      <c r="G18" s="64" t="s">
        <v>58</v>
      </c>
      <c r="O18" s="115"/>
      <c r="P18" s="116"/>
      <c r="Q18" s="117"/>
      <c r="R18" s="115"/>
      <c r="S18" s="116"/>
      <c r="T18" s="118"/>
    </row>
    <row r="19" spans="2:20">
      <c r="B19" s="99" t="s">
        <v>247</v>
      </c>
      <c r="C19" s="96">
        <v>-390</v>
      </c>
      <c r="D19" s="97"/>
      <c r="E19" s="63">
        <v>0</v>
      </c>
      <c r="F19" s="64" t="s">
        <v>261</v>
      </c>
      <c r="G19" s="64" t="s">
        <v>58</v>
      </c>
      <c r="O19" s="119" t="s">
        <v>45</v>
      </c>
      <c r="P19" s="120">
        <f>SUM(P5:P18)</f>
        <v>0</v>
      </c>
      <c r="Q19" s="121"/>
      <c r="R19" s="119" t="s">
        <v>45</v>
      </c>
      <c r="S19" s="122">
        <f>SUM(S5:S18)</f>
        <v>108.16</v>
      </c>
      <c r="T19" s="123"/>
    </row>
    <row r="20" spans="2:20" ht="15.75">
      <c r="B20" s="99" t="s">
        <v>250</v>
      </c>
      <c r="C20" s="96">
        <v>-120</v>
      </c>
      <c r="D20" s="97"/>
      <c r="E20" s="63">
        <v>0</v>
      </c>
      <c r="F20" s="64" t="s">
        <v>262</v>
      </c>
      <c r="G20" s="64" t="s">
        <v>58</v>
      </c>
      <c r="I20" s="105" t="s">
        <v>209</v>
      </c>
      <c r="J20" s="221" t="s">
        <v>1</v>
      </c>
    </row>
    <row r="21" spans="2:20">
      <c r="B21" s="99" t="s">
        <v>211</v>
      </c>
      <c r="C21" s="96">
        <v>-108.97</v>
      </c>
      <c r="D21" s="97"/>
      <c r="E21" s="63">
        <v>0</v>
      </c>
      <c r="F21" s="64" t="s">
        <v>263</v>
      </c>
      <c r="G21" s="128" t="s">
        <v>58</v>
      </c>
      <c r="I21" s="124">
        <v>108.97</v>
      </c>
      <c r="J21" s="125">
        <v>39492</v>
      </c>
    </row>
    <row r="22" spans="2:20">
      <c r="B22" s="99" t="s">
        <v>41</v>
      </c>
      <c r="C22" s="96">
        <v>-77.02</v>
      </c>
      <c r="D22" s="97"/>
      <c r="E22" s="63">
        <v>0</v>
      </c>
      <c r="F22" s="64" t="s">
        <v>263</v>
      </c>
      <c r="G22" s="128" t="s">
        <v>58</v>
      </c>
      <c r="I22" s="124">
        <v>108.97</v>
      </c>
      <c r="J22" s="125">
        <v>39521</v>
      </c>
    </row>
    <row r="23" spans="2:20">
      <c r="B23" s="99" t="s">
        <v>98</v>
      </c>
      <c r="C23" s="96">
        <v>-81.5</v>
      </c>
      <c r="D23" s="97"/>
      <c r="E23" s="63">
        <v>0</v>
      </c>
      <c r="F23" s="64" t="s">
        <v>263</v>
      </c>
      <c r="G23" s="128" t="s">
        <v>58</v>
      </c>
      <c r="I23" s="10">
        <v>108.97</v>
      </c>
      <c r="J23" s="16">
        <v>39552</v>
      </c>
    </row>
    <row r="24" spans="2:20">
      <c r="B24" s="99" t="s">
        <v>175</v>
      </c>
      <c r="C24" s="96">
        <v>-21</v>
      </c>
      <c r="D24" s="97"/>
      <c r="E24" s="63">
        <v>0</v>
      </c>
      <c r="F24" s="64" t="s">
        <v>260</v>
      </c>
      <c r="G24" s="128" t="s">
        <v>58</v>
      </c>
      <c r="I24" s="10">
        <v>76.3</v>
      </c>
      <c r="J24" s="16">
        <v>39582</v>
      </c>
    </row>
    <row r="25" spans="2:20">
      <c r="B25" s="99" t="s">
        <v>171</v>
      </c>
      <c r="C25" s="96">
        <v>-29.61</v>
      </c>
      <c r="D25" s="97"/>
      <c r="E25" s="63">
        <v>0</v>
      </c>
      <c r="F25" s="64" t="s">
        <v>259</v>
      </c>
      <c r="G25" s="128" t="s">
        <v>58</v>
      </c>
      <c r="I25" s="10">
        <v>76.3</v>
      </c>
      <c r="J25" s="16">
        <v>39613</v>
      </c>
    </row>
    <row r="26" spans="2:20">
      <c r="B26" s="99" t="s">
        <v>77</v>
      </c>
      <c r="C26" s="96">
        <v>-156.80000000000001</v>
      </c>
      <c r="D26" s="97"/>
      <c r="E26" s="63">
        <v>0</v>
      </c>
      <c r="F26" s="64" t="s">
        <v>262</v>
      </c>
      <c r="G26" s="128" t="s">
        <v>58</v>
      </c>
      <c r="I26" s="10">
        <v>76.3</v>
      </c>
      <c r="J26" s="16">
        <v>39643</v>
      </c>
    </row>
    <row r="27" spans="2:20">
      <c r="B27" s="99" t="s">
        <v>264</v>
      </c>
      <c r="C27" s="96">
        <v>-100</v>
      </c>
      <c r="D27" s="97"/>
      <c r="E27" s="63">
        <v>0</v>
      </c>
      <c r="F27" s="64">
        <v>39531</v>
      </c>
      <c r="G27" s="64" t="s">
        <v>58</v>
      </c>
    </row>
    <row r="28" spans="2:20">
      <c r="B28" s="99" t="s">
        <v>265</v>
      </c>
      <c r="C28" s="96">
        <v>-100</v>
      </c>
      <c r="D28" s="97"/>
      <c r="E28" s="63">
        <v>0</v>
      </c>
      <c r="F28" s="64" t="s">
        <v>266</v>
      </c>
      <c r="G28" s="64" t="s">
        <v>58</v>
      </c>
      <c r="K28" t="s">
        <v>58</v>
      </c>
    </row>
    <row r="29" spans="2:20" ht="23.25">
      <c r="B29" s="99" t="s">
        <v>102</v>
      </c>
      <c r="C29" s="96">
        <v>-3000</v>
      </c>
      <c r="D29" s="97"/>
      <c r="E29" s="63">
        <v>0</v>
      </c>
      <c r="F29" s="64">
        <v>39552</v>
      </c>
      <c r="G29" s="128" t="s">
        <v>58</v>
      </c>
      <c r="I29" s="105" t="s">
        <v>248</v>
      </c>
      <c r="J29" s="221" t="s">
        <v>1</v>
      </c>
    </row>
    <row r="30" spans="2:20">
      <c r="B30" s="99" t="s">
        <v>267</v>
      </c>
      <c r="C30" s="96">
        <v>-39</v>
      </c>
      <c r="D30" s="97"/>
      <c r="E30" s="63">
        <v>0</v>
      </c>
      <c r="F30" s="64">
        <v>39535</v>
      </c>
      <c r="G30" s="128" t="s">
        <v>58</v>
      </c>
      <c r="I30" s="124">
        <v>400</v>
      </c>
      <c r="J30" s="125">
        <v>39524</v>
      </c>
      <c r="O30" s="52"/>
    </row>
    <row r="31" spans="2:20">
      <c r="B31" s="99" t="s">
        <v>268</v>
      </c>
      <c r="C31" s="96">
        <v>-106</v>
      </c>
      <c r="D31" s="97"/>
      <c r="E31" s="63">
        <v>0</v>
      </c>
      <c r="F31" s="64">
        <v>39536</v>
      </c>
      <c r="G31" s="128" t="s">
        <v>58</v>
      </c>
      <c r="I31" s="124">
        <v>390</v>
      </c>
      <c r="J31" s="125">
        <v>39552</v>
      </c>
    </row>
    <row r="32" spans="2:20">
      <c r="B32" s="99" t="s">
        <v>269</v>
      </c>
      <c r="C32" s="96">
        <v>-200</v>
      </c>
      <c r="D32" s="97"/>
      <c r="E32" s="63">
        <v>0</v>
      </c>
      <c r="F32" s="64">
        <v>39535</v>
      </c>
      <c r="G32" s="128" t="s">
        <v>58</v>
      </c>
    </row>
    <row r="33" spans="2:10" ht="23.25">
      <c r="B33" s="99" t="s">
        <v>69</v>
      </c>
      <c r="C33" s="96">
        <v>-31.8</v>
      </c>
      <c r="D33" s="97"/>
      <c r="E33" s="63">
        <v>0</v>
      </c>
      <c r="F33" s="64">
        <v>39535</v>
      </c>
      <c r="G33" s="128" t="s">
        <v>58</v>
      </c>
      <c r="I33" s="105" t="s">
        <v>251</v>
      </c>
      <c r="J33" s="221" t="s">
        <v>1</v>
      </c>
    </row>
    <row r="34" spans="2:10">
      <c r="B34" s="99" t="s">
        <v>270</v>
      </c>
      <c r="C34" s="96">
        <v>-260</v>
      </c>
      <c r="D34" s="97"/>
      <c r="E34" s="63">
        <v>0</v>
      </c>
      <c r="F34" s="64">
        <v>39521</v>
      </c>
      <c r="G34" s="128" t="s">
        <v>58</v>
      </c>
      <c r="I34" s="124">
        <v>-100</v>
      </c>
      <c r="J34" s="125">
        <v>39531</v>
      </c>
    </row>
    <row r="35" spans="2:10" ht="18">
      <c r="B35" s="74" t="s">
        <v>45</v>
      </c>
      <c r="C35" s="101"/>
      <c r="D35" s="98"/>
      <c r="E35" s="129">
        <f>SUM(E3:E34)</f>
        <v>885.7</v>
      </c>
      <c r="F35" s="75"/>
      <c r="G35" s="75"/>
      <c r="I35" s="124">
        <v>-100</v>
      </c>
      <c r="J35" s="125">
        <v>39562</v>
      </c>
    </row>
    <row r="36" spans="2:10">
      <c r="C36" s="1"/>
      <c r="D36" s="1"/>
      <c r="E36" s="1"/>
      <c r="I36" s="10">
        <v>-100</v>
      </c>
      <c r="J36" s="16">
        <v>39592</v>
      </c>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28.xml><?xml version="1.0" encoding="utf-8"?>
<worksheet xmlns="http://schemas.openxmlformats.org/spreadsheetml/2006/main" xmlns:r="http://schemas.openxmlformats.org/officeDocument/2006/relationships">
  <sheetPr>
    <pageSetUpPr autoPageBreaks="0"/>
  </sheetPr>
  <dimension ref="B1:T32"/>
  <sheetViews>
    <sheetView showGridLines="0" zoomScale="75" zoomScaleNormal="75" zoomScalePageLayoutView="75" workbookViewId="0">
      <selection activeCell="C5" activeCellId="1" sqref="G13 C5"/>
    </sheetView>
  </sheetViews>
  <sheetFormatPr defaultColWidth="8.85546875" defaultRowHeight="12.75"/>
  <cols>
    <col min="1" max="1" width="2" customWidth="1"/>
    <col min="2" max="2" width="26.8554687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4.85546875" customWidth="1"/>
    <col min="13" max="13" width="12.140625" customWidth="1"/>
    <col min="14" max="14" width="1.85546875" customWidth="1"/>
    <col min="15" max="15" width="12.140625" customWidth="1"/>
    <col min="16" max="16" width="10.42578125" customWidth="1"/>
    <col min="17" max="17" width="6.42578125" customWidth="1"/>
    <col min="18" max="18" width="41" customWidth="1"/>
    <col min="19" max="19" width="10.85546875" customWidth="1"/>
    <col min="20" max="20" width="7.28515625" customWidth="1"/>
  </cols>
  <sheetData>
    <row r="1" spans="2:20">
      <c r="E1" s="106"/>
    </row>
    <row r="2" spans="2:20" ht="18">
      <c r="B2" s="220" t="s">
        <v>135</v>
      </c>
      <c r="C2" s="220" t="s">
        <v>136</v>
      </c>
      <c r="D2" s="90"/>
      <c r="E2" s="220" t="s">
        <v>0</v>
      </c>
      <c r="F2" s="82" t="s">
        <v>1</v>
      </c>
      <c r="G2" s="82" t="s">
        <v>57</v>
      </c>
      <c r="I2" s="221" t="s">
        <v>214</v>
      </c>
      <c r="J2" s="221" t="s">
        <v>1</v>
      </c>
      <c r="L2" s="221" t="s">
        <v>102</v>
      </c>
      <c r="M2" s="221" t="s">
        <v>1</v>
      </c>
      <c r="O2" s="580" t="s">
        <v>215</v>
      </c>
      <c r="P2" s="580"/>
      <c r="Q2" s="580"/>
      <c r="R2" s="580"/>
      <c r="S2" s="580"/>
      <c r="T2" s="580"/>
    </row>
    <row r="3" spans="2:20">
      <c r="B3" s="71" t="s">
        <v>11</v>
      </c>
      <c r="C3" s="91">
        <v>0</v>
      </c>
      <c r="D3" s="92"/>
      <c r="E3" s="95">
        <v>1119.26</v>
      </c>
      <c r="F3" s="61"/>
      <c r="G3" s="61"/>
      <c r="I3" s="10">
        <v>2151.69</v>
      </c>
      <c r="J3" s="16">
        <v>39580</v>
      </c>
      <c r="L3" s="10">
        <v>1972.36</v>
      </c>
      <c r="M3" s="16">
        <v>39580</v>
      </c>
      <c r="O3" s="581" t="s">
        <v>216</v>
      </c>
      <c r="P3" s="581"/>
      <c r="Q3" s="581"/>
      <c r="R3" s="582" t="s">
        <v>217</v>
      </c>
      <c r="S3" s="582"/>
      <c r="T3" s="582"/>
    </row>
    <row r="4" spans="2:20" ht="12" customHeight="1">
      <c r="B4" s="71" t="s">
        <v>56</v>
      </c>
      <c r="C4" s="91">
        <v>0</v>
      </c>
      <c r="D4" s="92"/>
      <c r="E4" s="95">
        <v>-907.38</v>
      </c>
      <c r="F4" s="72"/>
      <c r="G4" s="72"/>
      <c r="I4" s="10">
        <v>2160.12</v>
      </c>
      <c r="J4" s="16">
        <v>39581</v>
      </c>
      <c r="L4" s="10">
        <v>1972.88</v>
      </c>
      <c r="M4" s="16">
        <v>39581</v>
      </c>
      <c r="O4" s="107" t="s">
        <v>218</v>
      </c>
      <c r="P4" s="108" t="s">
        <v>219</v>
      </c>
      <c r="Q4" s="109" t="s">
        <v>1</v>
      </c>
      <c r="R4" s="107" t="s">
        <v>218</v>
      </c>
      <c r="S4" s="108" t="s">
        <v>219</v>
      </c>
      <c r="T4" s="109" t="s">
        <v>1</v>
      </c>
    </row>
    <row r="5" spans="2:20" ht="12" customHeight="1">
      <c r="B5" s="71" t="s">
        <v>5</v>
      </c>
      <c r="C5" s="93">
        <v>1931.12</v>
      </c>
      <c r="D5" s="94"/>
      <c r="E5" s="95">
        <v>0</v>
      </c>
      <c r="F5" s="72"/>
      <c r="G5" s="72"/>
      <c r="I5" s="10">
        <v>2156.6799999999998</v>
      </c>
      <c r="J5" s="16">
        <v>39582</v>
      </c>
      <c r="L5" s="10">
        <v>1973.37</v>
      </c>
      <c r="M5" s="16">
        <v>39582</v>
      </c>
      <c r="O5" s="110" t="s">
        <v>271</v>
      </c>
      <c r="P5" s="111">
        <v>18.5</v>
      </c>
      <c r="Q5" s="112"/>
      <c r="R5" s="110" t="s">
        <v>272</v>
      </c>
      <c r="S5" s="111">
        <v>40</v>
      </c>
      <c r="T5" s="113"/>
    </row>
    <row r="6" spans="2:20">
      <c r="B6" s="71" t="s">
        <v>107</v>
      </c>
      <c r="C6" s="93">
        <f>28+20+15</f>
        <v>63</v>
      </c>
      <c r="D6" s="94"/>
      <c r="E6" s="95">
        <v>0</v>
      </c>
      <c r="F6" s="72"/>
      <c r="G6" s="72"/>
      <c r="I6" s="10">
        <v>2152.9899999999998</v>
      </c>
      <c r="J6" s="16">
        <v>39583</v>
      </c>
      <c r="L6" s="10">
        <v>1973.99</v>
      </c>
      <c r="M6" s="16">
        <v>39583</v>
      </c>
      <c r="O6" s="110" t="s">
        <v>273</v>
      </c>
      <c r="P6" s="111">
        <v>26.73</v>
      </c>
      <c r="Q6" s="112"/>
      <c r="R6" s="110" t="s">
        <v>274</v>
      </c>
      <c r="S6" s="111">
        <v>20</v>
      </c>
      <c r="T6" s="113"/>
    </row>
    <row r="7" spans="2:20">
      <c r="B7" s="71" t="s">
        <v>9</v>
      </c>
      <c r="C7" s="93">
        <v>240</v>
      </c>
      <c r="D7" s="94"/>
      <c r="E7" s="95">
        <v>0</v>
      </c>
      <c r="F7" s="72"/>
      <c r="G7" s="72"/>
      <c r="I7" s="10">
        <v>2188.4699999999998</v>
      </c>
      <c r="J7" s="16">
        <v>39584</v>
      </c>
      <c r="L7" s="10">
        <v>1974.51</v>
      </c>
      <c r="M7" s="16">
        <v>39584</v>
      </c>
      <c r="O7" s="110" t="s">
        <v>275</v>
      </c>
      <c r="P7" s="111">
        <v>10</v>
      </c>
      <c r="Q7" s="114"/>
      <c r="R7" s="110" t="s">
        <v>276</v>
      </c>
      <c r="S7" s="111">
        <v>74.14</v>
      </c>
      <c r="T7" s="113"/>
    </row>
    <row r="8" spans="2:20">
      <c r="B8" s="71" t="s">
        <v>166</v>
      </c>
      <c r="C8" s="93">
        <v>15</v>
      </c>
      <c r="D8" s="94"/>
      <c r="E8" s="95">
        <v>0</v>
      </c>
      <c r="F8" s="72"/>
      <c r="G8" s="72"/>
      <c r="I8" s="10">
        <v>2240.14</v>
      </c>
      <c r="J8" s="16">
        <v>39589</v>
      </c>
      <c r="L8" s="10">
        <v>0</v>
      </c>
      <c r="M8" s="16">
        <v>39587</v>
      </c>
      <c r="O8" s="110"/>
      <c r="P8" s="111"/>
      <c r="Q8" s="114"/>
      <c r="R8" s="110" t="s">
        <v>277</v>
      </c>
      <c r="S8" s="111">
        <v>22</v>
      </c>
      <c r="T8" s="113"/>
    </row>
    <row r="9" spans="2:20">
      <c r="B9" s="99" t="s">
        <v>65</v>
      </c>
      <c r="C9" s="96">
        <v>0</v>
      </c>
      <c r="D9" s="97"/>
      <c r="E9" s="63">
        <v>0</v>
      </c>
      <c r="F9" s="64" t="s">
        <v>278</v>
      </c>
      <c r="G9" s="64" t="s">
        <v>279</v>
      </c>
      <c r="I9" s="10">
        <v>2244.21</v>
      </c>
      <c r="J9" s="16">
        <v>39595</v>
      </c>
      <c r="L9" s="10"/>
      <c r="M9" s="16"/>
      <c r="O9" s="110"/>
      <c r="P9" s="111"/>
      <c r="Q9" s="114"/>
      <c r="R9" s="110" t="s">
        <v>272</v>
      </c>
      <c r="S9" s="111">
        <v>40</v>
      </c>
      <c r="T9" s="113"/>
    </row>
    <row r="10" spans="2:20">
      <c r="B10" s="99" t="s">
        <v>38</v>
      </c>
      <c r="C10" s="96">
        <v>-500.59</v>
      </c>
      <c r="D10" s="97"/>
      <c r="E10" s="63">
        <v>0</v>
      </c>
      <c r="F10" s="64">
        <v>39572</v>
      </c>
      <c r="G10" s="64" t="s">
        <v>58</v>
      </c>
      <c r="I10" s="10"/>
      <c r="J10" s="16"/>
      <c r="L10" s="10"/>
      <c r="M10" s="16"/>
      <c r="O10" s="110"/>
      <c r="P10" s="111"/>
      <c r="Q10" s="114"/>
      <c r="R10" s="110" t="s">
        <v>280</v>
      </c>
      <c r="S10" s="111">
        <v>88</v>
      </c>
      <c r="T10" s="113"/>
    </row>
    <row r="11" spans="2:20">
      <c r="B11" s="99" t="s">
        <v>14</v>
      </c>
      <c r="C11" s="96">
        <v>-15.68</v>
      </c>
      <c r="D11" s="97"/>
      <c r="E11" s="63">
        <v>0</v>
      </c>
      <c r="F11" s="64">
        <v>39566</v>
      </c>
      <c r="G11" s="64" t="s">
        <v>58</v>
      </c>
      <c r="I11" s="10"/>
      <c r="J11" s="16"/>
      <c r="L11" s="10"/>
      <c r="M11" s="16"/>
      <c r="O11" s="110"/>
      <c r="P11" s="111"/>
      <c r="Q11" s="114"/>
      <c r="R11" s="110" t="s">
        <v>281</v>
      </c>
      <c r="S11" s="111">
        <v>17</v>
      </c>
      <c r="T11" s="113"/>
    </row>
    <row r="12" spans="2:20">
      <c r="B12" s="99" t="s">
        <v>93</v>
      </c>
      <c r="C12" s="96">
        <v>-275.92</v>
      </c>
      <c r="D12" s="97"/>
      <c r="E12" s="63">
        <v>0</v>
      </c>
      <c r="F12" s="64">
        <v>39569</v>
      </c>
      <c r="G12" s="64" t="s">
        <v>58</v>
      </c>
      <c r="I12" s="10"/>
      <c r="J12" s="16"/>
      <c r="L12" s="10"/>
      <c r="M12" s="16"/>
      <c r="O12" s="110"/>
      <c r="P12" s="111"/>
      <c r="Q12" s="114"/>
      <c r="R12" s="110" t="s">
        <v>282</v>
      </c>
      <c r="S12" s="111">
        <v>72.489999999999995</v>
      </c>
      <c r="T12" s="113"/>
    </row>
    <row r="13" spans="2:20">
      <c r="B13" s="99" t="s">
        <v>110</v>
      </c>
      <c r="C13" s="96">
        <v>-162.54</v>
      </c>
      <c r="D13" s="97"/>
      <c r="E13" s="63">
        <v>0</v>
      </c>
      <c r="F13" s="64">
        <v>39570</v>
      </c>
      <c r="G13" s="64" t="s">
        <v>58</v>
      </c>
      <c r="I13" s="10"/>
      <c r="J13" s="16"/>
      <c r="L13" s="10"/>
      <c r="M13" s="16"/>
      <c r="O13" s="110"/>
      <c r="P13" s="111"/>
      <c r="Q13" s="114"/>
      <c r="R13" s="110" t="s">
        <v>283</v>
      </c>
      <c r="S13" s="111">
        <v>60.5</v>
      </c>
      <c r="T13" s="113"/>
    </row>
    <row r="14" spans="2:20">
      <c r="B14" s="99" t="s">
        <v>103</v>
      </c>
      <c r="C14" s="96">
        <v>-533.70000000000005</v>
      </c>
      <c r="D14" s="97"/>
      <c r="E14" s="63">
        <v>0</v>
      </c>
      <c r="F14" s="64">
        <v>39569</v>
      </c>
      <c r="G14" s="64" t="s">
        <v>58</v>
      </c>
      <c r="I14" s="10"/>
      <c r="J14" s="16"/>
      <c r="L14" s="10"/>
      <c r="M14" s="16"/>
      <c r="O14" s="110"/>
      <c r="P14" s="111"/>
      <c r="Q14" s="114"/>
      <c r="R14" s="110" t="s">
        <v>284</v>
      </c>
      <c r="S14" s="111">
        <v>51</v>
      </c>
      <c r="T14" s="113"/>
    </row>
    <row r="15" spans="2:20">
      <c r="B15" s="99" t="s">
        <v>154</v>
      </c>
      <c r="C15" s="96">
        <v>-19</v>
      </c>
      <c r="D15" s="97"/>
      <c r="E15" s="63">
        <v>0</v>
      </c>
      <c r="F15" s="64"/>
      <c r="G15" s="64" t="s">
        <v>58</v>
      </c>
      <c r="I15" s="10"/>
      <c r="J15" s="16"/>
      <c r="L15" s="10"/>
      <c r="M15" s="16"/>
      <c r="O15" s="110"/>
      <c r="P15" s="111"/>
      <c r="Q15" s="114"/>
      <c r="R15" s="110" t="s">
        <v>285</v>
      </c>
      <c r="S15" s="111">
        <v>44.95</v>
      </c>
      <c r="T15" s="113"/>
    </row>
    <row r="16" spans="2:20">
      <c r="B16" s="99" t="s">
        <v>155</v>
      </c>
      <c r="C16" s="96">
        <v>-14</v>
      </c>
      <c r="D16" s="97"/>
      <c r="E16" s="63">
        <v>0</v>
      </c>
      <c r="F16" s="64"/>
      <c r="G16" s="64" t="s">
        <v>58</v>
      </c>
      <c r="I16" s="10"/>
      <c r="J16" s="16"/>
      <c r="L16" s="10"/>
      <c r="M16" s="16"/>
      <c r="O16" s="110"/>
      <c r="P16" s="111"/>
      <c r="Q16" s="114"/>
      <c r="R16" s="110" t="s">
        <v>286</v>
      </c>
      <c r="S16" s="111">
        <v>80</v>
      </c>
      <c r="T16" s="113"/>
    </row>
    <row r="17" spans="2:20">
      <c r="B17" s="99" t="s">
        <v>96</v>
      </c>
      <c r="C17" s="96">
        <v>-102.64</v>
      </c>
      <c r="D17" s="97"/>
      <c r="E17" s="63">
        <v>0</v>
      </c>
      <c r="F17" s="64">
        <v>39572</v>
      </c>
      <c r="G17" s="64" t="s">
        <v>58</v>
      </c>
      <c r="I17" s="10"/>
      <c r="J17" s="16"/>
      <c r="L17" s="10"/>
      <c r="M17" s="16"/>
      <c r="O17" s="110"/>
      <c r="P17" s="111"/>
      <c r="Q17" s="114"/>
      <c r="R17" s="110" t="s">
        <v>287</v>
      </c>
      <c r="S17" s="111">
        <v>51</v>
      </c>
      <c r="T17" s="113"/>
    </row>
    <row r="18" spans="2:20">
      <c r="B18" s="99" t="s">
        <v>29</v>
      </c>
      <c r="C18" s="96">
        <v>-262.01</v>
      </c>
      <c r="D18" s="97"/>
      <c r="E18" s="63">
        <v>0</v>
      </c>
      <c r="F18" s="64">
        <v>39572</v>
      </c>
      <c r="G18" s="64" t="s">
        <v>58</v>
      </c>
      <c r="O18" s="115"/>
      <c r="P18" s="116"/>
      <c r="Q18" s="117"/>
      <c r="R18" s="115" t="s">
        <v>288</v>
      </c>
      <c r="S18" s="116">
        <v>19</v>
      </c>
      <c r="T18" s="118"/>
    </row>
    <row r="19" spans="2:20">
      <c r="B19" s="99" t="s">
        <v>289</v>
      </c>
      <c r="C19" s="96">
        <v>-50</v>
      </c>
      <c r="D19" s="97"/>
      <c r="E19" s="63">
        <v>0</v>
      </c>
      <c r="F19" s="64"/>
      <c r="G19" s="64" t="s">
        <v>58</v>
      </c>
      <c r="O19" s="115"/>
      <c r="P19" s="116"/>
      <c r="Q19" s="117"/>
      <c r="R19" s="115" t="s">
        <v>290</v>
      </c>
      <c r="S19" s="116">
        <v>8.3800000000000008</v>
      </c>
      <c r="T19" s="118"/>
    </row>
    <row r="20" spans="2:20" ht="15.75">
      <c r="B20" s="99" t="s">
        <v>239</v>
      </c>
      <c r="C20" s="96">
        <v>1974.51</v>
      </c>
      <c r="D20" s="97"/>
      <c r="E20" s="63">
        <v>0</v>
      </c>
      <c r="F20" s="64">
        <v>39587</v>
      </c>
      <c r="G20" s="64"/>
      <c r="I20" s="105" t="s">
        <v>209</v>
      </c>
      <c r="J20" s="221" t="s">
        <v>1</v>
      </c>
      <c r="O20" s="115"/>
      <c r="P20" s="116"/>
      <c r="Q20" s="117"/>
      <c r="R20" s="115" t="s">
        <v>291</v>
      </c>
      <c r="S20" s="116">
        <v>60.61</v>
      </c>
      <c r="T20" s="118"/>
    </row>
    <row r="21" spans="2:20">
      <c r="B21" s="99" t="s">
        <v>292</v>
      </c>
      <c r="C21" s="96">
        <v>-390</v>
      </c>
      <c r="D21" s="97"/>
      <c r="E21" s="63">
        <v>0</v>
      </c>
      <c r="F21" s="64"/>
      <c r="G21" s="64" t="s">
        <v>58</v>
      </c>
      <c r="I21" s="124">
        <v>108.97</v>
      </c>
      <c r="J21" s="125">
        <v>39492</v>
      </c>
      <c r="O21" s="115"/>
      <c r="P21" s="116"/>
      <c r="Q21" s="117"/>
      <c r="R21" s="115" t="s">
        <v>293</v>
      </c>
      <c r="S21" s="116">
        <v>87.54</v>
      </c>
      <c r="T21" s="118"/>
    </row>
    <row r="22" spans="2:20">
      <c r="B22" s="99" t="s">
        <v>211</v>
      </c>
      <c r="C22" s="96">
        <v>-76.3</v>
      </c>
      <c r="D22" s="97"/>
      <c r="E22" s="63">
        <v>0</v>
      </c>
      <c r="F22" s="64">
        <v>39582</v>
      </c>
      <c r="G22" s="64"/>
      <c r="I22" s="124">
        <v>108.97</v>
      </c>
      <c r="J22" s="125">
        <v>39521</v>
      </c>
      <c r="O22" s="119" t="s">
        <v>45</v>
      </c>
      <c r="P22" s="120">
        <f>SUM(P5:P21)</f>
        <v>55.230000000000004</v>
      </c>
      <c r="Q22" s="121"/>
      <c r="R22" s="119" t="s">
        <v>45</v>
      </c>
      <c r="S22" s="122">
        <v>847.46</v>
      </c>
      <c r="T22" s="123"/>
    </row>
    <row r="23" spans="2:20">
      <c r="B23" s="99" t="s">
        <v>158</v>
      </c>
      <c r="C23" s="96">
        <v>-30</v>
      </c>
      <c r="D23" s="97"/>
      <c r="E23" s="63">
        <v>0</v>
      </c>
      <c r="F23" s="64"/>
      <c r="G23" s="64" t="s">
        <v>58</v>
      </c>
      <c r="I23" s="124">
        <v>108.97</v>
      </c>
      <c r="J23" s="125">
        <v>39552</v>
      </c>
    </row>
    <row r="24" spans="2:20">
      <c r="B24" s="99" t="s">
        <v>82</v>
      </c>
      <c r="C24" s="96">
        <v>-40</v>
      </c>
      <c r="D24" s="97"/>
      <c r="E24" s="63">
        <v>0</v>
      </c>
      <c r="F24" s="64"/>
      <c r="G24" s="64" t="s">
        <v>58</v>
      </c>
      <c r="I24" s="124">
        <v>76.3</v>
      </c>
      <c r="J24" s="125">
        <v>39582</v>
      </c>
    </row>
    <row r="25" spans="2:20">
      <c r="B25" s="99" t="s">
        <v>41</v>
      </c>
      <c r="C25" s="96">
        <v>-84.65</v>
      </c>
      <c r="D25" s="97"/>
      <c r="E25" s="63">
        <v>0</v>
      </c>
      <c r="F25" s="64">
        <v>39575</v>
      </c>
      <c r="G25" s="64" t="s">
        <v>58</v>
      </c>
      <c r="I25" s="10">
        <v>76.3</v>
      </c>
      <c r="J25" s="16">
        <v>39613</v>
      </c>
    </row>
    <row r="26" spans="2:20">
      <c r="B26" s="99" t="s">
        <v>98</v>
      </c>
      <c r="C26" s="96">
        <v>-135.51</v>
      </c>
      <c r="D26" s="97"/>
      <c r="E26" s="63">
        <v>0</v>
      </c>
      <c r="F26" s="64">
        <v>39575</v>
      </c>
      <c r="G26" s="64" t="s">
        <v>58</v>
      </c>
      <c r="I26" s="10">
        <v>76.3</v>
      </c>
      <c r="J26" s="16">
        <v>39643</v>
      </c>
    </row>
    <row r="27" spans="2:20">
      <c r="B27" s="99" t="s">
        <v>175</v>
      </c>
      <c r="C27" s="96">
        <v>-21</v>
      </c>
      <c r="D27" s="97"/>
      <c r="E27" s="63">
        <v>0</v>
      </c>
      <c r="F27" s="64">
        <v>39572</v>
      </c>
      <c r="G27" s="64" t="s">
        <v>58</v>
      </c>
    </row>
    <row r="28" spans="2:20">
      <c r="B28" s="99" t="s">
        <v>77</v>
      </c>
      <c r="C28" s="96">
        <v>-156.80000000000001</v>
      </c>
      <c r="D28" s="97"/>
      <c r="E28" s="63">
        <v>0</v>
      </c>
      <c r="F28" s="64">
        <v>39558</v>
      </c>
      <c r="G28" s="64"/>
    </row>
    <row r="29" spans="2:20" ht="23.25">
      <c r="B29" s="99" t="s">
        <v>294</v>
      </c>
      <c r="C29" s="96">
        <v>-100</v>
      </c>
      <c r="D29" s="97"/>
      <c r="E29" s="63">
        <v>0</v>
      </c>
      <c r="F29" s="64">
        <v>39592</v>
      </c>
      <c r="G29" s="64" t="s">
        <v>58</v>
      </c>
      <c r="I29" s="105" t="s">
        <v>251</v>
      </c>
      <c r="J29" s="221" t="s">
        <v>1</v>
      </c>
    </row>
    <row r="30" spans="2:20" ht="18">
      <c r="B30" s="74" t="s">
        <v>45</v>
      </c>
      <c r="C30" s="101"/>
      <c r="D30" s="98"/>
      <c r="E30" s="129">
        <f>SUM(E3:E29)</f>
        <v>211.88</v>
      </c>
      <c r="F30" s="75"/>
      <c r="G30" s="75"/>
      <c r="I30" s="124">
        <v>-100</v>
      </c>
      <c r="J30" s="125">
        <v>39531</v>
      </c>
    </row>
    <row r="31" spans="2:20">
      <c r="C31" s="1"/>
      <c r="D31" s="1"/>
      <c r="E31" s="1"/>
      <c r="I31" s="124">
        <v>-100</v>
      </c>
      <c r="J31" s="125">
        <v>39562</v>
      </c>
    </row>
    <row r="32" spans="2:20">
      <c r="I32" s="124">
        <v>-100</v>
      </c>
      <c r="J32" s="125">
        <v>39592</v>
      </c>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29.xml><?xml version="1.0" encoding="utf-8"?>
<worksheet xmlns="http://schemas.openxmlformats.org/spreadsheetml/2006/main" xmlns:r="http://schemas.openxmlformats.org/officeDocument/2006/relationships">
  <sheetPr>
    <pageSetUpPr autoPageBreaks="0"/>
  </sheetPr>
  <dimension ref="B1:T41"/>
  <sheetViews>
    <sheetView showGridLines="0" zoomScale="75" zoomScaleNormal="75" zoomScalePageLayoutView="75" workbookViewId="0">
      <selection activeCell="C5" activeCellId="1" sqref="G13 C5"/>
    </sheetView>
  </sheetViews>
  <sheetFormatPr defaultColWidth="8.85546875" defaultRowHeight="12.75"/>
  <cols>
    <col min="1" max="1" width="2" customWidth="1"/>
    <col min="2" max="2" width="34.4257812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2.28515625" customWidth="1"/>
    <col min="13" max="14" width="12.140625" customWidth="1"/>
    <col min="15" max="15" width="24.28515625" customWidth="1"/>
    <col min="16" max="16" width="10.42578125" customWidth="1"/>
    <col min="17" max="17" width="9.85546875" customWidth="1"/>
    <col min="18" max="18" width="21.140625" customWidth="1"/>
    <col min="19" max="19" width="10.85546875" customWidth="1"/>
    <col min="20" max="20" width="7.28515625" customWidth="1"/>
  </cols>
  <sheetData>
    <row r="1" spans="2:20">
      <c r="E1" s="106"/>
    </row>
    <row r="2" spans="2:20" ht="18">
      <c r="B2" s="220" t="s">
        <v>135</v>
      </c>
      <c r="C2" s="220" t="s">
        <v>136</v>
      </c>
      <c r="D2" s="90"/>
      <c r="E2" s="220" t="s">
        <v>0</v>
      </c>
      <c r="F2" s="82" t="s">
        <v>1</v>
      </c>
      <c r="G2" s="82" t="s">
        <v>57</v>
      </c>
      <c r="I2" s="221" t="s">
        <v>214</v>
      </c>
      <c r="J2" s="221" t="s">
        <v>1</v>
      </c>
      <c r="L2" s="221" t="s">
        <v>295</v>
      </c>
      <c r="M2" s="221" t="s">
        <v>1</v>
      </c>
      <c r="O2" s="580" t="s">
        <v>215</v>
      </c>
      <c r="P2" s="580"/>
      <c r="Q2" s="580"/>
      <c r="R2" s="580"/>
      <c r="S2" s="580"/>
      <c r="T2" s="580"/>
    </row>
    <row r="3" spans="2:20">
      <c r="B3" s="71" t="s">
        <v>11</v>
      </c>
      <c r="C3" s="91">
        <v>0</v>
      </c>
      <c r="D3" s="92"/>
      <c r="E3" s="95">
        <v>-393.78</v>
      </c>
      <c r="F3" s="61"/>
      <c r="G3" s="61"/>
      <c r="I3" s="10">
        <v>2284.8200000000002</v>
      </c>
      <c r="J3" s="16">
        <v>39782</v>
      </c>
      <c r="L3" s="10">
        <v>5500</v>
      </c>
      <c r="M3" s="16">
        <v>39605</v>
      </c>
      <c r="O3" s="581" t="s">
        <v>216</v>
      </c>
      <c r="P3" s="581"/>
      <c r="Q3" s="581"/>
      <c r="R3" s="582" t="s">
        <v>217</v>
      </c>
      <c r="S3" s="582"/>
      <c r="T3" s="582"/>
    </row>
    <row r="4" spans="2:20" ht="12" customHeight="1">
      <c r="B4" s="71" t="s">
        <v>56</v>
      </c>
      <c r="C4" s="91">
        <v>0</v>
      </c>
      <c r="D4" s="92"/>
      <c r="E4" s="95">
        <v>-123.4</v>
      </c>
      <c r="F4" s="72"/>
      <c r="G4" s="72"/>
      <c r="I4" s="10">
        <v>2308.69</v>
      </c>
      <c r="J4" s="16">
        <v>39602</v>
      </c>
      <c r="L4" s="10">
        <v>5871.03</v>
      </c>
      <c r="M4" s="16">
        <v>39611</v>
      </c>
      <c r="O4" s="107" t="s">
        <v>218</v>
      </c>
      <c r="P4" s="108" t="s">
        <v>219</v>
      </c>
      <c r="Q4" s="109" t="s">
        <v>1</v>
      </c>
      <c r="R4" s="107" t="s">
        <v>218</v>
      </c>
      <c r="S4" s="108" t="s">
        <v>219</v>
      </c>
      <c r="T4" s="109" t="s">
        <v>1</v>
      </c>
    </row>
    <row r="5" spans="2:20" ht="12" customHeight="1">
      <c r="B5" s="71" t="s">
        <v>172</v>
      </c>
      <c r="C5" s="93">
        <v>6723.58</v>
      </c>
      <c r="D5" s="94"/>
      <c r="E5" s="95">
        <v>0</v>
      </c>
      <c r="F5" s="72"/>
      <c r="G5" s="72"/>
      <c r="I5" s="10">
        <v>2268.48</v>
      </c>
      <c r="J5" s="16">
        <v>39604</v>
      </c>
      <c r="L5" s="10">
        <v>5869.13</v>
      </c>
      <c r="M5" s="16">
        <v>39616</v>
      </c>
      <c r="O5" s="110" t="s">
        <v>296</v>
      </c>
      <c r="P5" s="111">
        <v>50</v>
      </c>
      <c r="Q5" s="112"/>
      <c r="R5" s="110" t="s">
        <v>297</v>
      </c>
      <c r="S5" s="111">
        <v>44.95</v>
      </c>
      <c r="T5" s="113"/>
    </row>
    <row r="6" spans="2:20">
      <c r="B6" s="71" t="s">
        <v>298</v>
      </c>
      <c r="C6" s="93">
        <v>150</v>
      </c>
      <c r="D6" s="94"/>
      <c r="E6" s="95">
        <v>0</v>
      </c>
      <c r="F6" s="72"/>
      <c r="G6" s="72"/>
      <c r="I6" s="10">
        <v>2256.34</v>
      </c>
      <c r="J6" s="16">
        <v>39609</v>
      </c>
      <c r="L6" s="10">
        <v>5495.17</v>
      </c>
      <c r="M6" s="16">
        <v>39625</v>
      </c>
      <c r="O6" s="110" t="s">
        <v>299</v>
      </c>
      <c r="P6" s="111">
        <v>14.74</v>
      </c>
      <c r="Q6" s="112"/>
      <c r="R6" s="110" t="s">
        <v>300</v>
      </c>
      <c r="S6" s="111">
        <v>59</v>
      </c>
      <c r="T6" s="113"/>
    </row>
    <row r="7" spans="2:20">
      <c r="B7" s="71" t="s">
        <v>301</v>
      </c>
      <c r="C7" s="93">
        <v>50</v>
      </c>
      <c r="D7" s="94"/>
      <c r="E7" s="95">
        <v>0</v>
      </c>
      <c r="F7" s="72"/>
      <c r="G7" s="72"/>
      <c r="I7" s="10">
        <v>2214.58</v>
      </c>
      <c r="J7" s="16">
        <v>39611</v>
      </c>
      <c r="L7" s="10"/>
      <c r="M7" s="16"/>
      <c r="O7" s="110" t="s">
        <v>302</v>
      </c>
      <c r="P7" s="111">
        <v>41.38</v>
      </c>
      <c r="Q7" s="114"/>
      <c r="R7" s="110" t="s">
        <v>300</v>
      </c>
      <c r="S7" s="111">
        <v>58</v>
      </c>
      <c r="T7" s="113"/>
    </row>
    <row r="8" spans="2:20">
      <c r="B8" s="71" t="s">
        <v>303</v>
      </c>
      <c r="C8" s="93">
        <v>270</v>
      </c>
      <c r="D8" s="94"/>
      <c r="E8" s="95">
        <v>0</v>
      </c>
      <c r="F8" s="72"/>
      <c r="G8" s="72"/>
      <c r="I8" s="10">
        <v>2226.13</v>
      </c>
      <c r="J8" s="16">
        <v>39612</v>
      </c>
      <c r="L8" s="10"/>
      <c r="M8" s="16"/>
      <c r="O8" s="110" t="s">
        <v>304</v>
      </c>
      <c r="P8" s="111">
        <v>-0.83</v>
      </c>
      <c r="Q8" s="114"/>
      <c r="R8" s="110" t="s">
        <v>305</v>
      </c>
      <c r="S8" s="111">
        <v>106.6</v>
      </c>
      <c r="T8" s="113"/>
    </row>
    <row r="9" spans="2:20">
      <c r="B9" s="71" t="s">
        <v>9</v>
      </c>
      <c r="C9" s="93">
        <v>120</v>
      </c>
      <c r="D9" s="94"/>
      <c r="E9" s="95">
        <v>0</v>
      </c>
      <c r="F9" s="72"/>
      <c r="G9" s="72"/>
      <c r="I9" s="10">
        <v>2226.13</v>
      </c>
      <c r="J9" s="16">
        <v>39615</v>
      </c>
      <c r="L9" s="10"/>
      <c r="M9" s="16"/>
      <c r="O9" s="110"/>
      <c r="P9" s="111"/>
      <c r="Q9" s="114"/>
      <c r="R9" s="110" t="s">
        <v>306</v>
      </c>
      <c r="S9" s="111">
        <v>25</v>
      </c>
      <c r="T9" s="113"/>
    </row>
    <row r="10" spans="2:20">
      <c r="B10" s="71" t="s">
        <v>307</v>
      </c>
      <c r="C10" s="93">
        <v>31</v>
      </c>
      <c r="D10" s="94"/>
      <c r="E10" s="95">
        <v>0</v>
      </c>
      <c r="F10" s="72"/>
      <c r="G10" s="72"/>
      <c r="I10" s="10">
        <v>2231.5100000000002</v>
      </c>
      <c r="J10" s="16">
        <v>39616</v>
      </c>
      <c r="L10" s="10"/>
      <c r="M10" s="16"/>
      <c r="O10" s="110"/>
      <c r="P10" s="111"/>
      <c r="Q10" s="114"/>
      <c r="R10" s="110" t="s">
        <v>308</v>
      </c>
      <c r="S10" s="111">
        <v>274.5</v>
      </c>
      <c r="T10" s="113"/>
    </row>
    <row r="11" spans="2:20">
      <c r="B11" s="99" t="s">
        <v>102</v>
      </c>
      <c r="C11" s="96">
        <v>-4000</v>
      </c>
      <c r="D11" s="97"/>
      <c r="E11" s="63">
        <v>0</v>
      </c>
      <c r="F11" s="64">
        <v>39597</v>
      </c>
      <c r="G11" s="64" t="s">
        <v>58</v>
      </c>
      <c r="I11" s="130">
        <v>2207.58</v>
      </c>
      <c r="J11" s="16">
        <v>39618</v>
      </c>
      <c r="L11" s="10"/>
      <c r="M11" s="16"/>
      <c r="O11" s="110"/>
      <c r="P11" s="111"/>
      <c r="Q11" s="114"/>
      <c r="R11" s="110" t="s">
        <v>309</v>
      </c>
      <c r="S11" s="111">
        <v>36</v>
      </c>
      <c r="T11" s="113"/>
    </row>
    <row r="12" spans="2:20">
      <c r="B12" s="99" t="s">
        <v>65</v>
      </c>
      <c r="C12" s="96">
        <f>-2*45</f>
        <v>-90</v>
      </c>
      <c r="D12" s="97"/>
      <c r="E12" s="63">
        <v>0</v>
      </c>
      <c r="F12" s="64" t="s">
        <v>207</v>
      </c>
      <c r="G12" s="64" t="s">
        <v>58</v>
      </c>
      <c r="I12" s="10">
        <v>2163.4299999999998</v>
      </c>
      <c r="J12" s="16">
        <v>39622</v>
      </c>
      <c r="L12" s="10"/>
      <c r="M12" s="16"/>
      <c r="O12" s="110"/>
      <c r="P12" s="111"/>
      <c r="Q12" s="114"/>
      <c r="R12" s="110" t="s">
        <v>310</v>
      </c>
      <c r="S12" s="111">
        <v>40</v>
      </c>
      <c r="T12" s="113"/>
    </row>
    <row r="13" spans="2:20">
      <c r="B13" s="99" t="s">
        <v>38</v>
      </c>
      <c r="C13" s="96">
        <v>-500.59</v>
      </c>
      <c r="D13" s="97"/>
      <c r="E13" s="63">
        <v>0</v>
      </c>
      <c r="F13" s="64">
        <v>39601</v>
      </c>
      <c r="G13" s="64" t="s">
        <v>58</v>
      </c>
      <c r="I13" s="10"/>
      <c r="J13" s="16"/>
      <c r="L13" s="10"/>
      <c r="M13" s="16"/>
      <c r="O13" s="110"/>
      <c r="P13" s="111"/>
      <c r="Q13" s="114"/>
      <c r="R13" s="110"/>
      <c r="S13" s="111"/>
      <c r="T13" s="113"/>
    </row>
    <row r="14" spans="2:20">
      <c r="B14" s="99" t="s">
        <v>14</v>
      </c>
      <c r="C14" s="96">
        <v>-14.7</v>
      </c>
      <c r="D14" s="97"/>
      <c r="E14" s="63">
        <v>0</v>
      </c>
      <c r="F14" s="64">
        <v>39597</v>
      </c>
      <c r="G14" s="64" t="s">
        <v>58</v>
      </c>
      <c r="I14" s="10"/>
      <c r="J14" s="16"/>
      <c r="L14" s="10"/>
      <c r="M14" s="16"/>
      <c r="O14" s="110"/>
      <c r="P14" s="111"/>
      <c r="Q14" s="114"/>
      <c r="R14" s="110"/>
      <c r="S14" s="111"/>
      <c r="T14" s="113"/>
    </row>
    <row r="15" spans="2:20">
      <c r="B15" s="99" t="s">
        <v>311</v>
      </c>
      <c r="C15" s="96">
        <v>-270</v>
      </c>
      <c r="D15" s="97"/>
      <c r="E15" s="63">
        <v>0</v>
      </c>
      <c r="F15" s="64">
        <v>39601</v>
      </c>
      <c r="G15" s="64" t="s">
        <v>58</v>
      </c>
      <c r="I15" s="10"/>
      <c r="J15" s="16"/>
      <c r="L15" s="10"/>
      <c r="M15" s="16"/>
      <c r="O15" s="110"/>
      <c r="P15" s="111"/>
      <c r="Q15" s="114"/>
      <c r="R15" s="110"/>
      <c r="S15" s="111"/>
      <c r="T15" s="113"/>
    </row>
    <row r="16" spans="2:20">
      <c r="B16" s="99" t="s">
        <v>93</v>
      </c>
      <c r="C16" s="96">
        <v>-187.48</v>
      </c>
      <c r="D16" s="97"/>
      <c r="E16" s="63">
        <v>0</v>
      </c>
      <c r="F16" s="64">
        <v>39597</v>
      </c>
      <c r="G16" s="64" t="s">
        <v>58</v>
      </c>
      <c r="I16" s="10"/>
      <c r="J16" s="16"/>
      <c r="L16" s="10"/>
      <c r="M16" s="16"/>
      <c r="O16" s="110"/>
      <c r="P16" s="111"/>
      <c r="Q16" s="114"/>
      <c r="R16" s="110"/>
      <c r="S16" s="111"/>
      <c r="T16" s="113"/>
    </row>
    <row r="17" spans="2:20">
      <c r="B17" s="99" t="s">
        <v>110</v>
      </c>
      <c r="C17" s="96">
        <v>-167.43</v>
      </c>
      <c r="D17" s="97"/>
      <c r="E17" s="63">
        <v>0</v>
      </c>
      <c r="F17" s="64">
        <v>39598</v>
      </c>
      <c r="G17" s="64" t="s">
        <v>58</v>
      </c>
      <c r="I17" s="10"/>
      <c r="J17" s="16"/>
      <c r="L17" s="10"/>
      <c r="M17" s="16"/>
      <c r="O17" s="110"/>
      <c r="P17" s="111"/>
      <c r="Q17" s="114"/>
      <c r="R17" s="110"/>
      <c r="S17" s="111"/>
      <c r="T17" s="113"/>
    </row>
    <row r="18" spans="2:20">
      <c r="B18" s="99" t="s">
        <v>103</v>
      </c>
      <c r="C18" s="96">
        <v>-847.46</v>
      </c>
      <c r="D18" s="97"/>
      <c r="E18" s="63">
        <v>0</v>
      </c>
      <c r="F18" s="64">
        <v>39597</v>
      </c>
      <c r="G18" s="64" t="s">
        <v>58</v>
      </c>
      <c r="O18" s="115"/>
      <c r="P18" s="116"/>
      <c r="Q18" s="117"/>
      <c r="R18" s="115"/>
      <c r="S18" s="116"/>
      <c r="T18" s="118"/>
    </row>
    <row r="19" spans="2:20">
      <c r="B19" s="99" t="s">
        <v>312</v>
      </c>
      <c r="C19" s="96">
        <v>-50</v>
      </c>
      <c r="D19" s="97"/>
      <c r="E19" s="63">
        <v>0</v>
      </c>
      <c r="F19" s="64">
        <v>39601</v>
      </c>
      <c r="G19" s="64" t="s">
        <v>58</v>
      </c>
      <c r="O19" s="115"/>
      <c r="P19" s="116"/>
      <c r="Q19" s="117"/>
      <c r="R19" s="115"/>
      <c r="S19" s="116"/>
      <c r="T19" s="118"/>
    </row>
    <row r="20" spans="2:20" ht="15.75">
      <c r="B20" s="99" t="s">
        <v>154</v>
      </c>
      <c r="C20" s="96">
        <v>-19</v>
      </c>
      <c r="D20" s="97"/>
      <c r="E20" s="63">
        <v>0</v>
      </c>
      <c r="F20" s="64">
        <v>39604</v>
      </c>
      <c r="G20" s="64" t="s">
        <v>58</v>
      </c>
      <c r="I20" s="105" t="s">
        <v>209</v>
      </c>
      <c r="J20" s="221" t="s">
        <v>1</v>
      </c>
      <c r="O20" s="115"/>
      <c r="P20" s="116"/>
      <c r="Q20" s="117"/>
      <c r="R20" s="115"/>
      <c r="S20" s="116"/>
      <c r="T20" s="118"/>
    </row>
    <row r="21" spans="2:20">
      <c r="B21" s="99" t="s">
        <v>155</v>
      </c>
      <c r="C21" s="96">
        <v>-14</v>
      </c>
      <c r="D21" s="97"/>
      <c r="E21" s="63">
        <v>0</v>
      </c>
      <c r="F21" s="64">
        <v>39613</v>
      </c>
      <c r="G21" s="64" t="s">
        <v>58</v>
      </c>
      <c r="I21" s="124">
        <v>108.97</v>
      </c>
      <c r="J21" s="125">
        <v>39492</v>
      </c>
      <c r="O21" s="115"/>
      <c r="P21" s="116"/>
      <c r="Q21" s="117"/>
      <c r="R21" s="115"/>
      <c r="S21" s="116"/>
      <c r="T21" s="118"/>
    </row>
    <row r="22" spans="2:20">
      <c r="B22" s="99" t="s">
        <v>96</v>
      </c>
      <c r="C22" s="96">
        <v>-85.67</v>
      </c>
      <c r="D22" s="97"/>
      <c r="E22" s="63">
        <v>0</v>
      </c>
      <c r="F22" s="64">
        <v>39603</v>
      </c>
      <c r="G22" s="64" t="s">
        <v>58</v>
      </c>
      <c r="I22" s="124">
        <v>108.97</v>
      </c>
      <c r="J22" s="125">
        <v>39521</v>
      </c>
      <c r="O22" s="119" t="s">
        <v>45</v>
      </c>
      <c r="P22" s="120">
        <f>SUM(P5:P21)</f>
        <v>105.29</v>
      </c>
      <c r="Q22" s="121"/>
      <c r="R22" s="119" t="s">
        <v>45</v>
      </c>
      <c r="S22" s="122">
        <f>SUM(S5:S21)</f>
        <v>644.04999999999995</v>
      </c>
      <c r="T22" s="123"/>
    </row>
    <row r="23" spans="2:20">
      <c r="B23" s="99" t="s">
        <v>29</v>
      </c>
      <c r="C23" s="96">
        <v>-262.01</v>
      </c>
      <c r="D23" s="97"/>
      <c r="E23" s="63">
        <v>0</v>
      </c>
      <c r="F23" s="64">
        <v>39606</v>
      </c>
      <c r="G23" s="64" t="s">
        <v>58</v>
      </c>
      <c r="I23" s="124">
        <v>108.97</v>
      </c>
      <c r="J23" s="125">
        <v>39552</v>
      </c>
    </row>
    <row r="24" spans="2:20">
      <c r="B24" s="99" t="s">
        <v>211</v>
      </c>
      <c r="C24" s="96">
        <v>-76.3</v>
      </c>
      <c r="D24" s="97"/>
      <c r="E24" s="63">
        <v>0</v>
      </c>
      <c r="F24" s="64">
        <v>39613</v>
      </c>
      <c r="G24" s="64" t="s">
        <v>58</v>
      </c>
      <c r="I24" s="124">
        <v>76.3</v>
      </c>
      <c r="J24" s="125">
        <v>39582</v>
      </c>
    </row>
    <row r="25" spans="2:20">
      <c r="B25" s="99" t="s">
        <v>82</v>
      </c>
      <c r="C25" s="96">
        <v>-31</v>
      </c>
      <c r="D25" s="97"/>
      <c r="E25" s="63">
        <v>0</v>
      </c>
      <c r="F25" s="64">
        <v>39609</v>
      </c>
      <c r="G25" s="64" t="s">
        <v>58</v>
      </c>
      <c r="I25" s="124">
        <v>76.3</v>
      </c>
      <c r="J25" s="125">
        <v>39613</v>
      </c>
    </row>
    <row r="26" spans="2:20">
      <c r="B26" s="99" t="s">
        <v>158</v>
      </c>
      <c r="C26" s="96">
        <f>-30-60</f>
        <v>-90</v>
      </c>
      <c r="D26" s="97"/>
      <c r="E26" s="63">
        <v>0</v>
      </c>
      <c r="F26" s="64">
        <v>39619</v>
      </c>
      <c r="G26" s="64" t="s">
        <v>58</v>
      </c>
      <c r="I26" s="10">
        <v>76.3</v>
      </c>
      <c r="J26" s="16">
        <v>39643</v>
      </c>
    </row>
    <row r="27" spans="2:20">
      <c r="B27" s="99" t="s">
        <v>41</v>
      </c>
      <c r="C27" s="96">
        <v>-85.06</v>
      </c>
      <c r="D27" s="97"/>
      <c r="E27" s="63">
        <v>0</v>
      </c>
      <c r="F27" s="64">
        <v>39614</v>
      </c>
      <c r="G27" s="64" t="s">
        <v>58</v>
      </c>
    </row>
    <row r="28" spans="2:20">
      <c r="B28" s="99" t="s">
        <v>98</v>
      </c>
      <c r="C28" s="96">
        <v>-103.72</v>
      </c>
      <c r="D28" s="97"/>
      <c r="E28" s="63">
        <v>0</v>
      </c>
      <c r="F28" s="64">
        <v>39614</v>
      </c>
      <c r="G28" s="64" t="s">
        <v>58</v>
      </c>
    </row>
    <row r="29" spans="2:20">
      <c r="B29" s="99" t="s">
        <v>175</v>
      </c>
      <c r="C29" s="96">
        <v>-21</v>
      </c>
      <c r="D29" s="97"/>
      <c r="E29" s="63">
        <v>0</v>
      </c>
      <c r="F29" s="64">
        <v>39606</v>
      </c>
      <c r="G29" s="64" t="s">
        <v>58</v>
      </c>
    </row>
    <row r="30" spans="2:20">
      <c r="B30" s="99" t="s">
        <v>77</v>
      </c>
      <c r="C30" s="96">
        <v>-156.80000000000001</v>
      </c>
      <c r="D30" s="97"/>
      <c r="E30" s="63">
        <v>0</v>
      </c>
      <c r="F30" s="64">
        <v>39619</v>
      </c>
      <c r="G30" s="64" t="s">
        <v>58</v>
      </c>
    </row>
    <row r="31" spans="2:20">
      <c r="B31" s="99" t="s">
        <v>110</v>
      </c>
      <c r="C31" s="96">
        <v>-100</v>
      </c>
      <c r="D31" s="97"/>
      <c r="E31" s="63">
        <v>0</v>
      </c>
      <c r="F31" s="64">
        <v>39626</v>
      </c>
      <c r="G31" s="64"/>
    </row>
    <row r="32" spans="2:20" ht="18">
      <c r="B32" s="74" t="s">
        <v>45</v>
      </c>
      <c r="C32" s="101"/>
      <c r="D32" s="98"/>
      <c r="E32" s="129">
        <f>SUM(E3:E31)</f>
        <v>-517.17999999999995</v>
      </c>
      <c r="F32" s="75"/>
      <c r="G32" s="75"/>
    </row>
    <row r="33" spans="3:18">
      <c r="C33" s="1"/>
      <c r="D33" s="1"/>
      <c r="E33" s="1"/>
    </row>
    <row r="36" spans="3:18">
      <c r="L36" s="583" t="s">
        <v>313</v>
      </c>
      <c r="M36" s="583"/>
      <c r="N36" s="583"/>
      <c r="O36" s="583"/>
      <c r="P36" s="583"/>
      <c r="Q36" s="583"/>
      <c r="R36" s="583"/>
    </row>
    <row r="37" spans="3:18">
      <c r="H37" s="89"/>
      <c r="L37" s="9"/>
      <c r="M37" s="9" t="s">
        <v>314</v>
      </c>
      <c r="N37" s="9" t="s">
        <v>315</v>
      </c>
      <c r="O37" s="9" t="s">
        <v>316</v>
      </c>
      <c r="P37" s="9" t="s">
        <v>317</v>
      </c>
      <c r="Q37" s="9" t="s">
        <v>318</v>
      </c>
      <c r="R37" s="9" t="s">
        <v>319</v>
      </c>
    </row>
    <row r="38" spans="3:18">
      <c r="L38" s="9" t="s">
        <v>320</v>
      </c>
      <c r="M38" s="26">
        <f>I3+L3</f>
        <v>7784.82</v>
      </c>
      <c r="N38" s="26">
        <f>M39</f>
        <v>7658.6</v>
      </c>
      <c r="O38" s="9">
        <f>N39</f>
        <v>0</v>
      </c>
      <c r="P38" s="9">
        <f>O39</f>
        <v>0</v>
      </c>
      <c r="Q38" s="9">
        <f>P39</f>
        <v>0</v>
      </c>
      <c r="R38" s="9">
        <f>Q39</f>
        <v>0</v>
      </c>
    </row>
    <row r="39" spans="3:18">
      <c r="L39" s="9" t="s">
        <v>321</v>
      </c>
      <c r="M39" s="26">
        <f>I12+L6</f>
        <v>7658.6</v>
      </c>
      <c r="N39" s="9"/>
      <c r="O39" s="9"/>
      <c r="P39" s="9"/>
      <c r="Q39" s="9"/>
      <c r="R39" s="9"/>
    </row>
    <row r="40" spans="3:18">
      <c r="L40" s="9" t="s">
        <v>322</v>
      </c>
      <c r="M40" s="26">
        <v>0</v>
      </c>
      <c r="N40" s="9"/>
      <c r="O40" s="9"/>
      <c r="P40" s="9"/>
      <c r="Q40" s="9"/>
      <c r="R40" s="9"/>
    </row>
    <row r="41" spans="3:18">
      <c r="L41" s="9" t="s">
        <v>323</v>
      </c>
      <c r="M41" s="131">
        <f t="shared" ref="M41:R41" si="0">1-(M38/M39)</f>
        <v>-1.6480818948632736E-2</v>
      </c>
      <c r="N41" s="131" t="e">
        <f t="shared" si="0"/>
        <v>#DIV/0!</v>
      </c>
      <c r="O41" s="131" t="e">
        <f t="shared" si="0"/>
        <v>#DIV/0!</v>
      </c>
      <c r="P41" s="131" t="e">
        <f t="shared" si="0"/>
        <v>#DIV/0!</v>
      </c>
      <c r="Q41" s="131" t="e">
        <f t="shared" si="0"/>
        <v>#DIV/0!</v>
      </c>
      <c r="R41" s="131" t="e">
        <f t="shared" si="0"/>
        <v>#DIV/0!</v>
      </c>
    </row>
  </sheetData>
  <sheetProtection selectLockedCells="1" selectUnlockedCells="1"/>
  <mergeCells count="4">
    <mergeCell ref="O2:T2"/>
    <mergeCell ref="O3:Q3"/>
    <mergeCell ref="R3:T3"/>
    <mergeCell ref="L36:R36"/>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sheetPr>
    <pageSetUpPr autoPageBreaks="0"/>
  </sheetPr>
  <dimension ref="A2:J18"/>
  <sheetViews>
    <sheetView showGridLines="0" workbookViewId="0">
      <selection activeCell="C26" activeCellId="1" sqref="G13 C26"/>
    </sheetView>
  </sheetViews>
  <sheetFormatPr defaultColWidth="8.85546875" defaultRowHeight="12.75"/>
  <cols>
    <col min="1" max="1" width="1" customWidth="1"/>
    <col min="2" max="2" width="19.42578125" customWidth="1"/>
    <col min="3" max="3" width="16.7109375" style="1" customWidth="1"/>
    <col min="4" max="4" width="10.28515625" style="32" customWidth="1"/>
    <col min="5" max="5" width="3" customWidth="1"/>
    <col min="6" max="6" width="12.42578125" customWidth="1"/>
    <col min="7" max="7" width="14.42578125" customWidth="1"/>
    <col min="8" max="8" width="2.140625" customWidth="1"/>
    <col min="9" max="9" width="9.85546875" customWidth="1"/>
    <col min="10" max="10" width="12.140625" customWidth="1"/>
  </cols>
  <sheetData>
    <row r="2" spans="1:10" ht="18">
      <c r="B2" s="575" t="s">
        <v>0</v>
      </c>
      <c r="C2" s="575"/>
      <c r="D2" s="33" t="s">
        <v>1</v>
      </c>
    </row>
    <row r="3" spans="1:10">
      <c r="B3" s="34" t="s">
        <v>48</v>
      </c>
      <c r="C3" s="34">
        <v>5696.19</v>
      </c>
      <c r="D3" s="35"/>
      <c r="F3" s="6" t="s">
        <v>5</v>
      </c>
      <c r="G3" s="7">
        <v>3640</v>
      </c>
      <c r="H3" s="8"/>
    </row>
    <row r="4" spans="1:10">
      <c r="B4" s="34" t="s">
        <v>7</v>
      </c>
      <c r="C4" s="34">
        <f>231.96-16.52</f>
        <v>215.44</v>
      </c>
      <c r="D4" s="35"/>
      <c r="F4" s="13" t="s">
        <v>8</v>
      </c>
      <c r="G4" s="14">
        <f>+G3/2</f>
        <v>1820</v>
      </c>
    </row>
    <row r="5" spans="1:10">
      <c r="B5" s="34" t="s">
        <v>11</v>
      </c>
      <c r="C5" s="34">
        <f>-139.52+700</f>
        <v>560.48</v>
      </c>
      <c r="D5" s="35"/>
    </row>
    <row r="6" spans="1:10">
      <c r="B6" s="15" t="s">
        <v>49</v>
      </c>
      <c r="C6" s="15">
        <v>-41.5</v>
      </c>
      <c r="D6" s="36"/>
      <c r="F6" s="8" t="s">
        <v>15</v>
      </c>
      <c r="G6" s="1">
        <v>300</v>
      </c>
    </row>
    <row r="7" spans="1:10">
      <c r="A7" s="8"/>
      <c r="B7" s="15" t="s">
        <v>50</v>
      </c>
      <c r="C7" s="15">
        <v>-642.87</v>
      </c>
      <c r="D7" s="37">
        <v>38869</v>
      </c>
      <c r="F7" s="8" t="s">
        <v>18</v>
      </c>
      <c r="G7" s="1">
        <v>50</v>
      </c>
      <c r="I7" s="577" t="s">
        <v>51</v>
      </c>
      <c r="J7" s="577"/>
    </row>
    <row r="8" spans="1:10" s="8" customFormat="1">
      <c r="B8" s="15" t="s">
        <v>52</v>
      </c>
      <c r="C8" s="15">
        <v>-99.99</v>
      </c>
      <c r="D8" s="37"/>
      <c r="F8" s="8" t="s">
        <v>20</v>
      </c>
      <c r="G8" s="1">
        <v>15</v>
      </c>
      <c r="H8"/>
      <c r="I8" s="38" t="s">
        <v>53</v>
      </c>
      <c r="J8" s="39">
        <v>3100</v>
      </c>
    </row>
    <row r="9" spans="1:10" s="8" customFormat="1">
      <c r="B9" s="15" t="s">
        <v>39</v>
      </c>
      <c r="C9" s="15">
        <v>-1500</v>
      </c>
      <c r="D9" s="37"/>
      <c r="F9" s="8" t="s">
        <v>22</v>
      </c>
      <c r="G9" s="1">
        <f>27</f>
        <v>27</v>
      </c>
      <c r="H9"/>
    </row>
    <row r="10" spans="1:10" s="8" customFormat="1">
      <c r="B10" s="15" t="s">
        <v>28</v>
      </c>
      <c r="C10" s="15">
        <v>-697</v>
      </c>
      <c r="D10" s="37">
        <v>38872</v>
      </c>
      <c r="E10"/>
      <c r="F10" s="8" t="s">
        <v>24</v>
      </c>
      <c r="G10" s="1">
        <v>60</v>
      </c>
      <c r="H10"/>
    </row>
    <row r="11" spans="1:10" s="8" customFormat="1">
      <c r="B11" s="15" t="s">
        <v>29</v>
      </c>
      <c r="C11" s="15">
        <v>0</v>
      </c>
      <c r="D11" s="37">
        <v>38875</v>
      </c>
      <c r="F11" s="8" t="s">
        <v>25</v>
      </c>
      <c r="G11" s="1">
        <f>(50-35.7)*2</f>
        <v>28.599999999999994</v>
      </c>
      <c r="H11"/>
    </row>
    <row r="12" spans="1:10" s="8" customFormat="1">
      <c r="B12" s="15" t="s">
        <v>32</v>
      </c>
      <c r="C12" s="15">
        <v>-50</v>
      </c>
      <c r="D12" s="37">
        <v>38875</v>
      </c>
      <c r="F12" s="25">
        <v>0.1</v>
      </c>
      <c r="G12" s="1">
        <f>SUM(G6:G11)*10%</f>
        <v>48.06</v>
      </c>
      <c r="H12"/>
    </row>
    <row r="13" spans="1:10" s="8" customFormat="1">
      <c r="B13" s="15" t="s">
        <v>54</v>
      </c>
      <c r="C13" s="15">
        <v>-130</v>
      </c>
      <c r="D13" s="37">
        <v>38871</v>
      </c>
      <c r="F13" s="25"/>
      <c r="G13" s="1"/>
      <c r="H13"/>
    </row>
    <row r="14" spans="1:10" s="8" customFormat="1">
      <c r="B14" s="15" t="s">
        <v>55</v>
      </c>
      <c r="C14" s="15">
        <v>0</v>
      </c>
      <c r="D14" s="37"/>
      <c r="F14" s="574" t="s">
        <v>30</v>
      </c>
      <c r="G14" s="574"/>
      <c r="H14"/>
    </row>
    <row r="15" spans="1:10" s="8" customFormat="1">
      <c r="B15" s="15" t="s">
        <v>44</v>
      </c>
      <c r="C15" s="15">
        <v>0</v>
      </c>
      <c r="D15" s="37"/>
      <c r="F15" s="9" t="s">
        <v>36</v>
      </c>
      <c r="G15" s="26">
        <v>0</v>
      </c>
      <c r="H15"/>
    </row>
    <row r="16" spans="1:10" s="8" customFormat="1">
      <c r="B16" s="34" t="s">
        <v>9</v>
      </c>
      <c r="C16" s="34">
        <v>130</v>
      </c>
      <c r="D16" s="40"/>
      <c r="F16" s="9" t="s">
        <v>39</v>
      </c>
      <c r="G16" s="26">
        <v>-1500</v>
      </c>
      <c r="H16"/>
    </row>
    <row r="17" spans="2:8" s="8" customFormat="1">
      <c r="B17" s="34" t="s">
        <v>56</v>
      </c>
      <c r="C17" s="34">
        <f>+J8</f>
        <v>3100</v>
      </c>
      <c r="D17" s="41"/>
      <c r="F17" s="9" t="s">
        <v>42</v>
      </c>
      <c r="G17" s="26">
        <f>-275*2</f>
        <v>-550</v>
      </c>
      <c r="H17"/>
    </row>
    <row r="18" spans="2:8" s="8" customFormat="1" ht="15.75">
      <c r="B18" s="42" t="s">
        <v>45</v>
      </c>
      <c r="C18" s="43">
        <f>SUM(C3:C17)</f>
        <v>6540.7499999999991</v>
      </c>
      <c r="D18" s="44"/>
      <c r="F18" s="27" t="s">
        <v>21</v>
      </c>
      <c r="G18" s="28">
        <f>SUM(G15:G17)</f>
        <v>-2050</v>
      </c>
    </row>
  </sheetData>
  <sheetProtection selectLockedCells="1" selectUnlockedCells="1"/>
  <mergeCells count="3">
    <mergeCell ref="B2:C2"/>
    <mergeCell ref="I7:J7"/>
    <mergeCell ref="F14:G14"/>
  </mergeCells>
  <pageMargins left="0.35" right="0.25972222222222224" top="1" bottom="1" header="0.51180555555555551" footer="0.51180555555555551"/>
  <pageSetup firstPageNumber="0" orientation="landscape" horizontalDpi="300" verticalDpi="300"/>
  <headerFooter alignWithMargins="0"/>
</worksheet>
</file>

<file path=xl/worksheets/sheet30.xml><?xml version="1.0" encoding="utf-8"?>
<worksheet xmlns="http://schemas.openxmlformats.org/spreadsheetml/2006/main" xmlns:r="http://schemas.openxmlformats.org/officeDocument/2006/relationships">
  <sheetPr>
    <pageSetUpPr autoPageBreaks="0"/>
  </sheetPr>
  <dimension ref="B1:Z36"/>
  <sheetViews>
    <sheetView showGridLines="0" zoomScale="75" zoomScaleNormal="75" zoomScalePageLayoutView="75" workbookViewId="0">
      <selection activeCell="E21" activeCellId="1" sqref="G13 E21"/>
    </sheetView>
  </sheetViews>
  <sheetFormatPr defaultColWidth="8.85546875" defaultRowHeight="12.75"/>
  <cols>
    <col min="1" max="1" width="2" customWidth="1"/>
    <col min="2" max="2" width="38.4257812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2.28515625" customWidth="1"/>
    <col min="13" max="13" width="6.28515625" customWidth="1"/>
    <col min="14" max="14" width="1.85546875" customWidth="1"/>
    <col min="15" max="15" width="13.85546875" customWidth="1"/>
    <col min="16" max="16" width="6.28515625" customWidth="1"/>
    <col min="17" max="17" width="1.42578125" customWidth="1"/>
    <col min="18" max="18" width="21.140625" customWidth="1"/>
    <col min="19" max="19" width="10.85546875" customWidth="1"/>
    <col min="20" max="20" width="7.28515625" customWidth="1"/>
    <col min="21" max="21" width="40.42578125" customWidth="1"/>
    <col min="22" max="22" width="10.7109375" customWidth="1"/>
    <col min="23" max="23" width="7.42578125" customWidth="1"/>
  </cols>
  <sheetData>
    <row r="1" spans="2:26">
      <c r="E1" s="106"/>
    </row>
    <row r="2" spans="2:26" ht="18">
      <c r="B2" s="220" t="s">
        <v>135</v>
      </c>
      <c r="C2" s="220" t="s">
        <v>136</v>
      </c>
      <c r="D2" s="90"/>
      <c r="E2" s="220" t="s">
        <v>0</v>
      </c>
      <c r="F2" s="82" t="s">
        <v>1</v>
      </c>
      <c r="G2" s="82" t="s">
        <v>57</v>
      </c>
      <c r="I2" s="221" t="s">
        <v>214</v>
      </c>
      <c r="J2" s="221" t="s">
        <v>1</v>
      </c>
      <c r="L2" s="221" t="s">
        <v>295</v>
      </c>
      <c r="M2" s="221" t="s">
        <v>1</v>
      </c>
      <c r="O2" s="221" t="s">
        <v>324</v>
      </c>
      <c r="P2" s="221" t="s">
        <v>1</v>
      </c>
      <c r="R2" s="584" t="s">
        <v>215</v>
      </c>
      <c r="S2" s="584"/>
      <c r="T2" s="584"/>
      <c r="U2" s="584"/>
      <c r="V2" s="584"/>
      <c r="W2" s="584"/>
    </row>
    <row r="3" spans="2:26">
      <c r="B3" s="71" t="s">
        <v>11</v>
      </c>
      <c r="C3" s="91">
        <v>0</v>
      </c>
      <c r="D3" s="92"/>
      <c r="E3" s="95">
        <v>-577.72</v>
      </c>
      <c r="F3" s="61"/>
      <c r="G3" s="61"/>
      <c r="I3" s="10">
        <v>2163.4299999999998</v>
      </c>
      <c r="J3" s="16">
        <v>39625</v>
      </c>
      <c r="L3" s="10">
        <v>5495.17</v>
      </c>
      <c r="M3" s="16">
        <v>39625</v>
      </c>
      <c r="O3" s="10">
        <v>2500</v>
      </c>
      <c r="P3" s="16">
        <v>39639</v>
      </c>
      <c r="R3" s="581" t="s">
        <v>216</v>
      </c>
      <c r="S3" s="581"/>
      <c r="T3" s="581"/>
      <c r="U3" s="582" t="s">
        <v>217</v>
      </c>
      <c r="V3" s="582"/>
      <c r="W3" s="582"/>
    </row>
    <row r="4" spans="2:26" ht="12" customHeight="1">
      <c r="B4" s="71" t="s">
        <v>56</v>
      </c>
      <c r="C4" s="91">
        <v>0</v>
      </c>
      <c r="D4" s="92"/>
      <c r="E4" s="95">
        <v>-345.65</v>
      </c>
      <c r="F4" s="72"/>
      <c r="G4" s="72"/>
      <c r="I4" s="10">
        <v>2170.5700000000002</v>
      </c>
      <c r="J4" s="16">
        <v>39630</v>
      </c>
      <c r="L4" s="10">
        <v>5152.6400000000003</v>
      </c>
      <c r="M4" s="16">
        <v>39637</v>
      </c>
      <c r="O4" s="10"/>
      <c r="P4" s="16"/>
      <c r="R4" s="107" t="s">
        <v>218</v>
      </c>
      <c r="S4" s="108" t="s">
        <v>219</v>
      </c>
      <c r="T4" s="109" t="s">
        <v>1</v>
      </c>
      <c r="U4" s="107" t="s">
        <v>218</v>
      </c>
      <c r="V4" s="108" t="s">
        <v>219</v>
      </c>
      <c r="W4" s="109" t="s">
        <v>1</v>
      </c>
    </row>
    <row r="5" spans="2:26" ht="12" customHeight="1">
      <c r="B5" s="71" t="s">
        <v>325</v>
      </c>
      <c r="C5" s="93">
        <v>6072.57</v>
      </c>
      <c r="D5" s="94"/>
      <c r="E5" s="95">
        <v>0</v>
      </c>
      <c r="F5" s="72"/>
      <c r="G5" s="72"/>
      <c r="I5" s="10">
        <v>2038.34</v>
      </c>
      <c r="J5" s="16">
        <v>39637</v>
      </c>
      <c r="L5" s="10">
        <v>5323.14</v>
      </c>
      <c r="M5" s="16">
        <v>39643</v>
      </c>
      <c r="O5" s="10"/>
      <c r="P5" s="16"/>
      <c r="R5" s="110" t="s">
        <v>326</v>
      </c>
      <c r="S5" s="111">
        <v>41.37</v>
      </c>
      <c r="T5" s="112">
        <v>39599</v>
      </c>
      <c r="U5" s="110" t="s">
        <v>327</v>
      </c>
      <c r="V5" s="132">
        <v>106.6</v>
      </c>
      <c r="W5" s="114" t="s">
        <v>328</v>
      </c>
    </row>
    <row r="6" spans="2:26">
      <c r="B6" s="71" t="s">
        <v>329</v>
      </c>
      <c r="C6" s="93">
        <f>60+75+18</f>
        <v>153</v>
      </c>
      <c r="D6" s="94"/>
      <c r="E6" s="95">
        <f>C6</f>
        <v>153</v>
      </c>
      <c r="F6" s="72"/>
      <c r="G6" s="72"/>
      <c r="I6" s="10">
        <v>2056</v>
      </c>
      <c r="J6" s="16">
        <v>39643</v>
      </c>
      <c r="L6" s="10">
        <v>5277.64</v>
      </c>
      <c r="M6" s="16">
        <v>39646</v>
      </c>
      <c r="O6" s="10"/>
      <c r="P6" s="16"/>
      <c r="R6" s="110" t="s">
        <v>330</v>
      </c>
      <c r="S6" s="111">
        <v>60.39</v>
      </c>
      <c r="T6" s="112">
        <v>39619</v>
      </c>
      <c r="U6" s="110" t="s">
        <v>331</v>
      </c>
      <c r="V6" s="132">
        <v>274.5</v>
      </c>
      <c r="W6" s="114" t="s">
        <v>332</v>
      </c>
    </row>
    <row r="7" spans="2:26">
      <c r="B7" s="71" t="s">
        <v>333</v>
      </c>
      <c r="C7" s="93">
        <v>360</v>
      </c>
      <c r="D7" s="94"/>
      <c r="E7" s="95">
        <v>0</v>
      </c>
      <c r="F7" s="72"/>
      <c r="G7" s="72"/>
      <c r="I7" s="10">
        <v>2071.89</v>
      </c>
      <c r="J7" s="16">
        <v>39644</v>
      </c>
      <c r="L7" s="10">
        <v>5000.18</v>
      </c>
      <c r="M7" s="16">
        <v>39652</v>
      </c>
      <c r="O7" s="10"/>
      <c r="P7" s="16"/>
      <c r="R7" s="110" t="s">
        <v>334</v>
      </c>
      <c r="S7" s="111">
        <v>67</v>
      </c>
      <c r="T7" s="133">
        <v>3.5</v>
      </c>
      <c r="U7" s="110" t="s">
        <v>335</v>
      </c>
      <c r="V7" s="132">
        <v>53.99</v>
      </c>
      <c r="W7" s="114" t="s">
        <v>336</v>
      </c>
    </row>
    <row r="8" spans="2:26">
      <c r="B8" s="71" t="s">
        <v>337</v>
      </c>
      <c r="C8" s="93">
        <v>198.5</v>
      </c>
      <c r="D8" s="94"/>
      <c r="E8" s="95">
        <v>0</v>
      </c>
      <c r="F8" s="72"/>
      <c r="G8" s="72"/>
      <c r="I8" s="10">
        <v>2052.3200000000002</v>
      </c>
      <c r="J8" s="16">
        <v>39652</v>
      </c>
      <c r="L8" s="10">
        <v>5001.4399999999996</v>
      </c>
      <c r="M8" s="16">
        <v>39654</v>
      </c>
      <c r="O8" s="10"/>
      <c r="P8" s="16"/>
      <c r="R8" s="110"/>
      <c r="S8" s="111"/>
      <c r="T8" s="114"/>
      <c r="U8" s="110" t="s">
        <v>338</v>
      </c>
      <c r="V8" s="132">
        <v>69.3</v>
      </c>
      <c r="W8" s="114" t="s">
        <v>339</v>
      </c>
      <c r="Z8" s="134"/>
    </row>
    <row r="9" spans="2:26">
      <c r="B9" s="99" t="s">
        <v>102</v>
      </c>
      <c r="C9" s="96">
        <v>-2000</v>
      </c>
      <c r="D9" s="97"/>
      <c r="E9" s="63">
        <v>0</v>
      </c>
      <c r="F9" s="64">
        <v>39629</v>
      </c>
      <c r="G9" s="64" t="s">
        <v>58</v>
      </c>
      <c r="I9" s="10">
        <v>2059.65</v>
      </c>
      <c r="J9" s="16">
        <v>39653</v>
      </c>
      <c r="L9" s="10"/>
      <c r="M9" s="16"/>
      <c r="O9" s="10"/>
      <c r="P9" s="16"/>
      <c r="R9" s="110"/>
      <c r="S9" s="111"/>
      <c r="T9" s="114"/>
      <c r="U9" s="110" t="s">
        <v>340</v>
      </c>
      <c r="V9" s="132">
        <v>40</v>
      </c>
      <c r="W9" s="114" t="s">
        <v>341</v>
      </c>
    </row>
    <row r="10" spans="2:26">
      <c r="B10" s="99" t="s">
        <v>65</v>
      </c>
      <c r="C10" s="96">
        <f>-45</f>
        <v>-45</v>
      </c>
      <c r="D10" s="97"/>
      <c r="E10" s="63">
        <v>0</v>
      </c>
      <c r="F10" s="64" t="s">
        <v>207</v>
      </c>
      <c r="G10" s="64" t="s">
        <v>58</v>
      </c>
      <c r="I10" s="10"/>
      <c r="J10" s="16"/>
      <c r="L10" s="10"/>
      <c r="M10" s="16"/>
      <c r="O10" s="10"/>
      <c r="P10" s="16"/>
      <c r="R10" s="110"/>
      <c r="S10" s="111"/>
      <c r="T10" s="114"/>
      <c r="U10" s="110" t="s">
        <v>342</v>
      </c>
      <c r="V10" s="132">
        <v>-767.9</v>
      </c>
      <c r="W10" s="114" t="s">
        <v>343</v>
      </c>
      <c r="Z10" s="134"/>
    </row>
    <row r="11" spans="2:26">
      <c r="B11" s="99" t="s">
        <v>38</v>
      </c>
      <c r="C11" s="96">
        <v>-500.59</v>
      </c>
      <c r="D11" s="97"/>
      <c r="E11" s="63">
        <v>0</v>
      </c>
      <c r="F11" s="64">
        <v>39631</v>
      </c>
      <c r="G11" s="64" t="s">
        <v>58</v>
      </c>
      <c r="I11" s="130"/>
      <c r="J11" s="16"/>
      <c r="L11" s="10"/>
      <c r="M11" s="16"/>
      <c r="O11" s="10"/>
      <c r="P11" s="16"/>
      <c r="R11" s="110"/>
      <c r="S11" s="111"/>
      <c r="T11" s="114"/>
      <c r="U11" s="110" t="s">
        <v>344</v>
      </c>
      <c r="V11" s="132">
        <v>767.9</v>
      </c>
      <c r="W11" s="114" t="s">
        <v>345</v>
      </c>
    </row>
    <row r="12" spans="2:26">
      <c r="B12" s="99" t="s">
        <v>14</v>
      </c>
      <c r="C12" s="96">
        <v>-16.78</v>
      </c>
      <c r="D12" s="97"/>
      <c r="E12" s="63">
        <v>0</v>
      </c>
      <c r="F12" s="64">
        <v>39625</v>
      </c>
      <c r="G12" s="64" t="s">
        <v>58</v>
      </c>
      <c r="I12" s="10"/>
      <c r="J12" s="16"/>
      <c r="L12" s="10"/>
      <c r="M12" s="16"/>
      <c r="O12" s="10"/>
      <c r="P12" s="16"/>
      <c r="R12" s="110"/>
      <c r="S12" s="111"/>
      <c r="T12" s="114"/>
      <c r="U12" s="110" t="s">
        <v>346</v>
      </c>
      <c r="V12" s="132">
        <v>30</v>
      </c>
      <c r="W12" s="114" t="s">
        <v>347</v>
      </c>
      <c r="Z12" s="134"/>
    </row>
    <row r="13" spans="2:26">
      <c r="B13" s="99" t="s">
        <v>93</v>
      </c>
      <c r="C13" s="96">
        <v>-108.89</v>
      </c>
      <c r="D13" s="97"/>
      <c r="E13" s="63">
        <v>0</v>
      </c>
      <c r="F13" s="64">
        <v>39630</v>
      </c>
      <c r="G13" s="64" t="s">
        <v>58</v>
      </c>
      <c r="I13" s="10"/>
      <c r="J13" s="16"/>
      <c r="L13" s="10"/>
      <c r="M13" s="16"/>
      <c r="O13" s="10"/>
      <c r="P13" s="16"/>
      <c r="R13" s="110"/>
      <c r="S13" s="111"/>
      <c r="T13" s="114"/>
      <c r="U13" s="110" t="s">
        <v>348</v>
      </c>
      <c r="V13" s="132">
        <v>44.44</v>
      </c>
      <c r="W13" s="114" t="s">
        <v>349</v>
      </c>
    </row>
    <row r="14" spans="2:26">
      <c r="B14" s="99" t="s">
        <v>157</v>
      </c>
      <c r="C14" s="96">
        <v>-16.579999999999998</v>
      </c>
      <c r="D14" s="97"/>
      <c r="E14" s="63">
        <v>0</v>
      </c>
      <c r="F14" s="64">
        <v>39630</v>
      </c>
      <c r="G14" s="64" t="s">
        <v>58</v>
      </c>
      <c r="I14" s="10"/>
      <c r="J14" s="16"/>
      <c r="L14" s="10"/>
      <c r="M14" s="16"/>
      <c r="O14" s="10"/>
      <c r="P14" s="16"/>
      <c r="R14" s="110"/>
      <c r="S14" s="111"/>
      <c r="T14" s="114"/>
      <c r="U14" s="110" t="s">
        <v>350</v>
      </c>
      <c r="V14" s="132">
        <v>54</v>
      </c>
      <c r="W14" s="114" t="s">
        <v>351</v>
      </c>
      <c r="Z14" s="134"/>
    </row>
    <row r="15" spans="2:26">
      <c r="B15" s="99" t="s">
        <v>110</v>
      </c>
      <c r="C15" s="96">
        <v>-171.2</v>
      </c>
      <c r="D15" s="97"/>
      <c r="E15" s="63">
        <v>0</v>
      </c>
      <c r="F15" s="64">
        <v>39631</v>
      </c>
      <c r="G15" s="64" t="s">
        <v>58</v>
      </c>
      <c r="I15" s="10"/>
      <c r="J15" s="16"/>
      <c r="L15" s="10"/>
      <c r="M15" s="16"/>
      <c r="O15" s="10"/>
      <c r="P15" s="16"/>
      <c r="R15" s="110"/>
      <c r="S15" s="111"/>
      <c r="T15" s="114"/>
      <c r="U15" s="110" t="s">
        <v>338</v>
      </c>
      <c r="V15" s="132">
        <v>39.840000000000003</v>
      </c>
      <c r="W15" s="114" t="s">
        <v>351</v>
      </c>
    </row>
    <row r="16" spans="2:26">
      <c r="B16" s="99" t="s">
        <v>103</v>
      </c>
      <c r="C16" s="96">
        <v>-767.9</v>
      </c>
      <c r="D16" s="97"/>
      <c r="E16" s="63">
        <v>0</v>
      </c>
      <c r="F16" s="64">
        <v>39630</v>
      </c>
      <c r="G16" s="64" t="s">
        <v>58</v>
      </c>
      <c r="I16" s="10"/>
      <c r="J16" s="16"/>
      <c r="L16" s="10"/>
      <c r="M16" s="16"/>
      <c r="O16" s="10"/>
      <c r="P16" s="16"/>
      <c r="R16" s="110"/>
      <c r="S16" s="111"/>
      <c r="T16" s="114"/>
      <c r="U16" s="110" t="s">
        <v>352</v>
      </c>
      <c r="V16" s="132">
        <v>150</v>
      </c>
      <c r="W16" s="114" t="s">
        <v>353</v>
      </c>
      <c r="Z16" s="134"/>
    </row>
    <row r="17" spans="2:26">
      <c r="B17" s="99" t="s">
        <v>154</v>
      </c>
      <c r="C17" s="96">
        <v>-19</v>
      </c>
      <c r="D17" s="97"/>
      <c r="E17" s="63">
        <v>0</v>
      </c>
      <c r="F17" s="64">
        <v>39644</v>
      </c>
      <c r="G17" s="64" t="s">
        <v>58</v>
      </c>
      <c r="I17" s="10"/>
      <c r="J17" s="16"/>
      <c r="L17" s="10"/>
      <c r="M17" s="16"/>
      <c r="O17" s="10"/>
      <c r="P17" s="16"/>
      <c r="R17" s="110"/>
      <c r="S17" s="111"/>
      <c r="T17" s="114"/>
      <c r="U17" s="110" t="s">
        <v>354</v>
      </c>
      <c r="V17" s="132">
        <v>42.62</v>
      </c>
      <c r="W17" s="114" t="s">
        <v>353</v>
      </c>
    </row>
    <row r="18" spans="2:26">
      <c r="B18" s="99" t="s">
        <v>155</v>
      </c>
      <c r="C18" s="96">
        <v>-12</v>
      </c>
      <c r="D18" s="97"/>
      <c r="E18" s="63">
        <v>0</v>
      </c>
      <c r="F18" s="64">
        <v>39644</v>
      </c>
      <c r="G18" s="64" t="s">
        <v>58</v>
      </c>
      <c r="R18" s="115"/>
      <c r="S18" s="116"/>
      <c r="T18" s="117"/>
      <c r="U18" s="115" t="s">
        <v>355</v>
      </c>
      <c r="V18" s="116">
        <v>23.16</v>
      </c>
      <c r="W18" s="118">
        <v>39648</v>
      </c>
      <c r="Z18" s="134"/>
    </row>
    <row r="19" spans="2:26">
      <c r="B19" s="99" t="s">
        <v>96</v>
      </c>
      <c r="C19" s="96">
        <v>-90.76</v>
      </c>
      <c r="D19" s="97"/>
      <c r="E19" s="63">
        <v>0</v>
      </c>
      <c r="F19" s="64">
        <v>39633</v>
      </c>
      <c r="G19" s="64" t="s">
        <v>58</v>
      </c>
      <c r="R19" s="115"/>
      <c r="S19" s="116"/>
      <c r="T19" s="117"/>
      <c r="U19" s="115"/>
      <c r="V19" s="116"/>
      <c r="W19" s="118"/>
    </row>
    <row r="20" spans="2:26" ht="15.75">
      <c r="B20" s="99" t="s">
        <v>29</v>
      </c>
      <c r="C20" s="96">
        <v>-262.01</v>
      </c>
      <c r="D20" s="97"/>
      <c r="E20" s="63">
        <v>0</v>
      </c>
      <c r="F20" s="64">
        <v>39636</v>
      </c>
      <c r="G20" s="64" t="s">
        <v>58</v>
      </c>
      <c r="I20" s="105" t="s">
        <v>209</v>
      </c>
      <c r="J20" s="221" t="s">
        <v>1</v>
      </c>
      <c r="R20" s="115"/>
      <c r="S20" s="116"/>
      <c r="T20" s="117"/>
      <c r="U20" s="115"/>
      <c r="V20" s="116"/>
      <c r="W20" s="118"/>
      <c r="Z20" s="134"/>
    </row>
    <row r="21" spans="2:26">
      <c r="B21" s="99" t="s">
        <v>69</v>
      </c>
      <c r="C21" s="96">
        <v>-34</v>
      </c>
      <c r="D21" s="97"/>
      <c r="E21" s="63">
        <v>0</v>
      </c>
      <c r="F21" s="64">
        <v>39631</v>
      </c>
      <c r="G21" s="64" t="s">
        <v>58</v>
      </c>
      <c r="I21" s="124">
        <v>108.97</v>
      </c>
      <c r="J21" s="125">
        <v>39492</v>
      </c>
      <c r="R21" s="115"/>
      <c r="S21" s="116"/>
      <c r="T21" s="117"/>
      <c r="U21" s="115"/>
      <c r="V21" s="116"/>
      <c r="W21" s="118"/>
    </row>
    <row r="22" spans="2:26">
      <c r="B22" s="99" t="s">
        <v>211</v>
      </c>
      <c r="C22" s="96">
        <v>-76.3</v>
      </c>
      <c r="D22" s="97"/>
      <c r="E22" s="63">
        <v>0</v>
      </c>
      <c r="F22" s="64">
        <v>39643</v>
      </c>
      <c r="G22" s="64" t="s">
        <v>58</v>
      </c>
      <c r="I22" s="124">
        <v>108.97</v>
      </c>
      <c r="J22" s="125">
        <v>39521</v>
      </c>
      <c r="R22" s="119" t="s">
        <v>45</v>
      </c>
      <c r="S22" s="120">
        <v>172.36</v>
      </c>
      <c r="T22" s="121"/>
      <c r="U22" s="119" t="s">
        <v>45</v>
      </c>
      <c r="V22" s="135">
        <v>927.56</v>
      </c>
      <c r="W22" s="123"/>
      <c r="Z22" s="134"/>
    </row>
    <row r="23" spans="2:26">
      <c r="B23" s="99" t="s">
        <v>82</v>
      </c>
      <c r="C23" s="96">
        <v>-24.6</v>
      </c>
      <c r="D23" s="97"/>
      <c r="E23" s="63">
        <v>0</v>
      </c>
      <c r="F23" s="64">
        <v>39631</v>
      </c>
      <c r="G23" s="64" t="s">
        <v>58</v>
      </c>
      <c r="I23" s="124">
        <v>108.97</v>
      </c>
      <c r="J23" s="125">
        <v>39552</v>
      </c>
    </row>
    <row r="24" spans="2:26">
      <c r="B24" s="99" t="s">
        <v>356</v>
      </c>
      <c r="C24" s="96">
        <v>-68.099999999999994</v>
      </c>
      <c r="D24" s="97"/>
      <c r="E24" s="63">
        <v>0</v>
      </c>
      <c r="F24" s="64">
        <v>39643</v>
      </c>
      <c r="G24" s="64" t="s">
        <v>58</v>
      </c>
      <c r="I24" s="124">
        <v>76.3</v>
      </c>
      <c r="J24" s="125">
        <v>39582</v>
      </c>
      <c r="Z24" s="134"/>
    </row>
    <row r="25" spans="2:26">
      <c r="B25" s="99" t="s">
        <v>41</v>
      </c>
      <c r="C25" s="96">
        <v>-85.16</v>
      </c>
      <c r="D25" s="97"/>
      <c r="E25" s="63">
        <v>0</v>
      </c>
      <c r="F25" s="64">
        <v>39639</v>
      </c>
      <c r="G25" s="64" t="s">
        <v>58</v>
      </c>
      <c r="I25" s="124">
        <v>76.3</v>
      </c>
      <c r="J25" s="125">
        <v>39613</v>
      </c>
    </row>
    <row r="26" spans="2:26">
      <c r="B26" s="99" t="s">
        <v>98</v>
      </c>
      <c r="C26" s="96">
        <v>-134.02000000000001</v>
      </c>
      <c r="D26" s="97"/>
      <c r="E26" s="63">
        <v>0</v>
      </c>
      <c r="F26" s="64">
        <v>39639</v>
      </c>
      <c r="G26" s="64" t="s">
        <v>58</v>
      </c>
      <c r="I26" s="124">
        <v>76.3</v>
      </c>
      <c r="J26" s="125">
        <v>39643</v>
      </c>
      <c r="Z26" s="134"/>
    </row>
    <row r="27" spans="2:26">
      <c r="B27" s="99" t="s">
        <v>357</v>
      </c>
      <c r="C27" s="96">
        <v>-52</v>
      </c>
      <c r="D27" s="97"/>
      <c r="E27" s="63">
        <v>0</v>
      </c>
      <c r="F27" s="64">
        <v>39631</v>
      </c>
      <c r="G27" s="64" t="s">
        <v>58</v>
      </c>
    </row>
    <row r="28" spans="2:26">
      <c r="B28" s="99" t="s">
        <v>175</v>
      </c>
      <c r="C28" s="96">
        <v>-21</v>
      </c>
      <c r="D28" s="97"/>
      <c r="E28" s="63">
        <v>0</v>
      </c>
      <c r="F28" s="64">
        <v>39636</v>
      </c>
      <c r="G28" s="64" t="s">
        <v>58</v>
      </c>
      <c r="Z28" s="134"/>
    </row>
    <row r="29" spans="2:26">
      <c r="B29" s="99" t="s">
        <v>77</v>
      </c>
      <c r="C29" s="96">
        <v>-159.80000000000001</v>
      </c>
      <c r="D29" s="97"/>
      <c r="E29" s="63">
        <v>0</v>
      </c>
      <c r="F29" s="64">
        <v>39649</v>
      </c>
      <c r="G29" s="64" t="s">
        <v>58</v>
      </c>
    </row>
    <row r="30" spans="2:26">
      <c r="B30" s="99" t="s">
        <v>110</v>
      </c>
      <c r="C30" s="96">
        <v>-250</v>
      </c>
      <c r="D30" s="97"/>
      <c r="E30" s="63">
        <v>0</v>
      </c>
      <c r="F30" s="64">
        <v>39655</v>
      </c>
      <c r="G30" s="64" t="s">
        <v>58</v>
      </c>
      <c r="Z30" s="134"/>
    </row>
    <row r="31" spans="2:26">
      <c r="B31" s="99" t="s">
        <v>358</v>
      </c>
      <c r="C31" s="96">
        <v>-876.95</v>
      </c>
      <c r="D31" s="97"/>
      <c r="E31" s="63">
        <v>0</v>
      </c>
      <c r="F31" s="64">
        <v>39642</v>
      </c>
      <c r="G31" s="64" t="s">
        <v>58</v>
      </c>
    </row>
    <row r="32" spans="2:26">
      <c r="B32" s="99" t="s">
        <v>359</v>
      </c>
      <c r="C32" s="96">
        <v>-437</v>
      </c>
      <c r="D32" s="97"/>
      <c r="E32" s="63">
        <v>0</v>
      </c>
      <c r="F32" s="64"/>
      <c r="G32" s="64" t="s">
        <v>58</v>
      </c>
    </row>
    <row r="33" spans="2:15">
      <c r="B33" s="99" t="s">
        <v>289</v>
      </c>
      <c r="C33" s="96">
        <v>-50</v>
      </c>
      <c r="D33" s="97"/>
      <c r="E33" s="63">
        <v>0</v>
      </c>
      <c r="F33" s="64">
        <v>39637</v>
      </c>
      <c r="G33" s="64" t="s">
        <v>58</v>
      </c>
    </row>
    <row r="34" spans="2:15">
      <c r="B34" s="99" t="s">
        <v>69</v>
      </c>
      <c r="C34" s="96">
        <v>-41.5</v>
      </c>
      <c r="D34" s="97"/>
      <c r="E34" s="63">
        <v>0</v>
      </c>
      <c r="F34" s="64"/>
      <c r="G34" s="64" t="s">
        <v>58</v>
      </c>
    </row>
    <row r="35" spans="2:15">
      <c r="B35" s="99" t="s">
        <v>360</v>
      </c>
      <c r="C35" s="96">
        <v>-130</v>
      </c>
      <c r="D35" s="97"/>
      <c r="E35" s="63">
        <v>0</v>
      </c>
      <c r="F35" s="64">
        <v>39638</v>
      </c>
      <c r="G35" s="64" t="s">
        <v>58</v>
      </c>
    </row>
    <row r="36" spans="2:15" ht="18">
      <c r="B36" s="74" t="s">
        <v>45</v>
      </c>
      <c r="C36" s="101"/>
      <c r="D36" s="98"/>
      <c r="E36" s="129">
        <f>SUM(E3:E35)</f>
        <v>-770.37</v>
      </c>
      <c r="F36" s="75"/>
      <c r="G36" s="75"/>
      <c r="L36" s="52"/>
      <c r="N36" s="52"/>
      <c r="O36" s="52"/>
    </row>
  </sheetData>
  <sheetProtection selectLockedCells="1" selectUnlockedCells="1"/>
  <mergeCells count="3">
    <mergeCell ref="R2:W2"/>
    <mergeCell ref="R3:T3"/>
    <mergeCell ref="U3:W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1.xml><?xml version="1.0" encoding="utf-8"?>
<worksheet xmlns="http://schemas.openxmlformats.org/spreadsheetml/2006/main" xmlns:r="http://schemas.openxmlformats.org/officeDocument/2006/relationships">
  <sheetPr>
    <pageSetUpPr autoPageBreaks="0"/>
  </sheetPr>
  <dimension ref="B1:W33"/>
  <sheetViews>
    <sheetView showGridLines="0" zoomScale="75" zoomScaleNormal="75" zoomScalePageLayoutView="75" workbookViewId="0">
      <selection activeCell="E30" activeCellId="1" sqref="G13 E30"/>
    </sheetView>
  </sheetViews>
  <sheetFormatPr defaultColWidth="8.85546875" defaultRowHeight="12.75"/>
  <cols>
    <col min="1" max="1" width="2" customWidth="1"/>
    <col min="2" max="2" width="38.42578125" customWidth="1"/>
    <col min="3" max="3" width="21.42578125" customWidth="1"/>
    <col min="4" max="4" width="1.7109375" customWidth="1"/>
    <col min="5" max="5" width="20.140625" customWidth="1"/>
    <col min="6" max="6" width="11.42578125" customWidth="1"/>
    <col min="7" max="7" width="11" customWidth="1"/>
    <col min="8" max="8" width="1" customWidth="1"/>
    <col min="9" max="9" width="17.42578125" customWidth="1"/>
    <col min="10" max="10" width="6.85546875" customWidth="1"/>
    <col min="11" max="11" width="1.7109375" customWidth="1"/>
    <col min="12" max="12" width="12.28515625" customWidth="1"/>
    <col min="13" max="13" width="6.42578125" customWidth="1"/>
    <col min="14" max="14" width="1.42578125" customWidth="1"/>
    <col min="15" max="15" width="21.140625" customWidth="1"/>
    <col min="16" max="16" width="10.85546875" customWidth="1"/>
    <col min="17" max="17" width="7.28515625" customWidth="1"/>
    <col min="18" max="18" width="40.42578125" customWidth="1"/>
    <col min="19" max="19" width="10.7109375" customWidth="1"/>
  </cols>
  <sheetData>
    <row r="1" spans="2:23">
      <c r="E1" s="106"/>
    </row>
    <row r="2" spans="2:23" ht="18">
      <c r="B2" s="220" t="s">
        <v>135</v>
      </c>
      <c r="C2" s="220" t="s">
        <v>136</v>
      </c>
      <c r="D2" s="90"/>
      <c r="E2" s="220" t="s">
        <v>0</v>
      </c>
      <c r="F2" s="82" t="s">
        <v>1</v>
      </c>
      <c r="G2" s="82" t="s">
        <v>57</v>
      </c>
      <c r="I2" s="221" t="s">
        <v>214</v>
      </c>
      <c r="J2" s="221" t="s">
        <v>1</v>
      </c>
      <c r="L2" s="221" t="s">
        <v>295</v>
      </c>
      <c r="M2" s="221" t="s">
        <v>1</v>
      </c>
      <c r="O2" s="584" t="s">
        <v>215</v>
      </c>
      <c r="P2" s="584"/>
      <c r="Q2" s="584"/>
      <c r="R2" s="584"/>
      <c r="S2" s="584"/>
      <c r="T2" s="584"/>
    </row>
    <row r="3" spans="2:23">
      <c r="B3" s="71" t="s">
        <v>11</v>
      </c>
      <c r="C3" s="91">
        <v>0</v>
      </c>
      <c r="D3" s="92"/>
      <c r="E3" s="95">
        <v>-443.06</v>
      </c>
      <c r="F3" s="61"/>
      <c r="G3" s="61"/>
      <c r="I3" s="10">
        <v>2163.4299999999998</v>
      </c>
      <c r="J3" s="16">
        <v>39625</v>
      </c>
      <c r="L3" s="10">
        <v>5495.17</v>
      </c>
      <c r="M3" s="16">
        <v>39625</v>
      </c>
      <c r="O3" s="581" t="s">
        <v>216</v>
      </c>
      <c r="P3" s="581"/>
      <c r="Q3" s="581"/>
      <c r="R3" s="582" t="s">
        <v>217</v>
      </c>
      <c r="S3" s="582"/>
      <c r="T3" s="582"/>
    </row>
    <row r="4" spans="2:23" ht="12" customHeight="1">
      <c r="B4" s="71" t="s">
        <v>56</v>
      </c>
      <c r="C4" s="91">
        <v>0</v>
      </c>
      <c r="D4" s="92"/>
      <c r="E4" s="95">
        <v>-412.97</v>
      </c>
      <c r="F4" s="72"/>
      <c r="G4" s="72"/>
      <c r="I4" s="10">
        <v>2170.5700000000002</v>
      </c>
      <c r="J4" s="16">
        <v>39630</v>
      </c>
      <c r="L4" s="10">
        <v>5152.6400000000003</v>
      </c>
      <c r="M4" s="16">
        <v>39637</v>
      </c>
      <c r="O4" s="107" t="s">
        <v>218</v>
      </c>
      <c r="P4" s="108" t="s">
        <v>219</v>
      </c>
      <c r="Q4" s="109" t="s">
        <v>1</v>
      </c>
      <c r="R4" s="107" t="s">
        <v>218</v>
      </c>
      <c r="S4" s="108" t="s">
        <v>219</v>
      </c>
      <c r="T4" s="109" t="s">
        <v>1</v>
      </c>
    </row>
    <row r="5" spans="2:23" ht="12" customHeight="1">
      <c r="B5" s="71" t="s">
        <v>5</v>
      </c>
      <c r="C5" s="93">
        <v>3674.68</v>
      </c>
      <c r="D5" s="94"/>
      <c r="E5" s="95">
        <v>0</v>
      </c>
      <c r="F5" s="72"/>
      <c r="G5" s="72"/>
      <c r="I5" s="10">
        <v>2038.34</v>
      </c>
      <c r="J5" s="16">
        <v>39637</v>
      </c>
      <c r="L5" s="10">
        <v>5323.14</v>
      </c>
      <c r="M5" s="16">
        <v>39643</v>
      </c>
      <c r="O5" s="110"/>
      <c r="P5" s="111">
        <v>0</v>
      </c>
      <c r="Q5" s="112"/>
      <c r="R5" s="110" t="s">
        <v>361</v>
      </c>
      <c r="S5" s="132">
        <v>106.6</v>
      </c>
      <c r="T5" s="136">
        <v>39600</v>
      </c>
    </row>
    <row r="6" spans="2:23">
      <c r="B6" s="71"/>
      <c r="C6" s="93"/>
      <c r="D6" s="94"/>
      <c r="E6" s="95"/>
      <c r="F6" s="72"/>
      <c r="G6" s="72"/>
      <c r="I6" s="10">
        <v>2056</v>
      </c>
      <c r="J6" s="16">
        <v>39643</v>
      </c>
      <c r="L6" s="10">
        <v>5277.64</v>
      </c>
      <c r="M6" s="16">
        <v>39646</v>
      </c>
      <c r="O6" s="110"/>
      <c r="P6" s="111"/>
      <c r="Q6" s="112"/>
      <c r="R6" s="110" t="s">
        <v>300</v>
      </c>
      <c r="S6" s="132">
        <v>62.4</v>
      </c>
      <c r="T6" s="136">
        <v>39652</v>
      </c>
    </row>
    <row r="7" spans="2:23">
      <c r="B7" s="71" t="s">
        <v>329</v>
      </c>
      <c r="C7" s="93">
        <v>224</v>
      </c>
      <c r="D7" s="94"/>
      <c r="E7" s="95">
        <v>0</v>
      </c>
      <c r="F7" s="72"/>
      <c r="G7" s="72"/>
      <c r="I7" s="10">
        <v>2071.89</v>
      </c>
      <c r="J7" s="16">
        <v>39644</v>
      </c>
      <c r="L7" s="10">
        <v>5000.18</v>
      </c>
      <c r="M7" s="16">
        <v>39652</v>
      </c>
      <c r="O7" s="110"/>
      <c r="P7" s="111"/>
      <c r="Q7" s="133"/>
      <c r="R7" s="110" t="s">
        <v>362</v>
      </c>
      <c r="S7" s="132">
        <v>59.9</v>
      </c>
      <c r="T7" s="136">
        <v>39655</v>
      </c>
    </row>
    <row r="8" spans="2:23">
      <c r="B8" s="99" t="s">
        <v>65</v>
      </c>
      <c r="C8" s="96">
        <f>-45</f>
        <v>-45</v>
      </c>
      <c r="D8" s="97"/>
      <c r="E8" s="63">
        <v>0</v>
      </c>
      <c r="F8" s="64" t="s">
        <v>207</v>
      </c>
      <c r="G8" s="64" t="s">
        <v>58</v>
      </c>
      <c r="I8" s="10">
        <v>2052.3200000000002</v>
      </c>
      <c r="J8" s="16">
        <v>39652</v>
      </c>
      <c r="L8" s="10">
        <v>5001.4399999999996</v>
      </c>
      <c r="M8" s="16">
        <v>39654</v>
      </c>
      <c r="O8" s="110"/>
      <c r="P8" s="111"/>
      <c r="Q8" s="114"/>
      <c r="R8" s="110" t="s">
        <v>363</v>
      </c>
      <c r="S8" s="132">
        <v>36.4</v>
      </c>
      <c r="T8" s="136">
        <v>39660</v>
      </c>
      <c r="W8" s="134"/>
    </row>
    <row r="9" spans="2:23">
      <c r="B9" s="99" t="s">
        <v>38</v>
      </c>
      <c r="C9" s="96">
        <v>-500.59</v>
      </c>
      <c r="D9" s="97"/>
      <c r="E9" s="63">
        <v>0</v>
      </c>
      <c r="F9" s="64">
        <v>39658</v>
      </c>
      <c r="G9" s="64" t="s">
        <v>58</v>
      </c>
      <c r="I9" s="10">
        <v>2059.65</v>
      </c>
      <c r="J9" s="16">
        <v>39653</v>
      </c>
      <c r="L9" s="10">
        <v>4914.21</v>
      </c>
      <c r="M9" s="16">
        <v>39659</v>
      </c>
      <c r="O9" s="110"/>
      <c r="P9" s="111"/>
      <c r="Q9" s="114"/>
      <c r="R9" s="110" t="s">
        <v>364</v>
      </c>
      <c r="S9" s="132">
        <v>6.24</v>
      </c>
      <c r="T9" s="136">
        <v>39660</v>
      </c>
    </row>
    <row r="10" spans="2:23">
      <c r="B10" s="99" t="s">
        <v>14</v>
      </c>
      <c r="C10" s="96">
        <v>-20.239999999999998</v>
      </c>
      <c r="D10" s="97"/>
      <c r="E10" s="63">
        <v>0</v>
      </c>
      <c r="F10" s="64">
        <v>39657</v>
      </c>
      <c r="G10" s="64" t="s">
        <v>58</v>
      </c>
      <c r="I10" s="10">
        <v>1979.17</v>
      </c>
      <c r="J10" s="16">
        <v>39659</v>
      </c>
      <c r="L10" s="10">
        <v>4985</v>
      </c>
      <c r="M10" s="16">
        <v>39673</v>
      </c>
      <c r="O10" s="110"/>
      <c r="P10" s="111"/>
      <c r="Q10" s="114"/>
      <c r="R10" s="110" t="s">
        <v>365</v>
      </c>
      <c r="S10" s="132">
        <v>106</v>
      </c>
      <c r="T10" s="136">
        <v>39660</v>
      </c>
      <c r="W10" s="134"/>
    </row>
    <row r="11" spans="2:23">
      <c r="B11" s="99" t="s">
        <v>93</v>
      </c>
      <c r="C11" s="96">
        <v>-172.36</v>
      </c>
      <c r="D11" s="97"/>
      <c r="E11" s="63">
        <v>0</v>
      </c>
      <c r="F11" s="64">
        <v>39661</v>
      </c>
      <c r="G11" s="64" t="s">
        <v>58</v>
      </c>
      <c r="I11" s="130">
        <v>2009</v>
      </c>
      <c r="J11" s="16">
        <v>39668</v>
      </c>
      <c r="L11" s="10">
        <v>5009.1099999999997</v>
      </c>
      <c r="M11" s="16">
        <v>39678</v>
      </c>
      <c r="O11" s="110"/>
      <c r="P11" s="111"/>
      <c r="Q11" s="114"/>
      <c r="R11" s="110" t="s">
        <v>300</v>
      </c>
      <c r="S11" s="132">
        <v>40</v>
      </c>
      <c r="T11" s="136">
        <v>39661</v>
      </c>
    </row>
    <row r="12" spans="2:23">
      <c r="B12" s="99" t="s">
        <v>157</v>
      </c>
      <c r="C12" s="96">
        <v>-16.579999999999998</v>
      </c>
      <c r="D12" s="97"/>
      <c r="E12" s="63">
        <v>0</v>
      </c>
      <c r="F12" s="64">
        <v>39675</v>
      </c>
      <c r="G12" s="64"/>
      <c r="I12" s="10">
        <v>1993</v>
      </c>
      <c r="J12" s="16">
        <v>39673</v>
      </c>
      <c r="L12" s="10"/>
      <c r="M12" s="16"/>
      <c r="O12" s="110"/>
      <c r="P12" s="111"/>
      <c r="Q12" s="114"/>
      <c r="R12" s="110" t="s">
        <v>366</v>
      </c>
      <c r="S12" s="132">
        <v>20</v>
      </c>
      <c r="T12" s="136">
        <v>39662</v>
      </c>
      <c r="W12" s="134"/>
    </row>
    <row r="13" spans="2:23">
      <c r="B13" s="99" t="s">
        <v>86</v>
      </c>
      <c r="C13" s="96">
        <v>-162.68</v>
      </c>
      <c r="D13" s="97"/>
      <c r="E13" s="63">
        <v>0</v>
      </c>
      <c r="F13" s="64">
        <v>39664</v>
      </c>
      <c r="G13" s="64"/>
      <c r="I13" s="10">
        <v>1944</v>
      </c>
      <c r="J13" s="16">
        <v>39678</v>
      </c>
      <c r="L13" s="10"/>
      <c r="M13" s="16"/>
      <c r="O13" s="110"/>
      <c r="P13" s="111"/>
      <c r="Q13" s="114"/>
      <c r="R13" s="110" t="s">
        <v>367</v>
      </c>
      <c r="S13" s="132">
        <v>32</v>
      </c>
      <c r="T13" s="136">
        <v>39662</v>
      </c>
    </row>
    <row r="14" spans="2:23">
      <c r="B14" s="99" t="s">
        <v>103</v>
      </c>
      <c r="C14" s="96">
        <v>-972.56</v>
      </c>
      <c r="D14" s="97"/>
      <c r="E14" s="63">
        <v>0</v>
      </c>
      <c r="F14" s="64">
        <v>39661</v>
      </c>
      <c r="G14" s="64" t="s">
        <v>58</v>
      </c>
      <c r="I14" s="10">
        <v>1881.94</v>
      </c>
      <c r="J14" s="16">
        <v>39681</v>
      </c>
      <c r="L14" s="10"/>
      <c r="M14" s="16"/>
      <c r="O14" s="110"/>
      <c r="P14" s="111"/>
      <c r="Q14" s="114"/>
      <c r="R14" s="110" t="s">
        <v>368</v>
      </c>
      <c r="S14" s="132">
        <v>25.7</v>
      </c>
      <c r="T14" s="136">
        <v>39663</v>
      </c>
      <c r="W14" s="134"/>
    </row>
    <row r="15" spans="2:23">
      <c r="B15" s="99" t="s">
        <v>154</v>
      </c>
      <c r="C15" s="96">
        <v>-19</v>
      </c>
      <c r="D15" s="97"/>
      <c r="E15" s="63">
        <v>0</v>
      </c>
      <c r="F15" s="64">
        <v>39675</v>
      </c>
      <c r="G15" s="64"/>
      <c r="I15" s="10">
        <v>1944</v>
      </c>
      <c r="J15" s="16">
        <v>39685</v>
      </c>
      <c r="L15" s="10"/>
      <c r="M15" s="16"/>
      <c r="O15" s="110"/>
      <c r="P15" s="111"/>
      <c r="Q15" s="114"/>
      <c r="R15" s="110" t="s">
        <v>369</v>
      </c>
      <c r="S15" s="132">
        <v>45</v>
      </c>
      <c r="T15" s="136">
        <v>39666</v>
      </c>
    </row>
    <row r="16" spans="2:23">
      <c r="B16" s="99" t="s">
        <v>155</v>
      </c>
      <c r="C16" s="96">
        <v>-12</v>
      </c>
      <c r="D16" s="97"/>
      <c r="E16" s="63">
        <v>0</v>
      </c>
      <c r="F16" s="64">
        <v>39675</v>
      </c>
      <c r="G16" s="64"/>
      <c r="I16" s="10"/>
      <c r="J16" s="16"/>
      <c r="L16" s="10"/>
      <c r="M16" s="16"/>
      <c r="O16" s="110"/>
      <c r="P16" s="111"/>
      <c r="Q16" s="114"/>
      <c r="R16" s="110" t="s">
        <v>370</v>
      </c>
      <c r="S16" s="132">
        <v>18.399999999999999</v>
      </c>
      <c r="T16" s="136">
        <v>39674</v>
      </c>
      <c r="W16" s="134"/>
    </row>
    <row r="17" spans="2:23">
      <c r="B17" s="99" t="s">
        <v>96</v>
      </c>
      <c r="C17" s="96">
        <v>-71.53</v>
      </c>
      <c r="D17" s="97"/>
      <c r="E17" s="63">
        <v>0</v>
      </c>
      <c r="F17" s="64">
        <v>39664</v>
      </c>
      <c r="G17" s="64" t="s">
        <v>58</v>
      </c>
      <c r="I17" s="10"/>
      <c r="J17" s="16"/>
      <c r="L17" s="10"/>
      <c r="M17" s="16"/>
      <c r="O17" s="110"/>
      <c r="P17" s="111"/>
      <c r="Q17" s="114"/>
      <c r="R17" s="110"/>
      <c r="S17" s="132"/>
      <c r="T17" s="136"/>
    </row>
    <row r="18" spans="2:23">
      <c r="B18" s="99" t="s">
        <v>29</v>
      </c>
      <c r="C18" s="96">
        <v>-262.01</v>
      </c>
      <c r="D18" s="97"/>
      <c r="E18" s="63">
        <v>0</v>
      </c>
      <c r="F18" s="64">
        <v>39664</v>
      </c>
      <c r="G18" s="64" t="s">
        <v>58</v>
      </c>
      <c r="O18" s="115"/>
      <c r="P18" s="116"/>
      <c r="Q18" s="117"/>
      <c r="R18" s="115"/>
      <c r="S18" s="116"/>
      <c r="T18" s="137"/>
      <c r="W18" s="134"/>
    </row>
    <row r="19" spans="2:23">
      <c r="B19" s="99" t="s">
        <v>82</v>
      </c>
      <c r="C19" s="96">
        <v>-34</v>
      </c>
      <c r="D19" s="97"/>
      <c r="E19" s="63">
        <v>0</v>
      </c>
      <c r="F19" s="64">
        <v>39675</v>
      </c>
      <c r="G19" s="64" t="s">
        <v>58</v>
      </c>
      <c r="O19" s="115"/>
      <c r="P19" s="116"/>
      <c r="Q19" s="117"/>
      <c r="R19" s="115"/>
      <c r="S19" s="116"/>
      <c r="T19" s="137"/>
    </row>
    <row r="20" spans="2:23">
      <c r="B20" s="99" t="s">
        <v>371</v>
      </c>
      <c r="C20" s="96">
        <v>-15.18</v>
      </c>
      <c r="D20" s="97"/>
      <c r="E20" s="63">
        <v>0</v>
      </c>
      <c r="F20" s="64">
        <v>39665</v>
      </c>
      <c r="G20" s="64" t="s">
        <v>58</v>
      </c>
      <c r="O20" s="115"/>
      <c r="P20" s="116"/>
      <c r="Q20" s="117"/>
      <c r="R20" s="115"/>
      <c r="S20" s="116"/>
      <c r="T20" s="137"/>
      <c r="W20" s="134"/>
    </row>
    <row r="21" spans="2:23">
      <c r="B21" s="99" t="s">
        <v>372</v>
      </c>
      <c r="C21" s="96">
        <v>-17</v>
      </c>
      <c r="D21" s="97"/>
      <c r="E21" s="63">
        <v>0</v>
      </c>
      <c r="F21" s="64">
        <v>39665</v>
      </c>
      <c r="G21" s="64" t="s">
        <v>58</v>
      </c>
      <c r="O21" s="115"/>
      <c r="P21" s="116"/>
      <c r="Q21" s="117"/>
      <c r="R21" s="115"/>
      <c r="S21" s="116"/>
      <c r="T21" s="137"/>
    </row>
    <row r="22" spans="2:23">
      <c r="B22" s="99" t="s">
        <v>373</v>
      </c>
      <c r="C22" s="96">
        <v>-110</v>
      </c>
      <c r="D22" s="97"/>
      <c r="E22" s="63">
        <v>0</v>
      </c>
      <c r="F22" s="64">
        <v>39661</v>
      </c>
      <c r="G22" s="64" t="s">
        <v>58</v>
      </c>
      <c r="O22" s="119" t="s">
        <v>45</v>
      </c>
      <c r="P22" s="120">
        <f>SUM(P5:P21)</f>
        <v>0</v>
      </c>
      <c r="Q22" s="121"/>
      <c r="R22" s="119" t="s">
        <v>45</v>
      </c>
      <c r="S22" s="135">
        <f>SUM(S5:S21)</f>
        <v>558.64</v>
      </c>
      <c r="T22" s="123"/>
      <c r="W22" s="134"/>
    </row>
    <row r="23" spans="2:23">
      <c r="B23" s="99" t="s">
        <v>41</v>
      </c>
      <c r="C23" s="96">
        <v>-92.34</v>
      </c>
      <c r="D23" s="97"/>
      <c r="E23" s="63">
        <v>0</v>
      </c>
      <c r="F23" s="64">
        <v>39667</v>
      </c>
      <c r="G23" s="64" t="s">
        <v>58</v>
      </c>
    </row>
    <row r="24" spans="2:23">
      <c r="B24" s="99" t="s">
        <v>98</v>
      </c>
      <c r="C24" s="96">
        <v>-184.5</v>
      </c>
      <c r="D24" s="97"/>
      <c r="E24" s="63">
        <v>0</v>
      </c>
      <c r="F24" s="64">
        <v>39667</v>
      </c>
      <c r="G24" s="64" t="s">
        <v>58</v>
      </c>
      <c r="W24" s="134"/>
    </row>
    <row r="25" spans="2:23">
      <c r="B25" s="99" t="s">
        <v>84</v>
      </c>
      <c r="C25" s="96">
        <v>-100</v>
      </c>
      <c r="D25" s="97"/>
      <c r="E25" s="63">
        <v>0</v>
      </c>
      <c r="F25" s="64">
        <v>39665</v>
      </c>
      <c r="G25" s="64" t="s">
        <v>58</v>
      </c>
    </row>
    <row r="26" spans="2:23">
      <c r="B26" s="99" t="s">
        <v>374</v>
      </c>
      <c r="C26" s="96">
        <v>-200</v>
      </c>
      <c r="D26" s="97"/>
      <c r="E26" s="63">
        <v>0</v>
      </c>
      <c r="F26" s="64">
        <v>39665</v>
      </c>
      <c r="G26" s="64" t="s">
        <v>58</v>
      </c>
      <c r="W26" s="134"/>
    </row>
    <row r="27" spans="2:23">
      <c r="B27" s="99" t="s">
        <v>375</v>
      </c>
      <c r="C27" s="96">
        <v>-80</v>
      </c>
      <c r="D27" s="97"/>
      <c r="E27" s="63">
        <v>0</v>
      </c>
      <c r="F27" s="64">
        <v>39665</v>
      </c>
      <c r="G27" s="64" t="s">
        <v>58</v>
      </c>
      <c r="W27" s="134"/>
    </row>
    <row r="28" spans="2:23">
      <c r="B28" s="99" t="s">
        <v>175</v>
      </c>
      <c r="C28" s="96">
        <v>-21</v>
      </c>
      <c r="D28" s="97"/>
      <c r="E28" s="63">
        <v>0</v>
      </c>
      <c r="F28" s="64">
        <v>39664</v>
      </c>
      <c r="G28" s="64" t="s">
        <v>58</v>
      </c>
      <c r="R28" s="138"/>
    </row>
    <row r="29" spans="2:23">
      <c r="B29" s="99" t="s">
        <v>77</v>
      </c>
      <c r="C29" s="96">
        <v>-159.80000000000001</v>
      </c>
      <c r="D29" s="97"/>
      <c r="E29" s="63">
        <v>0</v>
      </c>
      <c r="F29" s="64">
        <v>39680</v>
      </c>
      <c r="G29" s="64" t="s">
        <v>58</v>
      </c>
      <c r="W29" s="134"/>
    </row>
    <row r="30" spans="2:23">
      <c r="B30" s="99" t="s">
        <v>289</v>
      </c>
      <c r="C30" s="96">
        <v>-50</v>
      </c>
      <c r="D30" s="97"/>
      <c r="E30" s="63">
        <v>0</v>
      </c>
      <c r="F30" s="64">
        <v>39667</v>
      </c>
      <c r="G30" s="64" t="s">
        <v>58</v>
      </c>
    </row>
    <row r="31" spans="2:23">
      <c r="B31" s="99" t="s">
        <v>376</v>
      </c>
      <c r="C31" s="96">
        <v>-25</v>
      </c>
      <c r="D31" s="97"/>
      <c r="E31" s="63">
        <v>0</v>
      </c>
      <c r="F31" s="64">
        <v>39687</v>
      </c>
      <c r="G31" s="64"/>
    </row>
    <row r="32" spans="2:23">
      <c r="B32" s="99" t="s">
        <v>360</v>
      </c>
      <c r="C32" s="96">
        <v>-130</v>
      </c>
      <c r="D32" s="97"/>
      <c r="E32" s="63">
        <v>0</v>
      </c>
      <c r="F32" s="64">
        <v>39664</v>
      </c>
      <c r="G32" s="64" t="s">
        <v>58</v>
      </c>
    </row>
    <row r="33" spans="2:7" ht="18">
      <c r="B33" s="74" t="s">
        <v>45</v>
      </c>
      <c r="C33" s="101"/>
      <c r="D33" s="98"/>
      <c r="E33" s="129">
        <f>SUM(E3:E32)</f>
        <v>-856.03</v>
      </c>
      <c r="F33" s="75"/>
      <c r="G33" s="75"/>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2.xml><?xml version="1.0" encoding="utf-8"?>
<worksheet xmlns="http://schemas.openxmlformats.org/spreadsheetml/2006/main" xmlns:r="http://schemas.openxmlformats.org/officeDocument/2006/relationships">
  <sheetPr>
    <pageSetUpPr autoPageBreaks="0"/>
  </sheetPr>
  <dimension ref="B1:W37"/>
  <sheetViews>
    <sheetView showGridLines="0" zoomScale="75" zoomScaleNormal="75" zoomScalePageLayoutView="75" workbookViewId="0">
      <selection activeCell="E34" activeCellId="1" sqref="G13 E34"/>
    </sheetView>
  </sheetViews>
  <sheetFormatPr defaultColWidth="8.85546875" defaultRowHeight="12.75"/>
  <cols>
    <col min="1" max="1" width="2" customWidth="1"/>
    <col min="2" max="2" width="38.42578125" customWidth="1"/>
    <col min="3" max="3" width="21.42578125" customWidth="1"/>
    <col min="4" max="4" width="1.7109375" customWidth="1"/>
    <col min="5" max="5" width="20.140625" customWidth="1"/>
    <col min="6" max="6" width="11.42578125" customWidth="1"/>
    <col min="7" max="7" width="11" customWidth="1"/>
    <col min="8" max="8" width="1" customWidth="1"/>
    <col min="9" max="9" width="12.28515625" customWidth="1"/>
    <col min="10" max="10" width="6.42578125" customWidth="1"/>
    <col min="11" max="11" width="1.42578125" customWidth="1"/>
    <col min="12" max="12" width="12.28515625" customWidth="1"/>
    <col min="13" max="13" width="6.42578125" customWidth="1"/>
    <col min="14" max="14" width="1.42578125" customWidth="1"/>
    <col min="15" max="15" width="21.140625" customWidth="1"/>
    <col min="16" max="16" width="10.85546875" customWidth="1"/>
    <col min="17" max="17" width="7.28515625" customWidth="1"/>
    <col min="18" max="18" width="7.7109375" customWidth="1"/>
    <col min="19" max="19" width="41.42578125" customWidth="1"/>
    <col min="20" max="20" width="10.140625" customWidth="1"/>
  </cols>
  <sheetData>
    <row r="1" spans="2:23">
      <c r="E1" s="106"/>
    </row>
    <row r="2" spans="2:23" ht="18">
      <c r="B2" s="220" t="s">
        <v>135</v>
      </c>
      <c r="C2" s="220" t="s">
        <v>136</v>
      </c>
      <c r="D2" s="90"/>
      <c r="E2" s="220" t="s">
        <v>0</v>
      </c>
      <c r="F2" s="82" t="s">
        <v>1</v>
      </c>
      <c r="G2" s="82" t="s">
        <v>57</v>
      </c>
      <c r="I2" s="221" t="s">
        <v>295</v>
      </c>
      <c r="J2" s="221" t="s">
        <v>1</v>
      </c>
      <c r="L2" s="221" t="s">
        <v>48</v>
      </c>
      <c r="M2" s="221" t="s">
        <v>1</v>
      </c>
      <c r="O2" s="584" t="s">
        <v>215</v>
      </c>
      <c r="P2" s="584"/>
      <c r="Q2" s="584"/>
      <c r="R2" s="584"/>
      <c r="S2" s="584"/>
      <c r="T2" s="584"/>
    </row>
    <row r="3" spans="2:23">
      <c r="B3" s="71" t="s">
        <v>11</v>
      </c>
      <c r="C3" s="91">
        <v>0</v>
      </c>
      <c r="D3" s="92"/>
      <c r="E3" s="95">
        <v>-30.79</v>
      </c>
      <c r="F3" s="61"/>
      <c r="G3" s="61"/>
      <c r="I3" s="10">
        <v>5495.17</v>
      </c>
      <c r="J3" s="16">
        <v>39625</v>
      </c>
      <c r="L3" s="10">
        <v>3500</v>
      </c>
      <c r="M3" s="16">
        <v>39707</v>
      </c>
      <c r="O3" s="581" t="s">
        <v>216</v>
      </c>
      <c r="P3" s="581"/>
      <c r="Q3" s="581"/>
      <c r="R3" s="582" t="s">
        <v>217</v>
      </c>
      <c r="S3" s="582"/>
      <c r="T3" s="582"/>
    </row>
    <row r="4" spans="2:23" ht="12" customHeight="1">
      <c r="B4" s="71" t="s">
        <v>56</v>
      </c>
      <c r="C4" s="91">
        <v>0</v>
      </c>
      <c r="D4" s="92"/>
      <c r="E4" s="95">
        <v>299.62</v>
      </c>
      <c r="F4" s="72"/>
      <c r="G4" s="72"/>
      <c r="I4" s="10">
        <v>5152.6400000000003</v>
      </c>
      <c r="J4" s="16">
        <v>39637</v>
      </c>
      <c r="L4" s="10"/>
      <c r="M4" s="16"/>
      <c r="O4" s="107" t="s">
        <v>218</v>
      </c>
      <c r="P4" s="108" t="s">
        <v>219</v>
      </c>
      <c r="Q4" s="109" t="s">
        <v>1</v>
      </c>
      <c r="R4" s="107" t="s">
        <v>1</v>
      </c>
      <c r="S4" s="108" t="s">
        <v>218</v>
      </c>
      <c r="T4" s="109" t="s">
        <v>219</v>
      </c>
    </row>
    <row r="5" spans="2:23" ht="12" customHeight="1">
      <c r="B5" s="71" t="s">
        <v>5</v>
      </c>
      <c r="C5" s="93">
        <v>4009.09</v>
      </c>
      <c r="D5" s="94"/>
      <c r="E5" s="95">
        <v>0</v>
      </c>
      <c r="F5" s="72"/>
      <c r="G5" s="72"/>
      <c r="I5" s="10">
        <v>5323.14</v>
      </c>
      <c r="J5" s="16">
        <v>39643</v>
      </c>
      <c r="L5" s="10"/>
      <c r="M5" s="16"/>
      <c r="O5" s="110" t="s">
        <v>377</v>
      </c>
      <c r="P5" s="111">
        <v>51</v>
      </c>
      <c r="Q5" s="112"/>
      <c r="R5" s="139">
        <v>39680</v>
      </c>
      <c r="S5" s="132" t="s">
        <v>378</v>
      </c>
      <c r="T5" s="140">
        <v>15.1</v>
      </c>
    </row>
    <row r="6" spans="2:23">
      <c r="B6" s="71" t="s">
        <v>81</v>
      </c>
      <c r="C6" s="93">
        <v>26</v>
      </c>
      <c r="D6" s="94"/>
      <c r="E6" s="95">
        <v>0</v>
      </c>
      <c r="F6" s="72"/>
      <c r="G6" s="72"/>
      <c r="I6" s="10">
        <v>5277.64</v>
      </c>
      <c r="J6" s="16">
        <v>39646</v>
      </c>
      <c r="L6" s="10"/>
      <c r="M6" s="16"/>
      <c r="O6" s="110"/>
      <c r="P6" s="111"/>
      <c r="Q6" s="112"/>
      <c r="R6" s="139">
        <v>39682</v>
      </c>
      <c r="S6" s="132" t="s">
        <v>379</v>
      </c>
      <c r="T6" s="140">
        <v>90</v>
      </c>
    </row>
    <row r="7" spans="2:23">
      <c r="B7" s="71" t="s">
        <v>380</v>
      </c>
      <c r="C7" s="93">
        <v>120</v>
      </c>
      <c r="D7" s="94"/>
      <c r="E7" s="95">
        <v>0</v>
      </c>
      <c r="F7" s="72"/>
      <c r="G7" s="72"/>
      <c r="I7" s="10">
        <v>5000.18</v>
      </c>
      <c r="J7" s="16">
        <v>39652</v>
      </c>
      <c r="L7" s="10"/>
      <c r="M7" s="16"/>
      <c r="O7" s="110"/>
      <c r="P7" s="111"/>
      <c r="Q7" s="133"/>
      <c r="R7" s="139">
        <v>39682</v>
      </c>
      <c r="S7" s="132" t="s">
        <v>381</v>
      </c>
      <c r="T7" s="140">
        <v>55</v>
      </c>
    </row>
    <row r="8" spans="2:23">
      <c r="B8" s="71" t="s">
        <v>382</v>
      </c>
      <c r="C8" s="93">
        <v>713.6</v>
      </c>
      <c r="D8" s="94"/>
      <c r="E8" s="95">
        <v>0</v>
      </c>
      <c r="F8" s="72"/>
      <c r="G8" s="72"/>
      <c r="I8" s="10">
        <v>5001.4399999999996</v>
      </c>
      <c r="J8" s="16">
        <v>39654</v>
      </c>
      <c r="L8" s="10"/>
      <c r="M8" s="16"/>
      <c r="O8" s="110"/>
      <c r="P8" s="111"/>
      <c r="Q8" s="114"/>
      <c r="R8" s="139">
        <v>39682</v>
      </c>
      <c r="S8" s="132" t="s">
        <v>383</v>
      </c>
      <c r="T8" s="140">
        <v>11.5</v>
      </c>
      <c r="W8" s="134"/>
    </row>
    <row r="9" spans="2:23">
      <c r="B9" s="71" t="s">
        <v>384</v>
      </c>
      <c r="C9" s="93">
        <v>3500</v>
      </c>
      <c r="D9" s="94"/>
      <c r="E9" s="95">
        <v>0</v>
      </c>
      <c r="F9" s="72"/>
      <c r="G9" s="72"/>
      <c r="I9" s="10">
        <v>4914.21</v>
      </c>
      <c r="J9" s="16">
        <v>39659</v>
      </c>
      <c r="L9" s="10"/>
      <c r="M9" s="16"/>
      <c r="O9" s="110"/>
      <c r="P9" s="111"/>
      <c r="Q9" s="114"/>
      <c r="R9" s="139">
        <v>39684</v>
      </c>
      <c r="S9" s="132" t="s">
        <v>385</v>
      </c>
      <c r="T9" s="140">
        <v>27.7</v>
      </c>
    </row>
    <row r="10" spans="2:23">
      <c r="B10" s="71" t="s">
        <v>386</v>
      </c>
      <c r="C10" s="93">
        <v>1901</v>
      </c>
      <c r="D10" s="94"/>
      <c r="E10" s="95">
        <v>0</v>
      </c>
      <c r="F10" s="72"/>
      <c r="G10" s="72"/>
      <c r="I10" s="10">
        <v>4985</v>
      </c>
      <c r="J10" s="16">
        <v>39673</v>
      </c>
      <c r="L10" s="10"/>
      <c r="M10" s="16"/>
      <c r="O10" s="110"/>
      <c r="P10" s="111"/>
      <c r="Q10" s="114"/>
      <c r="R10" s="139">
        <v>39685</v>
      </c>
      <c r="S10" s="132" t="s">
        <v>387</v>
      </c>
      <c r="T10" s="140">
        <v>12.18</v>
      </c>
      <c r="W10" s="134"/>
    </row>
    <row r="11" spans="2:23">
      <c r="B11" s="99" t="s">
        <v>65</v>
      </c>
      <c r="C11" s="96">
        <v>0</v>
      </c>
      <c r="D11" s="97"/>
      <c r="E11" s="63">
        <f>C11</f>
        <v>0</v>
      </c>
      <c r="F11" s="64" t="s">
        <v>207</v>
      </c>
      <c r="G11" s="64" t="s">
        <v>58</v>
      </c>
      <c r="I11" s="10">
        <v>5009.1099999999997</v>
      </c>
      <c r="J11" s="16">
        <v>39678</v>
      </c>
      <c r="L11" s="10"/>
      <c r="M11" s="16"/>
      <c r="O11" s="110"/>
      <c r="P11" s="111"/>
      <c r="Q11" s="114"/>
      <c r="R11" s="139">
        <v>39689</v>
      </c>
      <c r="S11" s="132" t="s">
        <v>388</v>
      </c>
      <c r="T11" s="140">
        <v>39.9</v>
      </c>
    </row>
    <row r="12" spans="2:23">
      <c r="B12" s="99" t="s">
        <v>38</v>
      </c>
      <c r="C12" s="96">
        <v>-500.59</v>
      </c>
      <c r="D12" s="97"/>
      <c r="E12" s="63">
        <v>0</v>
      </c>
      <c r="F12" s="64">
        <v>39693</v>
      </c>
      <c r="G12" s="64" t="s">
        <v>58</v>
      </c>
      <c r="I12" s="10"/>
      <c r="J12" s="16"/>
      <c r="L12" s="10"/>
      <c r="M12" s="16"/>
      <c r="O12" s="110"/>
      <c r="P12" s="111"/>
      <c r="Q12" s="114"/>
      <c r="R12" s="139">
        <v>39689</v>
      </c>
      <c r="S12" s="132" t="s">
        <v>300</v>
      </c>
      <c r="T12" s="140">
        <v>53.6</v>
      </c>
      <c r="W12" s="134"/>
    </row>
    <row r="13" spans="2:23">
      <c r="B13" s="99" t="s">
        <v>14</v>
      </c>
      <c r="C13" s="96">
        <v>-18.98</v>
      </c>
      <c r="D13" s="97"/>
      <c r="E13" s="63">
        <v>0</v>
      </c>
      <c r="F13" s="64">
        <v>39680</v>
      </c>
      <c r="G13" s="64" t="s">
        <v>58</v>
      </c>
      <c r="I13" s="10"/>
      <c r="J13" s="16"/>
      <c r="L13" s="10"/>
      <c r="M13" s="16"/>
      <c r="O13" s="110"/>
      <c r="P13" s="111"/>
      <c r="Q13" s="114"/>
      <c r="R13" s="139">
        <v>39689</v>
      </c>
      <c r="S13" s="132" t="s">
        <v>389</v>
      </c>
      <c r="T13" s="140">
        <v>85.51</v>
      </c>
    </row>
    <row r="14" spans="2:23">
      <c r="B14" s="99" t="s">
        <v>390</v>
      </c>
      <c r="C14" s="96">
        <v>-1900</v>
      </c>
      <c r="D14" s="97"/>
      <c r="E14" s="63">
        <v>0</v>
      </c>
      <c r="F14" s="64">
        <v>39665</v>
      </c>
      <c r="G14" s="64" t="s">
        <v>58</v>
      </c>
      <c r="I14" s="10"/>
      <c r="J14" s="16"/>
      <c r="L14" s="10"/>
      <c r="M14" s="16"/>
      <c r="O14" s="110"/>
      <c r="P14" s="111"/>
      <c r="Q14" s="114"/>
      <c r="R14" s="139">
        <v>39691</v>
      </c>
      <c r="S14" s="132" t="s">
        <v>391</v>
      </c>
      <c r="T14" s="140">
        <v>42</v>
      </c>
      <c r="W14" s="134"/>
    </row>
    <row r="15" spans="2:23">
      <c r="B15" s="99" t="s">
        <v>93</v>
      </c>
      <c r="C15" s="96">
        <v>-3.2</v>
      </c>
      <c r="D15" s="97"/>
      <c r="E15" s="63">
        <v>0</v>
      </c>
      <c r="F15" s="64">
        <v>39692</v>
      </c>
      <c r="G15" s="64" t="s">
        <v>58</v>
      </c>
      <c r="I15" s="10"/>
      <c r="J15" s="16"/>
      <c r="L15" s="10"/>
      <c r="M15" s="16"/>
      <c r="O15" s="110"/>
      <c r="P15" s="111"/>
      <c r="Q15" s="114"/>
      <c r="R15" s="139">
        <v>39691</v>
      </c>
      <c r="S15" s="132" t="s">
        <v>392</v>
      </c>
      <c r="T15" s="140">
        <v>50</v>
      </c>
    </row>
    <row r="16" spans="2:23">
      <c r="B16" s="99" t="s">
        <v>157</v>
      </c>
      <c r="C16" s="96">
        <v>-15.88</v>
      </c>
      <c r="D16" s="97"/>
      <c r="E16" s="63">
        <v>0</v>
      </c>
      <c r="F16" s="64">
        <v>39701</v>
      </c>
      <c r="G16" s="64" t="s">
        <v>58</v>
      </c>
      <c r="I16" s="10"/>
      <c r="J16" s="16"/>
      <c r="L16" s="10"/>
      <c r="M16" s="16"/>
      <c r="O16" s="110"/>
      <c r="P16" s="111"/>
      <c r="Q16" s="114"/>
      <c r="R16" s="139">
        <v>39702</v>
      </c>
      <c r="S16" s="132" t="s">
        <v>393</v>
      </c>
      <c r="T16" s="140">
        <v>49.9</v>
      </c>
      <c r="W16" s="134"/>
    </row>
    <row r="17" spans="2:23">
      <c r="B17" s="99" t="s">
        <v>86</v>
      </c>
      <c r="C17" s="96">
        <v>-176.59</v>
      </c>
      <c r="D17" s="97"/>
      <c r="E17" s="63">
        <v>0</v>
      </c>
      <c r="F17" s="64">
        <v>39692</v>
      </c>
      <c r="G17" s="64" t="s">
        <v>58</v>
      </c>
      <c r="I17" s="10"/>
      <c r="J17" s="16"/>
      <c r="L17" s="10"/>
      <c r="M17" s="16"/>
      <c r="O17" s="110"/>
      <c r="P17" s="111"/>
      <c r="Q17" s="114"/>
      <c r="R17" s="139">
        <v>39704</v>
      </c>
      <c r="S17" s="132" t="s">
        <v>394</v>
      </c>
      <c r="T17" s="140">
        <v>32.9</v>
      </c>
    </row>
    <row r="18" spans="2:23">
      <c r="B18" s="99" t="s">
        <v>103</v>
      </c>
      <c r="C18" s="96">
        <v>-715.72</v>
      </c>
      <c r="D18" s="97"/>
      <c r="E18" s="63">
        <v>0</v>
      </c>
      <c r="F18" s="64">
        <v>39692</v>
      </c>
      <c r="G18" s="64" t="s">
        <v>58</v>
      </c>
      <c r="O18" s="115"/>
      <c r="P18" s="116"/>
      <c r="Q18" s="117"/>
      <c r="R18" s="141">
        <v>39673</v>
      </c>
      <c r="S18" s="116" t="s">
        <v>395</v>
      </c>
      <c r="T18" s="140">
        <v>51.64</v>
      </c>
      <c r="W18" s="134"/>
    </row>
    <row r="19" spans="2:23">
      <c r="B19" s="99" t="s">
        <v>154</v>
      </c>
      <c r="C19" s="96">
        <v>-19</v>
      </c>
      <c r="D19" s="97"/>
      <c r="E19" s="63">
        <v>0</v>
      </c>
      <c r="F19" s="64">
        <v>39701</v>
      </c>
      <c r="G19" s="64" t="s">
        <v>58</v>
      </c>
      <c r="O19" s="115"/>
      <c r="P19" s="116"/>
      <c r="Q19" s="117"/>
      <c r="R19" s="141">
        <v>39705</v>
      </c>
      <c r="S19" s="116" t="s">
        <v>396</v>
      </c>
      <c r="T19" s="140">
        <v>40</v>
      </c>
    </row>
    <row r="20" spans="2:23">
      <c r="B20" s="99" t="s">
        <v>155</v>
      </c>
      <c r="C20" s="96">
        <v>-12</v>
      </c>
      <c r="D20" s="97"/>
      <c r="E20" s="63">
        <v>0</v>
      </c>
      <c r="F20" s="64">
        <v>39701</v>
      </c>
      <c r="G20" s="64" t="s">
        <v>58</v>
      </c>
      <c r="O20" s="115"/>
      <c r="P20" s="116"/>
      <c r="Q20" s="117"/>
      <c r="R20" s="115"/>
      <c r="S20" s="116"/>
      <c r="T20" s="142"/>
      <c r="W20" s="134"/>
    </row>
    <row r="21" spans="2:23">
      <c r="B21" s="99" t="s">
        <v>96</v>
      </c>
      <c r="C21" s="96">
        <v>-113.44</v>
      </c>
      <c r="D21" s="97"/>
      <c r="E21" s="63">
        <v>0</v>
      </c>
      <c r="F21" s="64">
        <v>39695</v>
      </c>
      <c r="G21" s="64" t="s">
        <v>58</v>
      </c>
      <c r="O21" s="115"/>
      <c r="P21" s="116"/>
      <c r="Q21" s="117"/>
      <c r="R21" s="115"/>
      <c r="S21" s="116"/>
      <c r="T21" s="142"/>
    </row>
    <row r="22" spans="2:23">
      <c r="B22" s="99" t="s">
        <v>29</v>
      </c>
      <c r="C22" s="96">
        <v>-262.01</v>
      </c>
      <c r="D22" s="97"/>
      <c r="E22" s="63">
        <v>0</v>
      </c>
      <c r="F22" s="64">
        <v>39695</v>
      </c>
      <c r="G22" s="64" t="s">
        <v>58</v>
      </c>
      <c r="O22" s="119" t="s">
        <v>45</v>
      </c>
      <c r="P22" s="120">
        <f>SUM(P5:P21)</f>
        <v>51</v>
      </c>
      <c r="Q22" s="121"/>
      <c r="R22" s="119" t="s">
        <v>45</v>
      </c>
      <c r="S22" s="135"/>
      <c r="T22" s="135">
        <f>SUM(T5:T21)</f>
        <v>656.93</v>
      </c>
      <c r="W22" s="134"/>
    </row>
    <row r="23" spans="2:23">
      <c r="B23" s="99" t="s">
        <v>82</v>
      </c>
      <c r="C23" s="96">
        <v>-34</v>
      </c>
      <c r="D23" s="97"/>
      <c r="E23" s="63">
        <v>0</v>
      </c>
      <c r="F23" s="64">
        <v>39696</v>
      </c>
      <c r="G23" s="64" t="s">
        <v>58</v>
      </c>
    </row>
    <row r="24" spans="2:23">
      <c r="B24" s="99" t="s">
        <v>372</v>
      </c>
      <c r="C24" s="96">
        <v>-17</v>
      </c>
      <c r="D24" s="97"/>
      <c r="E24" s="63">
        <v>0</v>
      </c>
      <c r="F24" s="64">
        <v>39695</v>
      </c>
      <c r="G24" s="64" t="s">
        <v>58</v>
      </c>
      <c r="W24" s="134"/>
    </row>
    <row r="25" spans="2:23">
      <c r="B25" s="99" t="s">
        <v>373</v>
      </c>
      <c r="C25" s="96">
        <v>-114</v>
      </c>
      <c r="D25" s="97"/>
      <c r="E25" s="63">
        <v>0</v>
      </c>
      <c r="F25" s="64">
        <v>39695</v>
      </c>
      <c r="G25" s="64" t="s">
        <v>58</v>
      </c>
    </row>
    <row r="26" spans="2:23">
      <c r="B26" s="99" t="s">
        <v>41</v>
      </c>
      <c r="C26" s="96">
        <v>-67.62</v>
      </c>
      <c r="D26" s="97"/>
      <c r="E26" s="63">
        <v>0</v>
      </c>
      <c r="F26" s="64">
        <v>39698</v>
      </c>
      <c r="G26" s="64" t="s">
        <v>58</v>
      </c>
      <c r="W26" s="134"/>
    </row>
    <row r="27" spans="2:23">
      <c r="B27" s="99" t="s">
        <v>98</v>
      </c>
      <c r="C27" s="96">
        <v>-125.49</v>
      </c>
      <c r="D27" s="97"/>
      <c r="E27" s="63">
        <v>0</v>
      </c>
      <c r="F27" s="64">
        <v>39698</v>
      </c>
      <c r="G27" s="64" t="s">
        <v>58</v>
      </c>
      <c r="W27" s="134"/>
    </row>
    <row r="28" spans="2:23">
      <c r="B28" s="99" t="s">
        <v>175</v>
      </c>
      <c r="C28" s="96">
        <v>-21</v>
      </c>
      <c r="D28" s="97"/>
      <c r="E28" s="63">
        <v>0</v>
      </c>
      <c r="F28" s="64">
        <v>39695</v>
      </c>
      <c r="G28" s="64" t="s">
        <v>58</v>
      </c>
      <c r="R28" s="138"/>
    </row>
    <row r="29" spans="2:23">
      <c r="B29" s="99" t="s">
        <v>77</v>
      </c>
      <c r="C29" s="96">
        <v>-159.80000000000001</v>
      </c>
      <c r="D29" s="97"/>
      <c r="E29" s="63">
        <v>0</v>
      </c>
      <c r="F29" s="64">
        <v>39711</v>
      </c>
      <c r="G29" s="64" t="s">
        <v>58</v>
      </c>
      <c r="W29" s="134"/>
    </row>
    <row r="30" spans="2:23">
      <c r="B30" s="99" t="s">
        <v>289</v>
      </c>
      <c r="C30" s="96">
        <v>-40</v>
      </c>
      <c r="D30" s="97"/>
      <c r="E30" s="63">
        <v>0</v>
      </c>
      <c r="F30" s="64">
        <v>39711</v>
      </c>
      <c r="G30" s="64" t="s">
        <v>58</v>
      </c>
    </row>
    <row r="31" spans="2:23">
      <c r="B31" s="99" t="s">
        <v>397</v>
      </c>
      <c r="C31" s="96">
        <v>-16.41</v>
      </c>
      <c r="D31" s="97"/>
      <c r="E31" s="63">
        <v>0</v>
      </c>
      <c r="F31" s="64">
        <v>39699</v>
      </c>
      <c r="G31" s="64" t="s">
        <v>58</v>
      </c>
    </row>
    <row r="32" spans="2:23">
      <c r="B32" s="99" t="s">
        <v>190</v>
      </c>
      <c r="C32" s="96">
        <v>-39.9</v>
      </c>
      <c r="D32" s="97"/>
      <c r="E32" s="63">
        <v>0</v>
      </c>
      <c r="F32" s="64">
        <v>39699</v>
      </c>
      <c r="G32" s="64" t="s">
        <v>58</v>
      </c>
    </row>
    <row r="33" spans="2:9">
      <c r="B33" s="99" t="s">
        <v>102</v>
      </c>
      <c r="C33" s="96">
        <v>-3500</v>
      </c>
      <c r="D33" s="97"/>
      <c r="E33" s="63">
        <v>0</v>
      </c>
      <c r="F33" s="64">
        <v>39707</v>
      </c>
      <c r="G33" s="64" t="s">
        <v>58</v>
      </c>
    </row>
    <row r="34" spans="2:9">
      <c r="B34" s="99" t="s">
        <v>398</v>
      </c>
      <c r="C34" s="96">
        <v>-475</v>
      </c>
      <c r="D34" s="97"/>
      <c r="E34" s="63">
        <v>0</v>
      </c>
      <c r="F34" s="64">
        <v>39706</v>
      </c>
      <c r="G34" s="64" t="s">
        <v>58</v>
      </c>
    </row>
    <row r="35" spans="2:9">
      <c r="B35" s="99" t="s">
        <v>399</v>
      </c>
      <c r="C35" s="96">
        <v>-137</v>
      </c>
      <c r="D35" s="97"/>
      <c r="E35" s="63">
        <v>0</v>
      </c>
      <c r="F35" s="64"/>
      <c r="G35" s="64" t="s">
        <v>58</v>
      </c>
      <c r="I35" s="52"/>
    </row>
    <row r="36" spans="2:9">
      <c r="B36" s="99" t="s">
        <v>360</v>
      </c>
      <c r="C36" s="96">
        <v>-130</v>
      </c>
      <c r="D36" s="97"/>
      <c r="E36" s="63">
        <v>0</v>
      </c>
      <c r="F36" s="64">
        <v>39695</v>
      </c>
      <c r="G36" s="64" t="s">
        <v>58</v>
      </c>
    </row>
    <row r="37" spans="2:9" ht="18">
      <c r="B37" s="74" t="s">
        <v>45</v>
      </c>
      <c r="C37" s="101"/>
      <c r="D37" s="98"/>
      <c r="E37" s="129">
        <f>SUM(E3:E36)</f>
        <v>268.83</v>
      </c>
      <c r="F37" s="75"/>
      <c r="G37" s="75"/>
      <c r="H37" s="89"/>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3.xml><?xml version="1.0" encoding="utf-8"?>
<worksheet xmlns="http://schemas.openxmlformats.org/spreadsheetml/2006/main" xmlns:r="http://schemas.openxmlformats.org/officeDocument/2006/relationships">
  <sheetPr>
    <pageSetUpPr autoPageBreaks="0"/>
  </sheetPr>
  <dimension ref="B1:W37"/>
  <sheetViews>
    <sheetView showGridLines="0" zoomScale="75" zoomScaleNormal="75" zoomScalePageLayoutView="75" workbookViewId="0">
      <selection activeCell="E29" activeCellId="1" sqref="G13 E29"/>
    </sheetView>
  </sheetViews>
  <sheetFormatPr defaultColWidth="8.85546875" defaultRowHeight="12.75"/>
  <cols>
    <col min="1" max="1" width="2" customWidth="1"/>
    <col min="2" max="2" width="42" customWidth="1"/>
    <col min="3" max="3" width="21.42578125" customWidth="1"/>
    <col min="4" max="4" width="1.7109375" customWidth="1"/>
    <col min="5" max="5" width="20.140625" customWidth="1"/>
    <col min="6" max="6" width="11.42578125" customWidth="1"/>
    <col min="7" max="7" width="11" customWidth="1"/>
    <col min="8" max="8" width="1" customWidth="1"/>
    <col min="9" max="9" width="12.28515625" customWidth="1"/>
    <col min="10" max="10" width="6.42578125" customWidth="1"/>
    <col min="11" max="11" width="1.42578125" customWidth="1"/>
    <col min="12" max="12" width="12.28515625" customWidth="1"/>
    <col min="13" max="13" width="6.42578125" customWidth="1"/>
    <col min="14" max="14" width="1.42578125" customWidth="1"/>
    <col min="15" max="15" width="21.140625" customWidth="1"/>
    <col min="16" max="16" width="10.85546875" customWidth="1"/>
    <col min="17" max="17" width="7.28515625" customWidth="1"/>
    <col min="18" max="18" width="7.7109375" customWidth="1"/>
    <col min="19" max="19" width="41.42578125" customWidth="1"/>
    <col min="20" max="20" width="10.140625" customWidth="1"/>
  </cols>
  <sheetData>
    <row r="1" spans="2:23">
      <c r="E1" s="106"/>
    </row>
    <row r="2" spans="2:23" ht="18">
      <c r="B2" s="220" t="s">
        <v>135</v>
      </c>
      <c r="C2" s="220" t="s">
        <v>136</v>
      </c>
      <c r="D2" s="90"/>
      <c r="E2" s="220" t="s">
        <v>0</v>
      </c>
      <c r="F2" s="82" t="s">
        <v>1</v>
      </c>
      <c r="G2" s="82" t="s">
        <v>57</v>
      </c>
      <c r="I2" s="221" t="s">
        <v>295</v>
      </c>
      <c r="J2" s="221" t="s">
        <v>1</v>
      </c>
      <c r="L2" s="221" t="s">
        <v>48</v>
      </c>
      <c r="M2" s="221" t="s">
        <v>1</v>
      </c>
      <c r="O2" s="584" t="s">
        <v>215</v>
      </c>
      <c r="P2" s="584"/>
      <c r="Q2" s="584"/>
      <c r="R2" s="584"/>
      <c r="S2" s="584"/>
      <c r="T2" s="584"/>
    </row>
    <row r="3" spans="2:23">
      <c r="B3" s="71" t="s">
        <v>11</v>
      </c>
      <c r="C3" s="91">
        <v>0</v>
      </c>
      <c r="D3" s="92"/>
      <c r="E3" s="95">
        <v>-5.08</v>
      </c>
      <c r="F3" s="61"/>
      <c r="G3" s="61"/>
      <c r="I3" s="10">
        <v>5495.17</v>
      </c>
      <c r="J3" s="16">
        <v>39625</v>
      </c>
      <c r="L3" s="10">
        <v>6500</v>
      </c>
      <c r="M3" s="16">
        <v>39721</v>
      </c>
      <c r="O3" s="581" t="s">
        <v>216</v>
      </c>
      <c r="P3" s="581"/>
      <c r="Q3" s="581"/>
      <c r="R3" s="582" t="s">
        <v>217</v>
      </c>
      <c r="S3" s="582"/>
      <c r="T3" s="582"/>
    </row>
    <row r="4" spans="2:23" ht="12" customHeight="1">
      <c r="B4" s="71" t="s">
        <v>56</v>
      </c>
      <c r="C4" s="91">
        <v>0</v>
      </c>
      <c r="D4" s="92"/>
      <c r="E4" s="95">
        <v>-448.98</v>
      </c>
      <c r="F4" s="72"/>
      <c r="G4" s="72"/>
      <c r="I4" s="10">
        <v>5152.6400000000003</v>
      </c>
      <c r="J4" s="16">
        <v>39637</v>
      </c>
      <c r="L4" s="10"/>
      <c r="M4" s="16"/>
      <c r="O4" s="107" t="s">
        <v>218</v>
      </c>
      <c r="P4" s="108" t="s">
        <v>219</v>
      </c>
      <c r="Q4" s="109" t="s">
        <v>1</v>
      </c>
      <c r="R4" s="107" t="s">
        <v>1</v>
      </c>
      <c r="S4" s="108" t="s">
        <v>218</v>
      </c>
      <c r="T4" s="109" t="s">
        <v>219</v>
      </c>
    </row>
    <row r="5" spans="2:23" ht="12" customHeight="1">
      <c r="B5" s="71" t="s">
        <v>5</v>
      </c>
      <c r="C5" s="93">
        <v>4009.73</v>
      </c>
      <c r="D5" s="94"/>
      <c r="E5" s="95">
        <v>0</v>
      </c>
      <c r="F5" s="72"/>
      <c r="G5" s="72"/>
      <c r="I5" s="10">
        <v>5323.14</v>
      </c>
      <c r="J5" s="16">
        <v>39643</v>
      </c>
      <c r="L5" s="10"/>
      <c r="M5" s="16"/>
      <c r="O5" s="110"/>
      <c r="P5" s="111"/>
      <c r="Q5" s="112"/>
      <c r="R5" s="139"/>
      <c r="S5" s="132"/>
      <c r="T5" s="140"/>
    </row>
    <row r="6" spans="2:23">
      <c r="B6" s="71" t="s">
        <v>400</v>
      </c>
      <c r="C6" s="93">
        <v>120</v>
      </c>
      <c r="D6" s="94"/>
      <c r="E6" s="95">
        <v>0</v>
      </c>
      <c r="F6" s="72"/>
      <c r="G6" s="72"/>
      <c r="I6" s="10">
        <v>5277.64</v>
      </c>
      <c r="J6" s="16">
        <v>39646</v>
      </c>
      <c r="L6" s="10"/>
      <c r="M6" s="16"/>
      <c r="O6" s="110"/>
      <c r="P6" s="111"/>
      <c r="Q6" s="112"/>
      <c r="R6" s="139"/>
      <c r="S6" s="132"/>
      <c r="T6" s="140"/>
    </row>
    <row r="7" spans="2:23">
      <c r="B7" s="71" t="s">
        <v>401</v>
      </c>
      <c r="C7" s="93">
        <f>20+20+22+23+22</f>
        <v>107</v>
      </c>
      <c r="D7" s="94"/>
      <c r="E7" s="95">
        <v>0</v>
      </c>
      <c r="F7" s="72"/>
      <c r="G7" s="72"/>
      <c r="I7" s="10">
        <v>5000.18</v>
      </c>
      <c r="J7" s="16">
        <v>39652</v>
      </c>
      <c r="L7" s="10"/>
      <c r="M7" s="16"/>
      <c r="O7" s="110"/>
      <c r="P7" s="111"/>
      <c r="Q7" s="133"/>
      <c r="R7" s="139"/>
      <c r="S7" s="132"/>
      <c r="T7" s="140"/>
    </row>
    <row r="8" spans="2:23">
      <c r="B8" s="71" t="s">
        <v>402</v>
      </c>
      <c r="C8" s="93">
        <v>22.9</v>
      </c>
      <c r="D8" s="94"/>
      <c r="E8" s="95">
        <v>0</v>
      </c>
      <c r="F8" s="72"/>
      <c r="G8" s="72"/>
      <c r="I8" s="10">
        <v>5001.4399999999996</v>
      </c>
      <c r="J8" s="16">
        <v>39654</v>
      </c>
      <c r="L8" s="10"/>
      <c r="M8" s="16"/>
      <c r="O8" s="110"/>
      <c r="P8" s="111"/>
      <c r="Q8" s="114"/>
      <c r="R8" s="139"/>
      <c r="S8" s="132"/>
      <c r="T8" s="140"/>
      <c r="W8" s="134"/>
    </row>
    <row r="9" spans="2:23">
      <c r="B9" s="71" t="s">
        <v>166</v>
      </c>
      <c r="C9" s="93">
        <v>65</v>
      </c>
      <c r="D9" s="94"/>
      <c r="E9" s="95">
        <v>0</v>
      </c>
      <c r="F9" s="72"/>
      <c r="G9" s="72"/>
      <c r="I9" s="10">
        <v>4914.21</v>
      </c>
      <c r="J9" s="16">
        <v>39659</v>
      </c>
      <c r="L9" s="10"/>
      <c r="M9" s="16"/>
      <c r="O9" s="110"/>
      <c r="P9" s="111"/>
      <c r="Q9" s="114"/>
      <c r="R9" s="139"/>
      <c r="S9" s="132"/>
      <c r="T9" s="140"/>
    </row>
    <row r="10" spans="2:23">
      <c r="B10" s="71" t="s">
        <v>403</v>
      </c>
      <c r="C10" s="93">
        <f>15+279.6</f>
        <v>294.60000000000002</v>
      </c>
      <c r="D10" s="94"/>
      <c r="E10" s="95">
        <v>0</v>
      </c>
      <c r="F10" s="72"/>
      <c r="G10" s="72"/>
      <c r="I10" s="10">
        <v>4985</v>
      </c>
      <c r="J10" s="16">
        <v>39673</v>
      </c>
      <c r="L10" s="10"/>
      <c r="M10" s="16"/>
      <c r="O10" s="110"/>
      <c r="P10" s="111"/>
      <c r="Q10" s="114"/>
      <c r="R10" s="139"/>
      <c r="S10" s="132"/>
      <c r="T10" s="140"/>
      <c r="W10" s="134"/>
    </row>
    <row r="11" spans="2:23">
      <c r="B11" s="71" t="s">
        <v>173</v>
      </c>
      <c r="C11" s="93">
        <v>116</v>
      </c>
      <c r="D11" s="94"/>
      <c r="E11" s="95">
        <f>C11</f>
        <v>116</v>
      </c>
      <c r="F11" s="72"/>
      <c r="G11" s="72"/>
      <c r="I11" s="10">
        <v>5009.1099999999997</v>
      </c>
      <c r="J11" s="16">
        <v>39678</v>
      </c>
      <c r="L11" s="10"/>
      <c r="M11" s="16"/>
      <c r="O11" s="110"/>
      <c r="P11" s="111"/>
      <c r="Q11" s="114"/>
      <c r="R11" s="139"/>
      <c r="S11" s="132"/>
      <c r="T11" s="140"/>
    </row>
    <row r="12" spans="2:23">
      <c r="B12" s="71" t="s">
        <v>404</v>
      </c>
      <c r="C12" s="93">
        <v>100</v>
      </c>
      <c r="D12" s="94"/>
      <c r="E12" s="95">
        <v>0</v>
      </c>
      <c r="F12" s="72"/>
      <c r="G12" s="72"/>
      <c r="I12" s="10">
        <v>2400</v>
      </c>
      <c r="J12" s="16">
        <v>39721</v>
      </c>
      <c r="L12" s="10"/>
      <c r="M12" s="16"/>
      <c r="O12" s="110"/>
      <c r="P12" s="111"/>
      <c r="Q12" s="114"/>
      <c r="R12" s="139"/>
      <c r="S12" s="132"/>
      <c r="T12" s="140"/>
      <c r="W12" s="134"/>
    </row>
    <row r="13" spans="2:23">
      <c r="B13" s="99" t="s">
        <v>65</v>
      </c>
      <c r="C13" s="96">
        <v>0</v>
      </c>
      <c r="D13" s="97"/>
      <c r="E13" s="63">
        <f>C13</f>
        <v>0</v>
      </c>
      <c r="F13" s="64" t="s">
        <v>207</v>
      </c>
      <c r="G13" s="64" t="s">
        <v>58</v>
      </c>
      <c r="I13" s="10">
        <v>1813.5</v>
      </c>
      <c r="J13" s="16">
        <v>39729</v>
      </c>
      <c r="L13" s="10"/>
      <c r="M13" s="16"/>
      <c r="O13" s="110"/>
      <c r="P13" s="111"/>
      <c r="Q13" s="114"/>
      <c r="R13" s="139"/>
      <c r="S13" s="132"/>
      <c r="T13" s="140"/>
    </row>
    <row r="14" spans="2:23">
      <c r="B14" s="99" t="s">
        <v>38</v>
      </c>
      <c r="C14" s="96">
        <v>-500.59</v>
      </c>
      <c r="D14" s="97"/>
      <c r="E14" s="63">
        <v>0</v>
      </c>
      <c r="F14" s="64">
        <v>39723</v>
      </c>
      <c r="G14" s="64" t="s">
        <v>58</v>
      </c>
      <c r="I14" s="10">
        <f>2040+26.55</f>
        <v>2066.5500000000002</v>
      </c>
      <c r="J14" s="16">
        <v>39737</v>
      </c>
      <c r="L14" s="10"/>
      <c r="M14" s="16"/>
      <c r="O14" s="110"/>
      <c r="P14" s="111"/>
      <c r="Q14" s="114"/>
      <c r="R14" s="139"/>
      <c r="S14" s="132"/>
      <c r="T14" s="140"/>
      <c r="W14" s="134"/>
    </row>
    <row r="15" spans="2:23">
      <c r="B15" s="99" t="s">
        <v>14</v>
      </c>
      <c r="C15" s="96">
        <f>-19.35</f>
        <v>-19.350000000000001</v>
      </c>
      <c r="D15" s="97"/>
      <c r="E15" s="63">
        <v>0</v>
      </c>
      <c r="F15" s="64">
        <v>39719</v>
      </c>
      <c r="G15" s="64" t="s">
        <v>58</v>
      </c>
      <c r="I15" s="10"/>
      <c r="J15" s="16"/>
      <c r="L15" s="10"/>
      <c r="M15" s="16"/>
      <c r="O15" s="110"/>
      <c r="P15" s="111"/>
      <c r="Q15" s="114"/>
      <c r="R15" s="139"/>
      <c r="S15" s="132"/>
      <c r="T15" s="140"/>
    </row>
    <row r="16" spans="2:23">
      <c r="B16" s="99" t="s">
        <v>93</v>
      </c>
      <c r="C16" s="96">
        <v>-278.25</v>
      </c>
      <c r="D16" s="97"/>
      <c r="E16" s="63">
        <v>0</v>
      </c>
      <c r="F16" s="64">
        <v>39722</v>
      </c>
      <c r="G16" s="64" t="s">
        <v>58</v>
      </c>
      <c r="I16" s="10"/>
      <c r="J16" s="16"/>
      <c r="L16" s="10"/>
      <c r="M16" s="16"/>
      <c r="O16" s="110"/>
      <c r="P16" s="111"/>
      <c r="Q16" s="114"/>
      <c r="R16" s="139"/>
      <c r="S16" s="132"/>
      <c r="T16" s="140"/>
      <c r="W16" s="134"/>
    </row>
    <row r="17" spans="2:23">
      <c r="B17" s="99" t="s">
        <v>157</v>
      </c>
      <c r="C17" s="96">
        <v>-9.6199999999999992</v>
      </c>
      <c r="D17" s="97"/>
      <c r="E17" s="63">
        <v>0</v>
      </c>
      <c r="F17" s="64">
        <v>39731</v>
      </c>
      <c r="G17" s="64" t="s">
        <v>58</v>
      </c>
      <c r="I17" s="10"/>
      <c r="J17" s="16"/>
      <c r="L17" s="10"/>
      <c r="M17" s="16"/>
      <c r="O17" s="110"/>
      <c r="P17" s="111"/>
      <c r="Q17" s="114"/>
      <c r="R17" s="139"/>
      <c r="S17" s="132"/>
      <c r="T17" s="140"/>
    </row>
    <row r="18" spans="2:23">
      <c r="B18" s="99" t="s">
        <v>405</v>
      </c>
      <c r="C18" s="96">
        <f>-193/3</f>
        <v>-64.333333333333329</v>
      </c>
      <c r="D18" s="97"/>
      <c r="E18" s="63">
        <v>0</v>
      </c>
      <c r="F18" s="64">
        <v>39722</v>
      </c>
      <c r="G18" s="64" t="s">
        <v>58</v>
      </c>
      <c r="H18" s="143"/>
      <c r="O18" s="115"/>
      <c r="P18" s="116"/>
      <c r="Q18" s="117"/>
      <c r="R18" s="141"/>
      <c r="S18" s="116"/>
      <c r="T18" s="140"/>
      <c r="W18" s="134"/>
    </row>
    <row r="19" spans="2:23">
      <c r="B19" s="99" t="s">
        <v>103</v>
      </c>
      <c r="C19" s="96">
        <v>-924.47</v>
      </c>
      <c r="D19" s="97"/>
      <c r="E19" s="63">
        <v>0</v>
      </c>
      <c r="F19" s="64">
        <v>39722</v>
      </c>
      <c r="G19" s="64" t="s">
        <v>58</v>
      </c>
      <c r="O19" s="115"/>
      <c r="P19" s="116"/>
      <c r="Q19" s="117"/>
      <c r="R19" s="141"/>
      <c r="S19" s="116"/>
      <c r="T19" s="140"/>
    </row>
    <row r="20" spans="2:23">
      <c r="B20" s="99" t="s">
        <v>154</v>
      </c>
      <c r="C20" s="96">
        <v>-19</v>
      </c>
      <c r="D20" s="97"/>
      <c r="E20" s="63">
        <v>0</v>
      </c>
      <c r="F20" s="64">
        <v>39726</v>
      </c>
      <c r="G20" s="64" t="s">
        <v>58</v>
      </c>
      <c r="O20" s="115"/>
      <c r="P20" s="116"/>
      <c r="Q20" s="117"/>
      <c r="R20" s="115"/>
      <c r="S20" s="116"/>
      <c r="T20" s="142"/>
      <c r="W20" s="134"/>
    </row>
    <row r="21" spans="2:23">
      <c r="B21" s="99" t="s">
        <v>406</v>
      </c>
      <c r="C21" s="96">
        <v>-20</v>
      </c>
      <c r="D21" s="97"/>
      <c r="E21" s="63">
        <v>0</v>
      </c>
      <c r="F21" s="64">
        <v>39731</v>
      </c>
      <c r="G21" s="64" t="s">
        <v>58</v>
      </c>
      <c r="O21" s="115"/>
      <c r="P21" s="116"/>
      <c r="Q21" s="117"/>
      <c r="R21" s="115"/>
      <c r="S21" s="116"/>
      <c r="T21" s="142"/>
    </row>
    <row r="22" spans="2:23">
      <c r="B22" s="99" t="s">
        <v>155</v>
      </c>
      <c r="C22" s="96">
        <v>-12</v>
      </c>
      <c r="D22" s="97"/>
      <c r="E22" s="63">
        <v>0</v>
      </c>
      <c r="F22" s="64">
        <v>39726</v>
      </c>
      <c r="G22" s="64" t="s">
        <v>58</v>
      </c>
      <c r="O22" s="119" t="s">
        <v>45</v>
      </c>
      <c r="P22" s="120">
        <f>SUM(P5:P21)</f>
        <v>0</v>
      </c>
      <c r="Q22" s="121"/>
      <c r="R22" s="119" t="s">
        <v>45</v>
      </c>
      <c r="S22" s="135"/>
      <c r="T22" s="135">
        <f>SUM(T5:T21)</f>
        <v>0</v>
      </c>
      <c r="W22" s="134"/>
    </row>
    <row r="23" spans="2:23">
      <c r="B23" s="99" t="s">
        <v>96</v>
      </c>
      <c r="C23" s="96">
        <v>-72.650000000000006</v>
      </c>
      <c r="D23" s="97"/>
      <c r="E23" s="63">
        <v>0</v>
      </c>
      <c r="F23" s="64">
        <v>39725</v>
      </c>
      <c r="G23" s="64" t="s">
        <v>58</v>
      </c>
    </row>
    <row r="24" spans="2:23">
      <c r="B24" s="99" t="s">
        <v>29</v>
      </c>
      <c r="C24" s="96">
        <v>-262.01</v>
      </c>
      <c r="D24" s="97"/>
      <c r="E24" s="63">
        <v>0</v>
      </c>
      <c r="F24" s="64">
        <v>39726</v>
      </c>
      <c r="G24" s="64" t="s">
        <v>58</v>
      </c>
      <c r="W24" s="134"/>
    </row>
    <row r="25" spans="2:23">
      <c r="B25" s="99" t="s">
        <v>82</v>
      </c>
      <c r="C25" s="96">
        <v>-31</v>
      </c>
      <c r="D25" s="97"/>
      <c r="E25" s="63">
        <v>0</v>
      </c>
      <c r="F25" s="64">
        <v>39736</v>
      </c>
      <c r="G25" s="64" t="s">
        <v>58</v>
      </c>
    </row>
    <row r="26" spans="2:23">
      <c r="B26" s="99" t="s">
        <v>372</v>
      </c>
      <c r="C26" s="96">
        <v>-17.14</v>
      </c>
      <c r="D26" s="97"/>
      <c r="E26" s="63">
        <v>0</v>
      </c>
      <c r="F26" s="64">
        <v>39731</v>
      </c>
      <c r="G26" s="64" t="s">
        <v>58</v>
      </c>
      <c r="W26" s="134"/>
    </row>
    <row r="27" spans="2:23">
      <c r="B27" s="99" t="s">
        <v>373</v>
      </c>
      <c r="C27" s="96">
        <v>-15.49</v>
      </c>
      <c r="D27" s="97"/>
      <c r="E27" s="63">
        <v>0</v>
      </c>
      <c r="F27" s="64">
        <v>39731</v>
      </c>
      <c r="G27" s="64" t="s">
        <v>58</v>
      </c>
      <c r="W27" s="134"/>
    </row>
    <row r="28" spans="2:23">
      <c r="B28" s="99" t="s">
        <v>41</v>
      </c>
      <c r="C28" s="96">
        <v>-93.39</v>
      </c>
      <c r="D28" s="97"/>
      <c r="E28" s="63">
        <v>0</v>
      </c>
      <c r="F28" s="64">
        <v>39731</v>
      </c>
      <c r="G28" s="64" t="s">
        <v>58</v>
      </c>
      <c r="R28" s="138"/>
    </row>
    <row r="29" spans="2:23">
      <c r="B29" s="99" t="s">
        <v>158</v>
      </c>
      <c r="C29" s="96">
        <v>-30</v>
      </c>
      <c r="D29" s="97"/>
      <c r="E29" s="63">
        <v>0</v>
      </c>
      <c r="F29" s="64">
        <v>39745</v>
      </c>
      <c r="G29" s="64" t="s">
        <v>58</v>
      </c>
      <c r="W29" s="134"/>
    </row>
    <row r="30" spans="2:23">
      <c r="B30" s="99" t="s">
        <v>404</v>
      </c>
      <c r="C30" s="96">
        <v>-100</v>
      </c>
      <c r="D30" s="97"/>
      <c r="E30" s="63">
        <v>0</v>
      </c>
      <c r="F30" s="64">
        <v>39731</v>
      </c>
      <c r="G30" s="64" t="s">
        <v>58</v>
      </c>
    </row>
    <row r="31" spans="2:23">
      <c r="B31" s="99" t="s">
        <v>98</v>
      </c>
      <c r="C31" s="96">
        <v>-115.35</v>
      </c>
      <c r="D31" s="97"/>
      <c r="E31" s="63">
        <v>0</v>
      </c>
      <c r="F31" s="64">
        <v>39731</v>
      </c>
      <c r="G31" s="64" t="s">
        <v>58</v>
      </c>
    </row>
    <row r="32" spans="2:23">
      <c r="B32" s="99" t="s">
        <v>407</v>
      </c>
      <c r="C32" s="96">
        <v>-1100</v>
      </c>
      <c r="D32" s="97"/>
      <c r="E32" s="63">
        <v>0</v>
      </c>
      <c r="F32" s="64">
        <v>39731</v>
      </c>
      <c r="G32" s="64" t="s">
        <v>58</v>
      </c>
    </row>
    <row r="33" spans="2:9">
      <c r="B33" s="99" t="s">
        <v>175</v>
      </c>
      <c r="C33" s="96">
        <v>-21</v>
      </c>
      <c r="D33" s="97"/>
      <c r="E33" s="63">
        <v>0</v>
      </c>
      <c r="F33" s="64">
        <v>39726</v>
      </c>
      <c r="G33" s="64" t="s">
        <v>58</v>
      </c>
    </row>
    <row r="34" spans="2:9">
      <c r="B34" s="99" t="s">
        <v>77</v>
      </c>
      <c r="C34" s="96">
        <v>-172.78</v>
      </c>
      <c r="D34" s="97"/>
      <c r="E34" s="63">
        <v>0</v>
      </c>
      <c r="F34" s="64">
        <v>39741</v>
      </c>
      <c r="G34" s="64"/>
    </row>
    <row r="35" spans="2:9">
      <c r="B35" s="99" t="s">
        <v>289</v>
      </c>
      <c r="C35" s="96">
        <v>-50</v>
      </c>
      <c r="D35" s="97"/>
      <c r="E35" s="63">
        <v>0</v>
      </c>
      <c r="F35" s="64">
        <v>39731</v>
      </c>
      <c r="G35" s="64" t="s">
        <v>58</v>
      </c>
      <c r="I35" s="52"/>
    </row>
    <row r="36" spans="2:9">
      <c r="B36" s="99" t="s">
        <v>360</v>
      </c>
      <c r="C36" s="96">
        <v>-130</v>
      </c>
      <c r="D36" s="97"/>
      <c r="E36" s="63">
        <v>0</v>
      </c>
      <c r="F36" s="64">
        <v>39731</v>
      </c>
      <c r="G36" s="64" t="s">
        <v>58</v>
      </c>
    </row>
    <row r="37" spans="2:9" ht="18">
      <c r="B37" s="74" t="s">
        <v>45</v>
      </c>
      <c r="C37" s="101"/>
      <c r="D37" s="98"/>
      <c r="E37" s="129">
        <f>SUM(E3:E36)</f>
        <v>-338.06</v>
      </c>
      <c r="F37" s="75"/>
      <c r="G37" s="75"/>
      <c r="H37" s="89"/>
    </row>
  </sheetData>
  <sheetProtection selectLockedCells="1" selectUnlockedCells="1"/>
  <mergeCells count="3">
    <mergeCell ref="O2:T2"/>
    <mergeCell ref="O3:Q3"/>
    <mergeCell ref="R3:T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4.xml><?xml version="1.0" encoding="utf-8"?>
<worksheet xmlns="http://schemas.openxmlformats.org/spreadsheetml/2006/main" xmlns:r="http://schemas.openxmlformats.org/officeDocument/2006/relationships">
  <sheetPr>
    <pageSetUpPr autoPageBreaks="0"/>
  </sheetPr>
  <dimension ref="B1:AE42"/>
  <sheetViews>
    <sheetView showGridLines="0" zoomScale="75" zoomScaleNormal="75" zoomScalePageLayoutView="75" workbookViewId="0">
      <selection activeCell="C8" activeCellId="1" sqref="G13 C8"/>
    </sheetView>
  </sheetViews>
  <sheetFormatPr defaultColWidth="8.85546875" defaultRowHeight="12.75"/>
  <cols>
    <col min="1" max="1" width="2" customWidth="1"/>
    <col min="2" max="2" width="42" customWidth="1"/>
    <col min="3" max="3" width="21.42578125" customWidth="1"/>
    <col min="4" max="4" width="1.7109375" customWidth="1"/>
    <col min="5" max="5" width="20.140625" customWidth="1"/>
    <col min="6" max="6" width="11.42578125" customWidth="1"/>
    <col min="7" max="7" width="11" customWidth="1"/>
    <col min="8" max="8" width="1" customWidth="1"/>
    <col min="9" max="9" width="14.28515625" customWidth="1"/>
    <col min="10" max="10" width="6.85546875" customWidth="1"/>
    <col min="11" max="11" width="1.42578125" customWidth="1"/>
    <col min="12" max="12" width="15.140625" customWidth="1"/>
    <col min="13" max="13" width="13.42578125" customWidth="1"/>
    <col min="14" max="14" width="12.140625" customWidth="1"/>
    <col min="15" max="15" width="1.42578125" customWidth="1"/>
    <col min="16" max="16" width="21.140625" customWidth="1"/>
    <col min="17" max="17" width="10.85546875" customWidth="1"/>
    <col min="18" max="18" width="7.28515625" customWidth="1"/>
    <col min="19" max="19" width="7.7109375" customWidth="1"/>
    <col min="20" max="20" width="41.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48</v>
      </c>
      <c r="M2" s="221" t="s">
        <v>408</v>
      </c>
      <c r="N2" s="221" t="s">
        <v>1</v>
      </c>
      <c r="P2" s="584" t="s">
        <v>215</v>
      </c>
      <c r="Q2" s="584"/>
      <c r="R2" s="584"/>
      <c r="S2" s="584"/>
      <c r="T2" s="584"/>
      <c r="U2" s="584"/>
    </row>
    <row r="3" spans="2:24">
      <c r="B3" s="71" t="s">
        <v>11</v>
      </c>
      <c r="C3" s="91">
        <v>0</v>
      </c>
      <c r="D3" s="92"/>
      <c r="E3" s="95">
        <v>-197.61</v>
      </c>
      <c r="F3" s="61"/>
      <c r="G3" s="61"/>
      <c r="I3" s="10">
        <f>1736+26.55</f>
        <v>1762.55</v>
      </c>
      <c r="J3" s="16">
        <v>39763</v>
      </c>
      <c r="L3" s="10">
        <v>3455.63</v>
      </c>
      <c r="M3" s="10" t="s">
        <v>409</v>
      </c>
      <c r="N3" s="16">
        <v>39773</v>
      </c>
      <c r="P3" s="581" t="s">
        <v>216</v>
      </c>
      <c r="Q3" s="581"/>
      <c r="R3" s="581"/>
      <c r="S3" s="582" t="s">
        <v>217</v>
      </c>
      <c r="T3" s="582"/>
      <c r="U3" s="582"/>
    </row>
    <row r="4" spans="2:24" ht="12" customHeight="1">
      <c r="B4" s="71" t="s">
        <v>56</v>
      </c>
      <c r="C4" s="91">
        <v>0</v>
      </c>
      <c r="D4" s="92"/>
      <c r="E4" s="95">
        <v>-116.97</v>
      </c>
      <c r="F4" s="72"/>
      <c r="G4" s="72"/>
      <c r="I4" s="10">
        <v>1476</v>
      </c>
      <c r="J4" s="16">
        <v>39766</v>
      </c>
      <c r="L4" s="63">
        <v>-1800</v>
      </c>
      <c r="M4" s="64" t="s">
        <v>410</v>
      </c>
      <c r="N4" s="64"/>
      <c r="P4" s="107" t="s">
        <v>218</v>
      </c>
      <c r="Q4" s="108" t="s">
        <v>219</v>
      </c>
      <c r="R4" s="109" t="s">
        <v>1</v>
      </c>
      <c r="S4" s="107" t="s">
        <v>1</v>
      </c>
      <c r="T4" s="108" t="s">
        <v>218</v>
      </c>
      <c r="U4" s="109" t="s">
        <v>219</v>
      </c>
    </row>
    <row r="5" spans="2:24" ht="12" customHeight="1">
      <c r="B5" s="71" t="s">
        <v>5</v>
      </c>
      <c r="C5" s="93">
        <v>3999</v>
      </c>
      <c r="D5" s="94"/>
      <c r="E5" s="95">
        <v>0</v>
      </c>
      <c r="F5" s="72"/>
      <c r="G5" s="72"/>
      <c r="I5" s="10">
        <v>1444</v>
      </c>
      <c r="J5" s="16">
        <v>39770</v>
      </c>
      <c r="L5" s="63">
        <v>-1600</v>
      </c>
      <c r="M5" s="64" t="s">
        <v>411</v>
      </c>
      <c r="N5" s="64"/>
      <c r="P5" s="110"/>
      <c r="Q5" s="111"/>
      <c r="R5" s="112"/>
      <c r="S5" s="115" t="s">
        <v>412</v>
      </c>
      <c r="T5" s="116" t="s">
        <v>413</v>
      </c>
      <c r="U5" s="142">
        <v>7.6</v>
      </c>
    </row>
    <row r="6" spans="2:24">
      <c r="B6" s="71" t="s">
        <v>173</v>
      </c>
      <c r="C6" s="93">
        <v>116</v>
      </c>
      <c r="D6" s="94"/>
      <c r="E6" s="95">
        <v>0</v>
      </c>
      <c r="F6" s="72"/>
      <c r="G6" s="72"/>
      <c r="I6" s="10">
        <v>1300</v>
      </c>
      <c r="J6" s="16">
        <v>39771</v>
      </c>
      <c r="L6" s="63">
        <v>-1900</v>
      </c>
      <c r="M6" s="64" t="s">
        <v>414</v>
      </c>
      <c r="N6" s="64"/>
      <c r="P6" s="110"/>
      <c r="Q6" s="111"/>
      <c r="R6" s="112"/>
      <c r="S6" s="115" t="s">
        <v>415</v>
      </c>
      <c r="T6" s="116" t="s">
        <v>416</v>
      </c>
      <c r="U6" s="142">
        <v>99.33</v>
      </c>
    </row>
    <row r="7" spans="2:24">
      <c r="B7" s="71" t="s">
        <v>417</v>
      </c>
      <c r="C7" s="93">
        <v>186</v>
      </c>
      <c r="D7" s="94"/>
      <c r="E7" s="95">
        <v>0</v>
      </c>
      <c r="F7" s="72"/>
      <c r="G7" s="72"/>
      <c r="I7" s="10">
        <v>1248</v>
      </c>
      <c r="J7" s="16">
        <v>39777</v>
      </c>
      <c r="L7" s="63">
        <v>-1000</v>
      </c>
      <c r="M7" s="64" t="s">
        <v>418</v>
      </c>
      <c r="N7" s="64"/>
      <c r="P7" s="110"/>
      <c r="Q7" s="111"/>
      <c r="R7" s="133"/>
      <c r="S7" s="115" t="s">
        <v>419</v>
      </c>
      <c r="T7" s="116" t="s">
        <v>420</v>
      </c>
      <c r="U7" s="142">
        <v>66.86</v>
      </c>
    </row>
    <row r="8" spans="2:24">
      <c r="B8" s="71" t="s">
        <v>225</v>
      </c>
      <c r="C8" s="93">
        <v>2288.04</v>
      </c>
      <c r="D8" s="94"/>
      <c r="E8" s="95">
        <v>0</v>
      </c>
      <c r="F8" s="72"/>
      <c r="G8" s="72"/>
      <c r="I8" s="10">
        <v>1544</v>
      </c>
      <c r="J8" s="16">
        <v>39778</v>
      </c>
      <c r="L8" s="63">
        <f>-270*2</f>
        <v>-540</v>
      </c>
      <c r="M8" s="64" t="s">
        <v>421</v>
      </c>
      <c r="N8" s="64"/>
      <c r="P8" s="110"/>
      <c r="Q8" s="111"/>
      <c r="R8" s="114"/>
      <c r="S8" s="115" t="s">
        <v>422</v>
      </c>
      <c r="T8" s="116" t="s">
        <v>423</v>
      </c>
      <c r="U8" s="142">
        <v>43.34</v>
      </c>
      <c r="X8" s="134"/>
    </row>
    <row r="9" spans="2:24">
      <c r="B9" s="71" t="s">
        <v>424</v>
      </c>
      <c r="C9" s="93">
        <v>180</v>
      </c>
      <c r="D9" s="94"/>
      <c r="E9" s="95">
        <v>0</v>
      </c>
      <c r="F9" s="72"/>
      <c r="G9" s="72"/>
      <c r="I9" s="10">
        <v>1416</v>
      </c>
      <c r="J9" s="16">
        <v>39779</v>
      </c>
      <c r="L9" s="10">
        <f>(5400*8.5%)*3</f>
        <v>1377.0000000000002</v>
      </c>
      <c r="M9" s="10" t="s">
        <v>425</v>
      </c>
      <c r="N9" s="16"/>
      <c r="P9" s="110"/>
      <c r="Q9" s="111"/>
      <c r="R9" s="114"/>
      <c r="S9" s="115" t="s">
        <v>426</v>
      </c>
      <c r="T9" s="116" t="s">
        <v>427</v>
      </c>
      <c r="U9" s="142">
        <v>47.1</v>
      </c>
    </row>
    <row r="10" spans="2:24">
      <c r="B10" s="71" t="s">
        <v>428</v>
      </c>
      <c r="C10" s="93">
        <v>1400</v>
      </c>
      <c r="D10" s="94"/>
      <c r="E10" s="95">
        <v>0</v>
      </c>
      <c r="F10" s="72"/>
      <c r="G10" s="72"/>
      <c r="I10" s="10"/>
      <c r="J10" s="16"/>
      <c r="L10" s="10">
        <v>2400</v>
      </c>
      <c r="M10" s="10" t="s">
        <v>429</v>
      </c>
      <c r="N10" s="16"/>
      <c r="P10" s="110"/>
      <c r="Q10" s="111"/>
      <c r="R10" s="114"/>
      <c r="S10" s="115" t="s">
        <v>430</v>
      </c>
      <c r="T10" s="116" t="s">
        <v>431</v>
      </c>
      <c r="U10" s="142">
        <v>100</v>
      </c>
      <c r="X10" s="134"/>
    </row>
    <row r="11" spans="2:24">
      <c r="B11" s="71" t="s">
        <v>432</v>
      </c>
      <c r="C11" s="93">
        <v>400</v>
      </c>
      <c r="D11" s="94"/>
      <c r="E11" s="95">
        <v>0</v>
      </c>
      <c r="F11" s="72"/>
      <c r="G11" s="72"/>
      <c r="I11" s="10"/>
      <c r="J11" s="16"/>
      <c r="L11" s="10"/>
      <c r="M11" s="10"/>
      <c r="N11" s="16"/>
      <c r="P11" s="110"/>
      <c r="Q11" s="111"/>
      <c r="R11" s="114"/>
      <c r="S11" s="115" t="s">
        <v>433</v>
      </c>
      <c r="T11" s="116" t="s">
        <v>434</v>
      </c>
      <c r="U11" s="142">
        <v>65.52</v>
      </c>
    </row>
    <row r="12" spans="2:24">
      <c r="B12" s="71" t="s">
        <v>435</v>
      </c>
      <c r="C12" s="93">
        <v>168.83</v>
      </c>
      <c r="D12" s="94"/>
      <c r="E12" s="95">
        <v>0</v>
      </c>
      <c r="F12" s="72"/>
      <c r="G12" s="72"/>
      <c r="I12" s="10"/>
      <c r="J12" s="16"/>
      <c r="L12" s="10"/>
      <c r="M12" s="10"/>
      <c r="N12" s="16"/>
      <c r="P12" s="110"/>
      <c r="Q12" s="111"/>
      <c r="R12" s="114"/>
      <c r="S12" s="115" t="s">
        <v>436</v>
      </c>
      <c r="T12" s="116" t="s">
        <v>437</v>
      </c>
      <c r="U12" s="142">
        <v>57.5</v>
      </c>
      <c r="X12" s="134"/>
    </row>
    <row r="13" spans="2:24">
      <c r="B13" s="71" t="s">
        <v>438</v>
      </c>
      <c r="C13" s="93">
        <v>245</v>
      </c>
      <c r="D13" s="94"/>
      <c r="E13" s="95">
        <v>0</v>
      </c>
      <c r="F13" s="72"/>
      <c r="G13" s="72"/>
      <c r="I13" s="10"/>
      <c r="J13" s="16"/>
      <c r="L13" s="10"/>
      <c r="M13" s="10"/>
      <c r="N13" s="16"/>
      <c r="P13" s="110"/>
      <c r="Q13" s="111"/>
      <c r="R13" s="114"/>
      <c r="S13" s="115" t="s">
        <v>439</v>
      </c>
      <c r="T13" s="116" t="s">
        <v>440</v>
      </c>
      <c r="U13" s="142">
        <v>129</v>
      </c>
    </row>
    <row r="14" spans="2:24">
      <c r="B14" s="71" t="s">
        <v>441</v>
      </c>
      <c r="C14" s="93">
        <v>950</v>
      </c>
      <c r="D14" s="94"/>
      <c r="E14" s="95">
        <v>0</v>
      </c>
      <c r="F14" s="72"/>
      <c r="G14" s="72"/>
      <c r="I14" s="10"/>
      <c r="J14" s="16"/>
      <c r="L14" s="10"/>
      <c r="M14" s="10"/>
      <c r="N14" s="16"/>
      <c r="P14" s="110"/>
      <c r="Q14" s="111"/>
      <c r="R14" s="114"/>
      <c r="S14" s="115" t="s">
        <v>439</v>
      </c>
      <c r="T14" s="116" t="s">
        <v>442</v>
      </c>
      <c r="U14" s="142">
        <v>99.85</v>
      </c>
      <c r="X14" s="134"/>
    </row>
    <row r="15" spans="2:24">
      <c r="B15" s="71" t="s">
        <v>443</v>
      </c>
      <c r="C15" s="93">
        <v>168.83</v>
      </c>
      <c r="D15" s="94"/>
      <c r="E15" s="95">
        <v>0</v>
      </c>
      <c r="F15" s="72"/>
      <c r="G15" s="72"/>
      <c r="I15" s="10"/>
      <c r="J15" s="16"/>
      <c r="L15" s="10"/>
      <c r="M15" s="10"/>
      <c r="N15" s="16"/>
      <c r="P15" s="110"/>
      <c r="Q15" s="111"/>
      <c r="R15" s="114"/>
      <c r="S15" s="115" t="s">
        <v>444</v>
      </c>
      <c r="T15" s="116" t="s">
        <v>445</v>
      </c>
      <c r="U15" s="142">
        <v>56.4</v>
      </c>
    </row>
    <row r="16" spans="2:24">
      <c r="B16" s="99" t="s">
        <v>65</v>
      </c>
      <c r="C16" s="96">
        <f>-40*1</f>
        <v>-40</v>
      </c>
      <c r="D16" s="97"/>
      <c r="E16" s="65">
        <f>C16</f>
        <v>-40</v>
      </c>
      <c r="F16" s="127" t="s">
        <v>207</v>
      </c>
      <c r="G16" s="127"/>
      <c r="I16" s="10"/>
      <c r="J16" s="16"/>
      <c r="L16" s="10"/>
      <c r="M16" s="10"/>
      <c r="N16" s="16"/>
      <c r="P16" s="110"/>
      <c r="Q16" s="111"/>
      <c r="R16" s="114"/>
      <c r="S16" s="115" t="s">
        <v>444</v>
      </c>
      <c r="T16" s="116" t="s">
        <v>446</v>
      </c>
      <c r="U16" s="142">
        <v>34.54</v>
      </c>
      <c r="X16" s="134"/>
    </row>
    <row r="17" spans="2:31">
      <c r="B17" s="99" t="s">
        <v>38</v>
      </c>
      <c r="C17" s="96">
        <v>-500.59</v>
      </c>
      <c r="D17" s="97"/>
      <c r="E17" s="63">
        <v>0</v>
      </c>
      <c r="F17" s="64">
        <v>39749</v>
      </c>
      <c r="G17" s="64" t="s">
        <v>58</v>
      </c>
      <c r="I17" s="10"/>
      <c r="J17" s="16"/>
      <c r="L17" s="144">
        <f>SUM(L3:L16)</f>
        <v>392.63000000000034</v>
      </c>
      <c r="M17" s="144" t="s">
        <v>21</v>
      </c>
      <c r="N17" s="145"/>
      <c r="P17" s="110"/>
      <c r="Q17" s="111"/>
      <c r="R17" s="114"/>
      <c r="S17" s="141">
        <v>39765</v>
      </c>
      <c r="T17" s="116" t="s">
        <v>447</v>
      </c>
      <c r="U17" s="142">
        <v>77.81</v>
      </c>
    </row>
    <row r="18" spans="2:31">
      <c r="B18" s="99" t="s">
        <v>14</v>
      </c>
      <c r="C18" s="96">
        <v>-17.7</v>
      </c>
      <c r="D18" s="97"/>
      <c r="E18" s="63">
        <v>0</v>
      </c>
      <c r="F18" s="64">
        <v>39748</v>
      </c>
      <c r="G18" s="64" t="s">
        <v>58</v>
      </c>
      <c r="H18" s="143"/>
      <c r="P18" s="115"/>
      <c r="Q18" s="116"/>
      <c r="R18" s="117"/>
      <c r="S18" s="141">
        <v>39767</v>
      </c>
      <c r="T18" s="116" t="s">
        <v>254</v>
      </c>
      <c r="U18" s="142">
        <v>60.97</v>
      </c>
      <c r="X18" s="134"/>
    </row>
    <row r="19" spans="2:31">
      <c r="B19" s="99" t="s">
        <v>93</v>
      </c>
      <c r="C19" s="96">
        <v>-79.599999999999994</v>
      </c>
      <c r="D19" s="97"/>
      <c r="E19" s="63">
        <v>0</v>
      </c>
      <c r="F19" s="64">
        <v>39748</v>
      </c>
      <c r="G19" s="64" t="s">
        <v>58</v>
      </c>
      <c r="P19" s="115"/>
      <c r="Q19" s="116"/>
      <c r="R19" s="117"/>
      <c r="S19" s="141">
        <v>39768</v>
      </c>
      <c r="T19" s="116" t="s">
        <v>448</v>
      </c>
      <c r="U19" s="140">
        <v>99.61</v>
      </c>
    </row>
    <row r="20" spans="2:31">
      <c r="B20" s="99" t="s">
        <v>449</v>
      </c>
      <c r="C20" s="96">
        <v>-1006.05</v>
      </c>
      <c r="D20" s="97"/>
      <c r="E20" s="63">
        <v>0</v>
      </c>
      <c r="F20" s="64">
        <v>39756</v>
      </c>
      <c r="G20" s="64" t="s">
        <v>58</v>
      </c>
      <c r="P20" s="115"/>
      <c r="Q20" s="116"/>
      <c r="R20" s="117"/>
      <c r="S20" s="115"/>
      <c r="T20" s="116"/>
      <c r="U20" s="142">
        <v>1909</v>
      </c>
      <c r="X20" s="134"/>
    </row>
    <row r="21" spans="2:31">
      <c r="B21" s="99" t="s">
        <v>157</v>
      </c>
      <c r="C21" s="96">
        <v>-8.41</v>
      </c>
      <c r="D21" s="97"/>
      <c r="E21" s="63">
        <v>0</v>
      </c>
      <c r="F21" s="64">
        <v>39756</v>
      </c>
      <c r="G21" s="64" t="s">
        <v>58</v>
      </c>
      <c r="P21" s="115"/>
      <c r="Q21" s="116"/>
      <c r="R21" s="117"/>
      <c r="S21" s="115"/>
      <c r="T21" s="116"/>
      <c r="U21" s="142"/>
    </row>
    <row r="22" spans="2:31">
      <c r="B22" s="99" t="s">
        <v>405</v>
      </c>
      <c r="C22" s="96">
        <v>-172.47</v>
      </c>
      <c r="D22" s="97"/>
      <c r="E22" s="63">
        <v>0</v>
      </c>
      <c r="F22" s="64">
        <v>39755</v>
      </c>
      <c r="G22" s="64" t="s">
        <v>58</v>
      </c>
      <c r="P22" s="119" t="s">
        <v>45</v>
      </c>
      <c r="Q22" s="120">
        <f>SUM(Q5:Q21)</f>
        <v>0</v>
      </c>
      <c r="R22" s="121"/>
      <c r="S22" s="119" t="s">
        <v>45</v>
      </c>
      <c r="T22" s="135"/>
      <c r="U22" s="135">
        <f>SUM(U5:U21)</f>
        <v>2954.43</v>
      </c>
      <c r="X22" s="134"/>
    </row>
    <row r="23" spans="2:31">
      <c r="B23" s="99" t="s">
        <v>103</v>
      </c>
      <c r="C23" s="96">
        <v>-981.17</v>
      </c>
      <c r="D23" s="97"/>
      <c r="E23" s="63">
        <v>0</v>
      </c>
      <c r="F23" s="64">
        <v>39753</v>
      </c>
      <c r="G23" s="64" t="s">
        <v>58</v>
      </c>
    </row>
    <row r="24" spans="2:31">
      <c r="B24" s="99" t="s">
        <v>96</v>
      </c>
      <c r="C24" s="96">
        <v>-107.95</v>
      </c>
      <c r="D24" s="97"/>
      <c r="E24" s="63">
        <v>0</v>
      </c>
      <c r="F24" s="64">
        <v>39756</v>
      </c>
      <c r="G24" s="64" t="s">
        <v>58</v>
      </c>
      <c r="I24" s="1"/>
      <c r="X24" s="134"/>
    </row>
    <row r="25" spans="2:31">
      <c r="B25" s="99" t="s">
        <v>29</v>
      </c>
      <c r="C25" s="96">
        <v>-262.01</v>
      </c>
      <c r="D25" s="97"/>
      <c r="E25" s="63">
        <v>0</v>
      </c>
      <c r="F25" s="64">
        <v>39757</v>
      </c>
      <c r="G25" s="64" t="s">
        <v>58</v>
      </c>
      <c r="I25" s="1"/>
    </row>
    <row r="26" spans="2:31">
      <c r="B26" s="99" t="s">
        <v>82</v>
      </c>
      <c r="C26" s="96">
        <v>-31</v>
      </c>
      <c r="D26" s="97"/>
      <c r="E26" s="63">
        <v>0</v>
      </c>
      <c r="F26" s="64">
        <v>39767</v>
      </c>
      <c r="G26" s="64" t="s">
        <v>58</v>
      </c>
      <c r="I26" s="1"/>
      <c r="J26" s="1"/>
      <c r="K26" s="1"/>
      <c r="L26" s="1"/>
      <c r="S26" s="146"/>
      <c r="T26" s="147"/>
      <c r="U26" s="148"/>
      <c r="V26" s="146"/>
      <c r="Y26" s="149"/>
      <c r="Z26" s="146"/>
      <c r="AA26" s="147"/>
      <c r="AB26" s="148"/>
      <c r="AD26" s="150"/>
      <c r="AE26" s="151"/>
    </row>
    <row r="27" spans="2:31">
      <c r="B27" s="99" t="s">
        <v>372</v>
      </c>
      <c r="C27" s="96">
        <v>-17.61</v>
      </c>
      <c r="D27" s="97"/>
      <c r="E27" s="63">
        <v>0</v>
      </c>
      <c r="F27" s="64">
        <v>39757</v>
      </c>
      <c r="G27" s="64" t="s">
        <v>58</v>
      </c>
      <c r="I27" s="1"/>
      <c r="S27" s="152"/>
      <c r="V27" s="153"/>
      <c r="W27" s="154"/>
      <c r="X27" s="134"/>
      <c r="Y27" s="152"/>
      <c r="Z27" s="153"/>
      <c r="AA27" s="154"/>
      <c r="AB27" s="134"/>
      <c r="AD27" s="155"/>
      <c r="AE27" s="156"/>
    </row>
    <row r="28" spans="2:31">
      <c r="B28" s="99" t="s">
        <v>41</v>
      </c>
      <c r="C28" s="96">
        <v>-95.19</v>
      </c>
      <c r="D28" s="97"/>
      <c r="E28" s="63">
        <v>0</v>
      </c>
      <c r="F28" s="64">
        <v>39762</v>
      </c>
      <c r="G28" s="64" t="s">
        <v>58</v>
      </c>
      <c r="I28" s="52"/>
      <c r="S28" s="149"/>
      <c r="T28" s="157"/>
      <c r="U28" s="157"/>
      <c r="V28" s="146"/>
      <c r="W28" s="147"/>
      <c r="X28" s="148"/>
      <c r="Y28" s="149"/>
      <c r="Z28" s="146"/>
      <c r="AA28" s="147"/>
      <c r="AB28" s="148"/>
      <c r="AD28" s="150"/>
      <c r="AE28" s="151"/>
    </row>
    <row r="29" spans="2:31">
      <c r="B29" s="99" t="s">
        <v>410</v>
      </c>
      <c r="C29" s="96">
        <v>-950</v>
      </c>
      <c r="D29" s="97"/>
      <c r="E29" s="63">
        <v>0</v>
      </c>
      <c r="F29" s="64"/>
      <c r="G29" s="64" t="s">
        <v>58</v>
      </c>
      <c r="I29" s="52"/>
      <c r="S29" s="152"/>
      <c r="V29" s="153"/>
      <c r="W29" s="154"/>
      <c r="X29" s="134"/>
      <c r="Y29" s="152"/>
      <c r="Z29" s="153"/>
      <c r="AA29" s="154"/>
      <c r="AB29" s="134"/>
      <c r="AD29" s="155"/>
      <c r="AE29" s="156"/>
    </row>
    <row r="30" spans="2:31">
      <c r="B30" s="99" t="s">
        <v>450</v>
      </c>
      <c r="C30" s="96">
        <v>-40</v>
      </c>
      <c r="D30" s="97"/>
      <c r="E30" s="63">
        <v>0</v>
      </c>
      <c r="F30" s="64">
        <v>39771</v>
      </c>
      <c r="G30" s="64" t="s">
        <v>58</v>
      </c>
      <c r="S30" s="149"/>
      <c r="T30" s="157"/>
      <c r="U30" s="157"/>
      <c r="V30" s="146"/>
      <c r="W30" s="147"/>
      <c r="X30" s="148"/>
      <c r="Y30" s="149"/>
      <c r="Z30" s="146"/>
      <c r="AA30" s="147"/>
      <c r="AB30" s="148"/>
      <c r="AD30" s="150"/>
      <c r="AE30" s="151"/>
    </row>
    <row r="31" spans="2:31">
      <c r="B31" s="99" t="s">
        <v>175</v>
      </c>
      <c r="C31" s="96">
        <v>-21</v>
      </c>
      <c r="D31" s="97"/>
      <c r="E31" s="63">
        <v>0</v>
      </c>
      <c r="F31" s="64">
        <v>39752</v>
      </c>
      <c r="G31" s="64" t="s">
        <v>58</v>
      </c>
      <c r="S31" s="149"/>
      <c r="T31" s="157"/>
      <c r="U31" s="157"/>
      <c r="V31" s="146"/>
      <c r="W31" s="147"/>
      <c r="X31" s="148"/>
      <c r="Y31" s="149"/>
      <c r="Z31" s="146"/>
      <c r="AA31" s="147"/>
      <c r="AB31" s="148"/>
      <c r="AD31" s="150"/>
      <c r="AE31" s="151"/>
    </row>
    <row r="32" spans="2:31">
      <c r="B32" s="99" t="s">
        <v>77</v>
      </c>
      <c r="C32" s="96">
        <v>-264.12</v>
      </c>
      <c r="D32" s="97"/>
      <c r="E32" s="63">
        <v>0</v>
      </c>
      <c r="F32" s="64">
        <v>39772</v>
      </c>
      <c r="G32" s="64" t="s">
        <v>58</v>
      </c>
      <c r="S32" s="149"/>
      <c r="T32" s="157"/>
      <c r="U32" s="157"/>
      <c r="V32" s="146"/>
      <c r="W32" s="147"/>
      <c r="X32" s="148"/>
      <c r="Y32" s="149"/>
      <c r="Z32" s="146"/>
      <c r="AA32" s="147"/>
      <c r="AB32" s="148"/>
      <c r="AD32" s="150"/>
      <c r="AE32" s="151"/>
    </row>
    <row r="33" spans="2:31">
      <c r="B33" s="99" t="s">
        <v>451</v>
      </c>
      <c r="C33" s="96">
        <v>-21.88</v>
      </c>
      <c r="D33" s="97"/>
      <c r="E33" s="63">
        <v>0</v>
      </c>
      <c r="F33" s="64">
        <v>39776</v>
      </c>
      <c r="G33" s="64" t="s">
        <v>58</v>
      </c>
      <c r="S33" s="152"/>
      <c r="V33" s="153"/>
      <c r="W33" s="154"/>
      <c r="X33" s="134"/>
      <c r="Y33" s="152"/>
      <c r="Z33" s="153"/>
      <c r="AA33" s="154"/>
      <c r="AB33" s="134"/>
      <c r="AD33" s="155"/>
      <c r="AE33" s="156"/>
    </row>
    <row r="34" spans="2:31">
      <c r="B34" s="99" t="s">
        <v>452</v>
      </c>
      <c r="C34" s="96">
        <v>-245</v>
      </c>
      <c r="D34" s="97"/>
      <c r="E34" s="63">
        <v>0</v>
      </c>
      <c r="F34" s="64">
        <v>39777</v>
      </c>
      <c r="G34" s="64" t="s">
        <v>58</v>
      </c>
      <c r="S34" s="149"/>
      <c r="T34" s="157"/>
      <c r="U34" s="157"/>
      <c r="V34" s="146"/>
      <c r="W34" s="147"/>
      <c r="X34" s="148"/>
      <c r="Y34" s="149"/>
      <c r="Z34" s="146"/>
      <c r="AA34" s="147"/>
      <c r="AB34" s="148"/>
      <c r="AD34" s="150"/>
      <c r="AE34" s="151"/>
    </row>
    <row r="35" spans="2:31">
      <c r="B35" s="99" t="s">
        <v>453</v>
      </c>
      <c r="C35" s="96">
        <v>-30</v>
      </c>
      <c r="D35" s="97"/>
      <c r="E35" s="63">
        <v>0</v>
      </c>
      <c r="F35" s="64">
        <v>39770</v>
      </c>
      <c r="G35" s="64" t="s">
        <v>58</v>
      </c>
      <c r="M35" s="1"/>
      <c r="S35" s="152"/>
      <c r="V35" s="153"/>
      <c r="W35" s="154"/>
      <c r="X35" s="134"/>
      <c r="Y35" s="152"/>
      <c r="Z35" s="153"/>
      <c r="AA35" s="154"/>
      <c r="AB35" s="134"/>
      <c r="AD35" s="155"/>
      <c r="AE35" s="156"/>
    </row>
    <row r="36" spans="2:31">
      <c r="B36" s="99" t="s">
        <v>454</v>
      </c>
      <c r="C36" s="96">
        <v>-1400</v>
      </c>
      <c r="D36" s="97"/>
      <c r="E36" s="63">
        <v>0</v>
      </c>
      <c r="F36" s="64">
        <v>39772</v>
      </c>
      <c r="G36" s="64" t="s">
        <v>58</v>
      </c>
      <c r="S36" s="149"/>
      <c r="T36" s="157"/>
      <c r="U36" s="157"/>
      <c r="V36" s="146"/>
      <c r="W36" s="147"/>
      <c r="X36" s="148"/>
      <c r="Y36" s="149"/>
      <c r="Z36" s="146"/>
      <c r="AA36" s="147"/>
      <c r="AB36" s="148"/>
      <c r="AD36" s="150"/>
      <c r="AE36" s="151"/>
    </row>
    <row r="37" spans="2:31">
      <c r="B37" s="99" t="s">
        <v>455</v>
      </c>
      <c r="C37" s="96">
        <v>-90</v>
      </c>
      <c r="D37" s="97"/>
      <c r="E37" s="63">
        <v>0</v>
      </c>
      <c r="F37" s="64">
        <v>39773</v>
      </c>
      <c r="G37" s="64" t="s">
        <v>58</v>
      </c>
      <c r="H37" s="89"/>
      <c r="S37" s="152"/>
      <c r="V37" s="153"/>
      <c r="W37" s="154"/>
      <c r="X37" s="134"/>
      <c r="Y37" s="152"/>
      <c r="Z37" s="153"/>
      <c r="AA37" s="154"/>
      <c r="AB37" s="134"/>
      <c r="AD37" s="155"/>
      <c r="AE37" s="156"/>
    </row>
    <row r="38" spans="2:31">
      <c r="B38" s="99" t="s">
        <v>456</v>
      </c>
      <c r="C38" s="96">
        <v>-354.52</v>
      </c>
      <c r="D38" s="97"/>
      <c r="E38" s="63">
        <v>0</v>
      </c>
      <c r="F38" s="64">
        <v>39761</v>
      </c>
      <c r="G38" s="64" t="s">
        <v>58</v>
      </c>
      <c r="S38" s="149"/>
      <c r="T38" s="157"/>
      <c r="U38" s="157"/>
      <c r="V38" s="146"/>
      <c r="W38" s="147"/>
      <c r="X38" s="148"/>
      <c r="Y38" s="149"/>
      <c r="Z38" s="146"/>
      <c r="AA38" s="147"/>
      <c r="AB38" s="148"/>
      <c r="AD38" s="150"/>
      <c r="AE38" s="151"/>
    </row>
    <row r="39" spans="2:31">
      <c r="B39" s="99" t="s">
        <v>289</v>
      </c>
      <c r="C39" s="96">
        <v>-50</v>
      </c>
      <c r="D39" s="97"/>
      <c r="E39" s="63">
        <v>0</v>
      </c>
      <c r="F39" s="64">
        <v>39751</v>
      </c>
      <c r="G39" s="64" t="s">
        <v>58</v>
      </c>
      <c r="S39" s="152"/>
      <c r="V39" s="153"/>
      <c r="W39" s="154"/>
      <c r="X39" s="134"/>
      <c r="Y39" s="152"/>
      <c r="Z39" s="153"/>
      <c r="AA39" s="154"/>
      <c r="AB39" s="134"/>
      <c r="AD39" s="155"/>
      <c r="AE39" s="156"/>
    </row>
    <row r="40" spans="2:31">
      <c r="B40" s="99" t="s">
        <v>457</v>
      </c>
      <c r="C40" s="96">
        <v>-17.7</v>
      </c>
      <c r="D40" s="97"/>
      <c r="E40" s="63">
        <v>0</v>
      </c>
      <c r="F40" s="64">
        <v>39779</v>
      </c>
      <c r="G40" s="64" t="s">
        <v>58</v>
      </c>
      <c r="S40" s="152"/>
      <c r="V40" s="153"/>
      <c r="W40" s="154"/>
      <c r="X40" s="134"/>
      <c r="Y40" s="152"/>
      <c r="Z40" s="153"/>
      <c r="AA40" s="154"/>
      <c r="AB40" s="134"/>
      <c r="AD40" s="155"/>
      <c r="AE40" s="156"/>
    </row>
    <row r="41" spans="2:31">
      <c r="B41" s="99" t="s">
        <v>360</v>
      </c>
      <c r="C41" s="96">
        <v>-130</v>
      </c>
      <c r="D41" s="97"/>
      <c r="E41" s="63">
        <v>0</v>
      </c>
      <c r="F41" s="64">
        <v>39755</v>
      </c>
      <c r="G41" s="64" t="s">
        <v>58</v>
      </c>
    </row>
    <row r="42" spans="2:31" ht="18">
      <c r="B42" s="74" t="s">
        <v>45</v>
      </c>
      <c r="C42" s="101"/>
      <c r="D42" s="98"/>
      <c r="E42" s="129">
        <f>SUM(E3:E41)</f>
        <v>-354.58000000000004</v>
      </c>
      <c r="F42" s="75"/>
      <c r="G42" s="75"/>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5.xml><?xml version="1.0" encoding="utf-8"?>
<worksheet xmlns="http://schemas.openxmlformats.org/spreadsheetml/2006/main" xmlns:r="http://schemas.openxmlformats.org/officeDocument/2006/relationships">
  <sheetPr>
    <pageSetUpPr autoPageBreaks="0"/>
  </sheetPr>
  <dimension ref="B1:AE40"/>
  <sheetViews>
    <sheetView showGridLines="0" zoomScale="75" zoomScaleNormal="75" zoomScalePageLayoutView="75" workbookViewId="0">
      <selection activeCell="B7" activeCellId="1" sqref="G13 B7"/>
    </sheetView>
  </sheetViews>
  <sheetFormatPr defaultColWidth="8.85546875" defaultRowHeight="12.75"/>
  <cols>
    <col min="1" max="1" width="2" customWidth="1"/>
    <col min="2" max="2" width="42" customWidth="1"/>
    <col min="3" max="3" width="21.42578125" customWidth="1"/>
    <col min="4" max="4" width="1.7109375" customWidth="1"/>
    <col min="5" max="5" width="19.42578125" customWidth="1"/>
    <col min="6" max="6" width="11.42578125" customWidth="1"/>
    <col min="7" max="7" width="10" customWidth="1"/>
    <col min="8" max="8" width="1" customWidth="1"/>
    <col min="9" max="9" width="14.28515625" customWidth="1"/>
    <col min="10" max="10" width="6.85546875" customWidth="1"/>
    <col min="11" max="11" width="1.42578125" customWidth="1"/>
    <col min="12" max="12" width="15.140625" customWidth="1"/>
    <col min="13" max="13" width="13.42578125" customWidth="1"/>
    <col min="14" max="14" width="12.140625" customWidth="1"/>
    <col min="15" max="15" width="1.42578125" customWidth="1"/>
    <col min="16" max="16" width="21.140625" customWidth="1"/>
    <col min="17" max="17" width="10.85546875" customWidth="1"/>
    <col min="18" max="18" width="7.28515625" customWidth="1"/>
    <col min="19" max="19" width="7.7109375" customWidth="1"/>
    <col min="20" max="20" width="41.42578125" customWidth="1"/>
    <col min="21" max="21" width="11.7109375" customWidth="1"/>
  </cols>
  <sheetData>
    <row r="1" spans="2:24">
      <c r="E1" s="106"/>
      <c r="W1">
        <v>45</v>
      </c>
    </row>
    <row r="2" spans="2:24" ht="18">
      <c r="B2" s="220" t="s">
        <v>135</v>
      </c>
      <c r="C2" s="220" t="s">
        <v>136</v>
      </c>
      <c r="D2" s="90"/>
      <c r="E2" s="220" t="s">
        <v>0</v>
      </c>
      <c r="F2" s="82" t="s">
        <v>1</v>
      </c>
      <c r="G2" s="82" t="s">
        <v>57</v>
      </c>
      <c r="I2" s="221" t="s">
        <v>295</v>
      </c>
      <c r="J2" s="221" t="s">
        <v>1</v>
      </c>
      <c r="L2" s="221" t="s">
        <v>48</v>
      </c>
      <c r="M2" s="221" t="s">
        <v>408</v>
      </c>
      <c r="N2" s="221" t="s">
        <v>1</v>
      </c>
      <c r="P2" s="584" t="s">
        <v>215</v>
      </c>
      <c r="Q2" s="584"/>
      <c r="R2" s="584"/>
      <c r="S2" s="584"/>
      <c r="T2" s="584"/>
      <c r="U2" s="584"/>
    </row>
    <row r="3" spans="2:24">
      <c r="B3" s="71" t="s">
        <v>11</v>
      </c>
      <c r="C3" s="91">
        <v>0</v>
      </c>
      <c r="D3" s="92"/>
      <c r="E3" s="95">
        <v>-113.06</v>
      </c>
      <c r="F3" s="61"/>
      <c r="G3" s="61"/>
      <c r="I3" s="10">
        <f>1736+26.55</f>
        <v>1762.55</v>
      </c>
      <c r="J3" s="16">
        <v>39763</v>
      </c>
      <c r="L3" s="10">
        <v>3471.33</v>
      </c>
      <c r="M3" s="10" t="s">
        <v>409</v>
      </c>
      <c r="N3" s="16">
        <v>39773</v>
      </c>
      <c r="P3" s="581" t="s">
        <v>216</v>
      </c>
      <c r="Q3" s="581"/>
      <c r="R3" s="581"/>
      <c r="S3" s="582" t="s">
        <v>217</v>
      </c>
      <c r="T3" s="582"/>
      <c r="U3" s="582"/>
    </row>
    <row r="4" spans="2:24" ht="12" customHeight="1">
      <c r="B4" s="71" t="s">
        <v>56</v>
      </c>
      <c r="C4" s="91">
        <v>0</v>
      </c>
      <c r="D4" s="92"/>
      <c r="E4" s="95">
        <f>845.1-600</f>
        <v>245.10000000000002</v>
      </c>
      <c r="F4" s="72"/>
      <c r="G4" s="72"/>
      <c r="I4" s="10">
        <v>1476</v>
      </c>
      <c r="J4" s="16">
        <v>39766</v>
      </c>
      <c r="L4" s="63">
        <v>0</v>
      </c>
      <c r="M4" s="64" t="s">
        <v>410</v>
      </c>
      <c r="N4" s="64" t="s">
        <v>58</v>
      </c>
      <c r="P4" s="107" t="s">
        <v>218</v>
      </c>
      <c r="Q4" s="108" t="s">
        <v>219</v>
      </c>
      <c r="R4" s="109" t="s">
        <v>1</v>
      </c>
      <c r="S4" s="107" t="s">
        <v>1</v>
      </c>
      <c r="T4" s="108" t="s">
        <v>218</v>
      </c>
      <c r="U4" s="109" t="s">
        <v>219</v>
      </c>
    </row>
    <row r="5" spans="2:24" ht="12" customHeight="1">
      <c r="B5" s="71" t="s">
        <v>5</v>
      </c>
      <c r="C5" s="93">
        <v>8951.41</v>
      </c>
      <c r="D5" s="94"/>
      <c r="E5" s="95">
        <v>0</v>
      </c>
      <c r="F5" s="72"/>
      <c r="G5" s="72"/>
      <c r="I5" s="10">
        <v>1444</v>
      </c>
      <c r="J5" s="16">
        <v>39770</v>
      </c>
      <c r="L5" s="65">
        <v>-1600</v>
      </c>
      <c r="M5" s="127" t="s">
        <v>411</v>
      </c>
      <c r="N5" s="127"/>
      <c r="P5" s="110"/>
      <c r="Q5" s="111">
        <v>3.6</v>
      </c>
      <c r="R5" s="112"/>
      <c r="S5" s="115"/>
      <c r="T5" s="116" t="s">
        <v>458</v>
      </c>
      <c r="U5" s="142">
        <v>1909.46</v>
      </c>
    </row>
    <row r="6" spans="2:24">
      <c r="B6" s="71" t="s">
        <v>173</v>
      </c>
      <c r="C6" s="93">
        <v>70</v>
      </c>
      <c r="D6" s="94"/>
      <c r="E6" s="95">
        <v>0</v>
      </c>
      <c r="F6" s="72"/>
      <c r="G6" s="72"/>
      <c r="I6" s="10">
        <v>1300</v>
      </c>
      <c r="J6" s="16">
        <v>39771</v>
      </c>
      <c r="L6" s="65">
        <v>-1900</v>
      </c>
      <c r="M6" s="127" t="s">
        <v>414</v>
      </c>
      <c r="N6" s="127"/>
      <c r="P6" s="110"/>
      <c r="Q6" s="111"/>
      <c r="R6" s="112"/>
      <c r="S6" s="115"/>
      <c r="T6" s="116" t="s">
        <v>459</v>
      </c>
      <c r="U6" s="142">
        <v>30</v>
      </c>
    </row>
    <row r="7" spans="2:24">
      <c r="B7" s="99" t="s">
        <v>65</v>
      </c>
      <c r="C7" s="96">
        <f>-40*2</f>
        <v>-80</v>
      </c>
      <c r="D7" s="97"/>
      <c r="E7" s="65">
        <f>C7</f>
        <v>-80</v>
      </c>
      <c r="F7" s="127" t="s">
        <v>207</v>
      </c>
      <c r="G7" s="127"/>
      <c r="I7" s="10">
        <v>1248</v>
      </c>
      <c r="J7" s="16">
        <v>39777</v>
      </c>
      <c r="L7" s="63">
        <v>0</v>
      </c>
      <c r="M7" s="64" t="s">
        <v>418</v>
      </c>
      <c r="N7" s="64" t="s">
        <v>58</v>
      </c>
      <c r="P7" s="110"/>
      <c r="Q7" s="111"/>
      <c r="R7" s="133"/>
      <c r="S7" s="115"/>
      <c r="T7" s="116" t="s">
        <v>460</v>
      </c>
      <c r="U7" s="142">
        <v>37.5</v>
      </c>
    </row>
    <row r="8" spans="2:24">
      <c r="B8" s="99" t="s">
        <v>461</v>
      </c>
      <c r="C8" s="96">
        <f>-7-42</f>
        <v>-49</v>
      </c>
      <c r="D8" s="97"/>
      <c r="E8" s="63">
        <v>0</v>
      </c>
      <c r="F8" s="64">
        <v>39787</v>
      </c>
      <c r="G8" s="64" t="s">
        <v>58</v>
      </c>
      <c r="I8" s="10">
        <v>1544</v>
      </c>
      <c r="J8" s="16">
        <v>39778</v>
      </c>
      <c r="L8" s="63">
        <v>0</v>
      </c>
      <c r="M8" s="64" t="s">
        <v>462</v>
      </c>
      <c r="N8" s="64" t="s">
        <v>58</v>
      </c>
      <c r="P8" s="110"/>
      <c r="Q8" s="111"/>
      <c r="R8" s="114"/>
      <c r="S8" s="115"/>
      <c r="T8" s="116" t="s">
        <v>463</v>
      </c>
      <c r="U8" s="142">
        <v>54.15</v>
      </c>
      <c r="X8" s="134"/>
    </row>
    <row r="9" spans="2:24">
      <c r="B9" s="99" t="s">
        <v>38</v>
      </c>
      <c r="C9" s="96">
        <v>-500.59</v>
      </c>
      <c r="D9" s="97"/>
      <c r="E9" s="63">
        <v>0</v>
      </c>
      <c r="F9" s="64">
        <v>39784</v>
      </c>
      <c r="G9" s="64" t="s">
        <v>58</v>
      </c>
      <c r="I9" s="10">
        <v>1416</v>
      </c>
      <c r="J9" s="16">
        <v>39779</v>
      </c>
      <c r="L9" s="10"/>
      <c r="M9" s="10"/>
      <c r="N9" s="16"/>
      <c r="P9" s="110"/>
      <c r="Q9" s="111"/>
      <c r="R9" s="114"/>
      <c r="S9" s="115"/>
      <c r="T9" s="116" t="s">
        <v>464</v>
      </c>
      <c r="U9" s="142">
        <v>160</v>
      </c>
    </row>
    <row r="10" spans="2:24">
      <c r="B10" s="99" t="s">
        <v>14</v>
      </c>
      <c r="C10" s="96">
        <v>-17.7</v>
      </c>
      <c r="D10" s="97"/>
      <c r="E10" s="63">
        <v>0</v>
      </c>
      <c r="F10" s="64">
        <v>39779</v>
      </c>
      <c r="G10" s="64" t="s">
        <v>58</v>
      </c>
      <c r="I10" s="10">
        <v>1276</v>
      </c>
      <c r="J10" s="16">
        <v>39785</v>
      </c>
      <c r="L10" s="10"/>
      <c r="M10" s="10"/>
      <c r="N10" s="16"/>
      <c r="P10" s="110"/>
      <c r="Q10" s="111"/>
      <c r="R10" s="114"/>
      <c r="S10" s="115"/>
      <c r="T10" s="116" t="s">
        <v>465</v>
      </c>
      <c r="U10" s="142">
        <v>53.2</v>
      </c>
      <c r="X10" s="134"/>
    </row>
    <row r="11" spans="2:24">
      <c r="B11" s="99" t="s">
        <v>102</v>
      </c>
      <c r="C11" s="96">
        <v>-5000</v>
      </c>
      <c r="D11" s="97"/>
      <c r="E11" s="63">
        <v>0</v>
      </c>
      <c r="F11" s="64">
        <v>39784</v>
      </c>
      <c r="G11" s="64" t="s">
        <v>58</v>
      </c>
      <c r="I11" s="10">
        <v>1352</v>
      </c>
      <c r="J11" s="16">
        <v>39786</v>
      </c>
      <c r="L11" s="10"/>
      <c r="M11" s="10"/>
      <c r="N11" s="16"/>
      <c r="P11" s="110"/>
      <c r="Q11" s="111"/>
      <c r="R11" s="114"/>
      <c r="S11" s="115"/>
      <c r="T11" s="116" t="s">
        <v>466</v>
      </c>
      <c r="U11" s="142">
        <v>39.92</v>
      </c>
    </row>
    <row r="12" spans="2:24">
      <c r="B12" s="99" t="s">
        <v>93</v>
      </c>
      <c r="C12" s="96">
        <v>-3.6</v>
      </c>
      <c r="D12" s="97"/>
      <c r="E12" s="63">
        <v>0</v>
      </c>
      <c r="F12" s="64">
        <v>39783</v>
      </c>
      <c r="G12" s="64" t="s">
        <v>58</v>
      </c>
      <c r="I12" s="10">
        <v>1460</v>
      </c>
      <c r="J12" s="16">
        <v>39791</v>
      </c>
      <c r="L12" s="10"/>
      <c r="M12" s="10"/>
      <c r="N12" s="16"/>
      <c r="P12" s="110"/>
      <c r="Q12" s="111"/>
      <c r="R12" s="114"/>
      <c r="S12" s="115"/>
      <c r="T12" s="116" t="s">
        <v>467</v>
      </c>
      <c r="U12" s="142">
        <v>39</v>
      </c>
      <c r="X12" s="134"/>
    </row>
    <row r="13" spans="2:24">
      <c r="B13" s="99" t="s">
        <v>157</v>
      </c>
      <c r="C13" s="96">
        <v>-8.41</v>
      </c>
      <c r="D13" s="97"/>
      <c r="E13" s="63">
        <v>0</v>
      </c>
      <c r="F13" s="64">
        <v>39784</v>
      </c>
      <c r="G13" s="64" t="s">
        <v>58</v>
      </c>
      <c r="I13" s="10">
        <v>1456</v>
      </c>
      <c r="J13" s="16">
        <v>39793</v>
      </c>
      <c r="L13" s="10"/>
      <c r="M13" s="10"/>
      <c r="N13" s="16"/>
      <c r="P13" s="110"/>
      <c r="Q13" s="111"/>
      <c r="R13" s="114"/>
      <c r="S13" s="115"/>
      <c r="T13" s="116" t="s">
        <v>468</v>
      </c>
      <c r="U13" s="142">
        <v>59</v>
      </c>
    </row>
    <row r="14" spans="2:24">
      <c r="B14" s="99" t="s">
        <v>405</v>
      </c>
      <c r="C14" s="96">
        <f>-172.47/3</f>
        <v>-57.49</v>
      </c>
      <c r="D14" s="97"/>
      <c r="E14" s="63">
        <v>0</v>
      </c>
      <c r="F14" s="64">
        <v>39784</v>
      </c>
      <c r="G14" s="64" t="s">
        <v>58</v>
      </c>
      <c r="I14" s="10">
        <v>1476</v>
      </c>
      <c r="J14" s="16">
        <v>39798</v>
      </c>
      <c r="L14" s="10"/>
      <c r="M14" s="10"/>
      <c r="N14" s="16"/>
      <c r="P14" s="110"/>
      <c r="Q14" s="111"/>
      <c r="R14" s="114"/>
      <c r="S14" s="115"/>
      <c r="T14" s="116" t="s">
        <v>469</v>
      </c>
      <c r="U14" s="142">
        <v>-1045.43</v>
      </c>
      <c r="X14" s="134"/>
    </row>
    <row r="15" spans="2:24">
      <c r="B15" s="99" t="s">
        <v>470</v>
      </c>
      <c r="C15" s="96">
        <v>-30</v>
      </c>
      <c r="D15" s="97"/>
      <c r="E15" s="63">
        <v>0</v>
      </c>
      <c r="F15" s="64">
        <v>39795</v>
      </c>
      <c r="G15" s="64" t="s">
        <v>58</v>
      </c>
      <c r="I15" s="10"/>
      <c r="J15" s="16"/>
      <c r="L15" s="10"/>
      <c r="M15" s="10"/>
      <c r="N15" s="16"/>
      <c r="P15" s="110"/>
      <c r="Q15" s="111"/>
      <c r="R15" s="114"/>
      <c r="S15" s="115"/>
      <c r="T15" s="116" t="s">
        <v>471</v>
      </c>
      <c r="U15" s="142">
        <v>43</v>
      </c>
    </row>
    <row r="16" spans="2:24">
      <c r="B16" s="99" t="s">
        <v>103</v>
      </c>
      <c r="C16" s="96">
        <v>-1045.43</v>
      </c>
      <c r="D16" s="97"/>
      <c r="E16" s="63">
        <v>0</v>
      </c>
      <c r="F16" s="64">
        <v>39783</v>
      </c>
      <c r="G16" s="64" t="s">
        <v>58</v>
      </c>
      <c r="I16" s="10"/>
      <c r="J16" s="16"/>
      <c r="L16" s="10"/>
      <c r="M16" s="10"/>
      <c r="N16" s="16"/>
      <c r="P16" s="110"/>
      <c r="Q16" s="111"/>
      <c r="R16" s="114"/>
      <c r="S16" s="115"/>
      <c r="T16" s="116" t="s">
        <v>283</v>
      </c>
      <c r="U16" s="142">
        <v>43.83</v>
      </c>
      <c r="X16" s="134"/>
    </row>
    <row r="17" spans="2:31">
      <c r="B17" s="99" t="s">
        <v>96</v>
      </c>
      <c r="C17" s="96">
        <v>-150.88</v>
      </c>
      <c r="D17" s="97"/>
      <c r="E17" s="63">
        <v>0</v>
      </c>
      <c r="F17" s="64">
        <v>39786</v>
      </c>
      <c r="G17" s="64" t="s">
        <v>58</v>
      </c>
      <c r="I17" s="10"/>
      <c r="J17" s="16"/>
      <c r="L17" s="144">
        <f>SUM(L3:L16)</f>
        <v>-28.670000000000073</v>
      </c>
      <c r="M17" s="144" t="s">
        <v>21</v>
      </c>
      <c r="N17" s="145"/>
      <c r="P17" s="110"/>
      <c r="Q17" s="111"/>
      <c r="R17" s="114"/>
      <c r="S17" s="141"/>
      <c r="T17" s="116" t="s">
        <v>472</v>
      </c>
      <c r="U17" s="142">
        <v>24.95</v>
      </c>
    </row>
    <row r="18" spans="2:31">
      <c r="B18" s="99" t="s">
        <v>29</v>
      </c>
      <c r="C18" s="96">
        <v>-262.01</v>
      </c>
      <c r="D18" s="97"/>
      <c r="E18" s="63">
        <v>0</v>
      </c>
      <c r="F18" s="64">
        <v>39789</v>
      </c>
      <c r="G18" s="64" t="s">
        <v>58</v>
      </c>
      <c r="H18" s="143"/>
      <c r="P18" s="115"/>
      <c r="Q18" s="116"/>
      <c r="R18" s="117"/>
      <c r="S18" s="141"/>
      <c r="T18" s="116" t="s">
        <v>473</v>
      </c>
      <c r="U18" s="142">
        <v>50.27</v>
      </c>
      <c r="X18" s="134"/>
    </row>
    <row r="19" spans="2:31">
      <c r="B19" s="99" t="s">
        <v>82</v>
      </c>
      <c r="C19" s="96">
        <v>-21</v>
      </c>
      <c r="D19" s="97"/>
      <c r="E19" s="63">
        <v>0</v>
      </c>
      <c r="F19" s="64">
        <v>39797</v>
      </c>
      <c r="G19" s="64" t="s">
        <v>58</v>
      </c>
      <c r="P19" s="115"/>
      <c r="Q19" s="116"/>
      <c r="R19" s="117"/>
      <c r="S19" s="141"/>
      <c r="T19" s="116" t="s">
        <v>474</v>
      </c>
      <c r="U19" s="140">
        <v>99.33</v>
      </c>
    </row>
    <row r="20" spans="2:31">
      <c r="B20" s="99" t="s">
        <v>20</v>
      </c>
      <c r="C20" s="96">
        <v>-300</v>
      </c>
      <c r="D20" s="97"/>
      <c r="E20" s="63">
        <v>0</v>
      </c>
      <c r="F20" s="64">
        <v>39798</v>
      </c>
      <c r="G20" s="64"/>
      <c r="P20" s="115"/>
      <c r="Q20" s="116"/>
      <c r="R20" s="117"/>
      <c r="S20" s="115"/>
      <c r="T20" s="116" t="s">
        <v>475</v>
      </c>
      <c r="U20" s="142">
        <v>65.52</v>
      </c>
      <c r="X20" s="134"/>
    </row>
    <row r="21" spans="2:31">
      <c r="B21" s="99" t="s">
        <v>372</v>
      </c>
      <c r="C21" s="96">
        <v>-17.61</v>
      </c>
      <c r="D21" s="97"/>
      <c r="E21" s="63">
        <v>0</v>
      </c>
      <c r="F21" s="64">
        <v>39792</v>
      </c>
      <c r="G21" s="64" t="s">
        <v>58</v>
      </c>
      <c r="P21" s="115"/>
      <c r="Q21" s="116"/>
      <c r="R21" s="117"/>
      <c r="S21" s="115"/>
      <c r="T21" s="116" t="s">
        <v>476</v>
      </c>
      <c r="U21" s="142">
        <v>50</v>
      </c>
    </row>
    <row r="22" spans="2:31">
      <c r="B22" s="99" t="s">
        <v>41</v>
      </c>
      <c r="C22" s="96">
        <v>-87.66</v>
      </c>
      <c r="D22" s="97"/>
      <c r="E22" s="63">
        <v>0</v>
      </c>
      <c r="F22" s="64">
        <v>39792</v>
      </c>
      <c r="G22" s="64" t="s">
        <v>58</v>
      </c>
      <c r="P22" s="115"/>
      <c r="Q22" s="116"/>
      <c r="R22" s="117"/>
      <c r="S22" s="115"/>
      <c r="T22" s="116" t="s">
        <v>477</v>
      </c>
      <c r="U22" s="142">
        <v>52</v>
      </c>
      <c r="X22" s="134"/>
    </row>
    <row r="23" spans="2:31">
      <c r="B23" s="99" t="s">
        <v>175</v>
      </c>
      <c r="C23" s="96">
        <v>-21</v>
      </c>
      <c r="D23" s="97"/>
      <c r="E23" s="63">
        <v>0</v>
      </c>
      <c r="F23" s="64">
        <v>39789</v>
      </c>
      <c r="G23" s="64" t="s">
        <v>58</v>
      </c>
      <c r="P23" s="115"/>
      <c r="Q23" s="116"/>
      <c r="R23" s="117"/>
      <c r="S23" s="115"/>
      <c r="T23" s="116" t="s">
        <v>478</v>
      </c>
      <c r="U23" s="142">
        <v>45</v>
      </c>
    </row>
    <row r="24" spans="2:31">
      <c r="B24" s="99" t="s">
        <v>77</v>
      </c>
      <c r="C24" s="96">
        <v>-269.27</v>
      </c>
      <c r="D24" s="97"/>
      <c r="E24" s="65">
        <f>C24</f>
        <v>-269.27</v>
      </c>
      <c r="F24" s="127">
        <v>39802</v>
      </c>
      <c r="G24" s="127"/>
      <c r="I24" s="1"/>
      <c r="P24" s="115"/>
      <c r="Q24" s="116"/>
      <c r="R24" s="117"/>
      <c r="S24" s="115"/>
      <c r="T24" s="116" t="s">
        <v>479</v>
      </c>
      <c r="U24" s="142">
        <v>47.08</v>
      </c>
      <c r="X24" s="134"/>
    </row>
    <row r="25" spans="2:31">
      <c r="B25" s="99" t="s">
        <v>451</v>
      </c>
      <c r="C25" s="96">
        <v>-21.88</v>
      </c>
      <c r="D25" s="97"/>
      <c r="E25" s="65">
        <f>C25</f>
        <v>-21.88</v>
      </c>
      <c r="F25" s="127">
        <v>39806</v>
      </c>
      <c r="G25" s="127"/>
      <c r="I25" s="1"/>
      <c r="P25" s="115"/>
      <c r="Q25" s="116"/>
      <c r="R25" s="117"/>
      <c r="S25" s="115"/>
      <c r="T25" s="116" t="s">
        <v>466</v>
      </c>
      <c r="U25" s="142">
        <v>39.200000000000003</v>
      </c>
    </row>
    <row r="26" spans="2:31">
      <c r="B26" s="99" t="s">
        <v>289</v>
      </c>
      <c r="C26" s="96">
        <v>-50</v>
      </c>
      <c r="D26" s="97"/>
      <c r="E26" s="63">
        <v>0</v>
      </c>
      <c r="F26" s="64">
        <v>39787</v>
      </c>
      <c r="G26" s="64" t="s">
        <v>58</v>
      </c>
      <c r="I26" s="1"/>
      <c r="J26" s="1"/>
      <c r="K26" s="1"/>
      <c r="L26" s="1"/>
      <c r="P26" s="115"/>
      <c r="Q26" s="116"/>
      <c r="R26" s="117"/>
      <c r="S26" s="115"/>
      <c r="T26" s="116" t="s">
        <v>480</v>
      </c>
      <c r="U26" s="142">
        <v>10</v>
      </c>
      <c r="V26" s="146"/>
      <c r="Y26" s="149"/>
      <c r="Z26" s="146"/>
      <c r="AA26" s="147"/>
      <c r="AB26" s="148"/>
      <c r="AD26" s="150"/>
      <c r="AE26" s="151"/>
    </row>
    <row r="27" spans="2:31">
      <c r="B27" s="99" t="s">
        <v>360</v>
      </c>
      <c r="C27" s="96">
        <v>-130</v>
      </c>
      <c r="D27" s="97"/>
      <c r="E27" s="63">
        <v>0</v>
      </c>
      <c r="F27" s="64">
        <v>39792</v>
      </c>
      <c r="G27" s="64" t="s">
        <v>58</v>
      </c>
      <c r="I27" s="1"/>
      <c r="P27" s="115"/>
      <c r="Q27" s="116"/>
      <c r="R27" s="117"/>
      <c r="S27" s="115"/>
      <c r="T27" s="116"/>
      <c r="U27" s="142">
        <v>1045.43</v>
      </c>
      <c r="V27" s="153"/>
      <c r="W27" s="154"/>
      <c r="X27" s="134"/>
      <c r="Y27" s="152"/>
      <c r="Z27" s="153"/>
      <c r="AA27" s="154"/>
      <c r="AB27" s="134"/>
      <c r="AD27" s="155"/>
      <c r="AE27" s="156"/>
    </row>
    <row r="28" spans="2:31" ht="18">
      <c r="B28" s="74" t="s">
        <v>45</v>
      </c>
      <c r="C28" s="101"/>
      <c r="D28" s="98"/>
      <c r="E28" s="129">
        <f>SUM(E3:E27)</f>
        <v>-239.10999999999996</v>
      </c>
      <c r="F28" s="75"/>
      <c r="G28" s="75"/>
      <c r="I28" s="52"/>
      <c r="P28" s="115"/>
      <c r="Q28" s="116"/>
      <c r="R28" s="117"/>
      <c r="S28" s="115"/>
      <c r="T28" s="116"/>
      <c r="U28" s="142"/>
      <c r="V28" s="146"/>
      <c r="W28" s="147"/>
      <c r="X28" s="148"/>
      <c r="Y28" s="149"/>
      <c r="Z28" s="146"/>
      <c r="AA28" s="147"/>
      <c r="AB28" s="148"/>
      <c r="AD28" s="150"/>
      <c r="AE28" s="151"/>
    </row>
    <row r="29" spans="2:31">
      <c r="C29" s="1"/>
      <c r="D29" s="1"/>
      <c r="E29" s="1"/>
      <c r="P29" s="119" t="s">
        <v>45</v>
      </c>
      <c r="Q29" s="120">
        <f>SUM(Q5:Q28)</f>
        <v>3.6</v>
      </c>
      <c r="R29" s="121"/>
      <c r="S29" s="119" t="s">
        <v>45</v>
      </c>
      <c r="T29" s="135"/>
      <c r="U29" s="135">
        <f>SUM(U5:U28)</f>
        <v>2952.41</v>
      </c>
      <c r="V29" s="146"/>
      <c r="W29" s="147"/>
      <c r="X29" s="148"/>
      <c r="Y29" s="149"/>
      <c r="Z29" s="146"/>
      <c r="AA29" s="147"/>
      <c r="AB29" s="148"/>
      <c r="AD29" s="150"/>
      <c r="AE29" s="151"/>
    </row>
    <row r="30" spans="2:31">
      <c r="M30" s="1"/>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19:31">
      <c r="S33" s="146"/>
      <c r="T33" s="147"/>
      <c r="U33" s="148"/>
      <c r="V33" s="146"/>
      <c r="W33" s="147"/>
      <c r="X33" s="148"/>
      <c r="Y33" s="149"/>
      <c r="Z33" s="146"/>
      <c r="AA33" s="147"/>
      <c r="AB33" s="148"/>
      <c r="AD33" s="150"/>
      <c r="AE33" s="151"/>
    </row>
    <row r="34" spans="19:31">
      <c r="S34" s="152"/>
      <c r="V34" s="153"/>
      <c r="W34" s="154"/>
      <c r="X34" s="134"/>
      <c r="Y34" s="152"/>
      <c r="Z34" s="153"/>
      <c r="AA34" s="154"/>
      <c r="AB34" s="134"/>
      <c r="AD34" s="155"/>
      <c r="AE34" s="156"/>
    </row>
    <row r="35" spans="19:31">
      <c r="S35" s="149"/>
      <c r="T35" s="157"/>
      <c r="U35" s="157"/>
      <c r="V35" s="153"/>
      <c r="W35" s="154"/>
      <c r="X35" s="134"/>
      <c r="Y35" s="152"/>
      <c r="Z35" s="153"/>
      <c r="AA35" s="154"/>
      <c r="AB35" s="134"/>
      <c r="AD35" s="155"/>
      <c r="AE35" s="156"/>
    </row>
    <row r="36" spans="19:31">
      <c r="S36" s="149"/>
      <c r="T36" s="157"/>
      <c r="U36" s="157"/>
    </row>
    <row r="37" spans="19:31">
      <c r="S37" s="152"/>
    </row>
    <row r="38" spans="19:31">
      <c r="S38" s="149"/>
      <c r="T38" s="157"/>
      <c r="U38" s="157"/>
    </row>
    <row r="39" spans="19:31">
      <c r="S39" s="152"/>
    </row>
    <row r="40" spans="19:31">
      <c r="S40" s="149"/>
      <c r="T40" s="157"/>
      <c r="U40" s="157"/>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6.xml><?xml version="1.0" encoding="utf-8"?>
<worksheet xmlns="http://schemas.openxmlformats.org/spreadsheetml/2006/main" xmlns:r="http://schemas.openxmlformats.org/officeDocument/2006/relationships">
  <sheetPr>
    <pageSetUpPr autoPageBreaks="0"/>
  </sheetPr>
  <dimension ref="B1:AE40"/>
  <sheetViews>
    <sheetView showGridLines="0" zoomScale="75" zoomScaleNormal="75" zoomScalePageLayoutView="75" workbookViewId="0">
      <selection activeCell="F44" activeCellId="1" sqref="G13 F44"/>
    </sheetView>
  </sheetViews>
  <sheetFormatPr defaultColWidth="8.85546875" defaultRowHeight="12.75"/>
  <cols>
    <col min="1" max="1" width="2" customWidth="1"/>
    <col min="2" max="2" width="42" customWidth="1"/>
    <col min="3" max="3" width="21.42578125" customWidth="1"/>
    <col min="4" max="4" width="1.7109375" customWidth="1"/>
    <col min="5" max="5" width="19.42578125" customWidth="1"/>
    <col min="6" max="6" width="11.42578125" customWidth="1"/>
    <col min="7" max="7" width="10" customWidth="1"/>
    <col min="8" max="8" width="1" customWidth="1"/>
    <col min="9" max="9" width="14.28515625" customWidth="1"/>
    <col min="10" max="10" width="6.85546875" customWidth="1"/>
    <col min="11" max="11" width="1.42578125" customWidth="1"/>
    <col min="12" max="12" width="15.140625" customWidth="1"/>
    <col min="13" max="13" width="13.42578125" customWidth="1"/>
    <col min="14" max="14" width="12.140625" customWidth="1"/>
    <col min="15" max="15" width="1.42578125" customWidth="1"/>
    <col min="16" max="16" width="21.140625" customWidth="1"/>
    <col min="17" max="17" width="10.85546875" customWidth="1"/>
    <col min="18" max="18" width="7.28515625" customWidth="1"/>
    <col min="19" max="19" width="7.7109375" customWidth="1"/>
    <col min="20" max="20" width="41.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481</v>
      </c>
      <c r="M2" s="221" t="s">
        <v>408</v>
      </c>
      <c r="N2" s="221" t="s">
        <v>1</v>
      </c>
      <c r="P2" s="584" t="s">
        <v>215</v>
      </c>
      <c r="Q2" s="584"/>
      <c r="R2" s="584"/>
      <c r="S2" s="584"/>
      <c r="T2" s="584"/>
      <c r="U2" s="584"/>
    </row>
    <row r="3" spans="2:24">
      <c r="B3" s="71" t="s">
        <v>11</v>
      </c>
      <c r="C3" s="91">
        <v>0</v>
      </c>
      <c r="D3" s="92"/>
      <c r="E3" s="95">
        <v>-65.55</v>
      </c>
      <c r="F3" s="61"/>
      <c r="G3" s="61"/>
      <c r="I3" s="10">
        <v>1504</v>
      </c>
      <c r="J3" s="16">
        <v>39818</v>
      </c>
      <c r="L3" s="65">
        <v>-1600</v>
      </c>
      <c r="M3" s="127" t="s">
        <v>411</v>
      </c>
      <c r="N3" s="127" t="s">
        <v>482</v>
      </c>
      <c r="P3" s="581" t="s">
        <v>216</v>
      </c>
      <c r="Q3" s="581"/>
      <c r="R3" s="581"/>
      <c r="S3" s="582" t="s">
        <v>217</v>
      </c>
      <c r="T3" s="582"/>
      <c r="U3" s="582"/>
    </row>
    <row r="4" spans="2:24" ht="12" customHeight="1">
      <c r="B4" s="71" t="s">
        <v>56</v>
      </c>
      <c r="C4" s="91">
        <v>0</v>
      </c>
      <c r="D4" s="92"/>
      <c r="E4" s="95">
        <f>314.91-70</f>
        <v>244.91000000000003</v>
      </c>
      <c r="F4" s="72"/>
      <c r="G4" s="72"/>
      <c r="I4" s="10">
        <v>1288</v>
      </c>
      <c r="J4" s="16">
        <v>39836</v>
      </c>
      <c r="L4" s="65">
        <v>-1500</v>
      </c>
      <c r="M4" s="127" t="s">
        <v>39</v>
      </c>
      <c r="N4" s="127" t="s">
        <v>482</v>
      </c>
      <c r="P4" s="107" t="s">
        <v>218</v>
      </c>
      <c r="Q4" s="108" t="s">
        <v>219</v>
      </c>
      <c r="R4" s="109" t="s">
        <v>1</v>
      </c>
      <c r="S4" s="107" t="s">
        <v>1</v>
      </c>
      <c r="T4" s="108" t="s">
        <v>218</v>
      </c>
      <c r="U4" s="109" t="s">
        <v>219</v>
      </c>
    </row>
    <row r="5" spans="2:24" ht="12" customHeight="1">
      <c r="B5" s="71" t="s">
        <v>5</v>
      </c>
      <c r="C5" s="93">
        <v>2765.98</v>
      </c>
      <c r="D5" s="94"/>
      <c r="E5" s="95">
        <v>0</v>
      </c>
      <c r="F5" s="72"/>
      <c r="G5" s="72"/>
      <c r="I5" s="10">
        <v>1340</v>
      </c>
      <c r="J5" s="16">
        <v>39839</v>
      </c>
      <c r="L5" s="10"/>
      <c r="M5" s="10"/>
      <c r="N5" s="16"/>
      <c r="P5" s="110"/>
      <c r="Q5" s="111"/>
      <c r="R5" s="112"/>
      <c r="S5" s="110" t="s">
        <v>483</v>
      </c>
      <c r="T5" s="116" t="s">
        <v>484</v>
      </c>
      <c r="U5" s="142">
        <v>37.5</v>
      </c>
    </row>
    <row r="6" spans="2:24">
      <c r="B6" s="71" t="s">
        <v>485</v>
      </c>
      <c r="C6" s="93">
        <v>2000</v>
      </c>
      <c r="D6" s="94"/>
      <c r="E6" s="95">
        <v>0</v>
      </c>
      <c r="F6" s="72"/>
      <c r="G6" s="72"/>
      <c r="I6" s="10"/>
      <c r="J6" s="16"/>
      <c r="L6" s="10"/>
      <c r="M6" s="10"/>
      <c r="N6" s="16"/>
      <c r="P6" s="110"/>
      <c r="Q6" s="111"/>
      <c r="R6" s="112"/>
      <c r="S6" s="110" t="s">
        <v>486</v>
      </c>
      <c r="T6" s="116" t="s">
        <v>487</v>
      </c>
      <c r="U6" s="142">
        <v>53</v>
      </c>
    </row>
    <row r="7" spans="2:24">
      <c r="B7" s="71" t="s">
        <v>86</v>
      </c>
      <c r="C7" s="93">
        <v>120</v>
      </c>
      <c r="D7" s="94"/>
      <c r="E7" s="95">
        <v>0</v>
      </c>
      <c r="F7" s="72"/>
      <c r="G7" s="72"/>
      <c r="I7" s="10"/>
      <c r="J7" s="16"/>
      <c r="L7" s="10"/>
      <c r="M7" s="10"/>
      <c r="N7" s="16"/>
      <c r="P7" s="110"/>
      <c r="Q7" s="111"/>
      <c r="R7" s="133"/>
      <c r="S7" s="110" t="s">
        <v>488</v>
      </c>
      <c r="T7" s="116" t="s">
        <v>489</v>
      </c>
      <c r="U7" s="142">
        <v>30.65</v>
      </c>
    </row>
    <row r="8" spans="2:24">
      <c r="B8" s="71" t="s">
        <v>490</v>
      </c>
      <c r="C8" s="93">
        <f>5847.13/2</f>
        <v>2923.5650000000001</v>
      </c>
      <c r="D8" s="94"/>
      <c r="E8" s="95">
        <v>0</v>
      </c>
      <c r="F8" s="72"/>
      <c r="G8" s="72"/>
      <c r="I8" s="10"/>
      <c r="J8" s="16"/>
      <c r="L8" s="10"/>
      <c r="M8" s="10"/>
      <c r="N8" s="16"/>
      <c r="P8" s="110"/>
      <c r="Q8" s="111"/>
      <c r="R8" s="114"/>
      <c r="S8" s="110" t="s">
        <v>491</v>
      </c>
      <c r="T8" s="116" t="s">
        <v>492</v>
      </c>
      <c r="U8" s="142">
        <v>-2942.41</v>
      </c>
      <c r="X8" s="134"/>
    </row>
    <row r="9" spans="2:24">
      <c r="B9" s="99" t="s">
        <v>65</v>
      </c>
      <c r="C9" s="96">
        <v>0</v>
      </c>
      <c r="D9" s="97"/>
      <c r="E9" s="63">
        <f>C9</f>
        <v>0</v>
      </c>
      <c r="F9" s="64" t="s">
        <v>207</v>
      </c>
      <c r="G9" s="64" t="s">
        <v>58</v>
      </c>
      <c r="I9" s="10"/>
      <c r="J9" s="16"/>
      <c r="L9" s="10"/>
      <c r="M9" s="10"/>
      <c r="N9" s="16"/>
      <c r="P9" s="110"/>
      <c r="Q9" s="111"/>
      <c r="R9" s="114"/>
      <c r="S9" s="110" t="s">
        <v>493</v>
      </c>
      <c r="T9" s="116" t="s">
        <v>494</v>
      </c>
      <c r="U9" s="142">
        <v>47.8</v>
      </c>
    </row>
    <row r="10" spans="2:24">
      <c r="B10" s="99" t="s">
        <v>38</v>
      </c>
      <c r="C10" s="96">
        <v>-500.59</v>
      </c>
      <c r="D10" s="97"/>
      <c r="E10" s="63">
        <v>0</v>
      </c>
      <c r="F10" s="64">
        <v>39815</v>
      </c>
      <c r="G10" s="64" t="s">
        <v>58</v>
      </c>
      <c r="I10" s="10"/>
      <c r="J10" s="16"/>
      <c r="L10" s="10"/>
      <c r="M10" s="10"/>
      <c r="N10" s="16"/>
      <c r="P10" s="110"/>
      <c r="Q10" s="111"/>
      <c r="R10" s="114"/>
      <c r="S10" s="110" t="s">
        <v>495</v>
      </c>
      <c r="T10" s="116" t="s">
        <v>496</v>
      </c>
      <c r="U10" s="142">
        <v>79.989999999999995</v>
      </c>
      <c r="X10" s="134"/>
    </row>
    <row r="11" spans="2:24">
      <c r="B11" s="99" t="s">
        <v>14</v>
      </c>
      <c r="C11" s="96">
        <v>-17.7</v>
      </c>
      <c r="D11" s="97"/>
      <c r="E11" s="63">
        <v>0</v>
      </c>
      <c r="F11" s="64">
        <v>39808</v>
      </c>
      <c r="G11" s="64" t="s">
        <v>58</v>
      </c>
      <c r="I11" s="10"/>
      <c r="J11" s="16"/>
      <c r="L11" s="10"/>
      <c r="M11" s="10"/>
      <c r="N11" s="16"/>
      <c r="P11" s="110"/>
      <c r="Q11" s="111"/>
      <c r="R11" s="114"/>
      <c r="S11" s="110" t="s">
        <v>497</v>
      </c>
      <c r="T11" s="116" t="s">
        <v>498</v>
      </c>
      <c r="U11" s="142">
        <v>53</v>
      </c>
    </row>
    <row r="12" spans="2:24">
      <c r="B12" s="99" t="s">
        <v>69</v>
      </c>
      <c r="C12" s="96">
        <v>-77</v>
      </c>
      <c r="D12" s="97"/>
      <c r="E12" s="63">
        <v>0</v>
      </c>
      <c r="F12" s="64"/>
      <c r="G12" s="64" t="s">
        <v>58</v>
      </c>
      <c r="I12" s="10"/>
      <c r="J12" s="16"/>
      <c r="L12" s="10"/>
      <c r="M12" s="10"/>
      <c r="N12" s="16"/>
      <c r="P12" s="110"/>
      <c r="Q12" s="111"/>
      <c r="R12" s="114"/>
      <c r="S12" s="110" t="s">
        <v>499</v>
      </c>
      <c r="T12" s="116" t="s">
        <v>500</v>
      </c>
      <c r="U12" s="142">
        <v>39.5</v>
      </c>
      <c r="X12" s="134"/>
    </row>
    <row r="13" spans="2:24">
      <c r="B13" s="99" t="s">
        <v>93</v>
      </c>
      <c r="C13" s="96">
        <v>-3.6</v>
      </c>
      <c r="D13" s="97"/>
      <c r="E13" s="63">
        <v>0</v>
      </c>
      <c r="F13" s="64">
        <v>39814</v>
      </c>
      <c r="G13" s="64" t="s">
        <v>58</v>
      </c>
      <c r="I13" s="10"/>
      <c r="J13" s="16"/>
      <c r="L13" s="10"/>
      <c r="M13" s="10"/>
      <c r="N13" s="16"/>
      <c r="P13" s="110"/>
      <c r="Q13" s="111"/>
      <c r="R13" s="114"/>
      <c r="S13" s="110" t="s">
        <v>501</v>
      </c>
      <c r="T13" s="116" t="s">
        <v>502</v>
      </c>
      <c r="U13" s="142">
        <v>27.7</v>
      </c>
    </row>
    <row r="14" spans="2:24">
      <c r="B14" s="99" t="s">
        <v>157</v>
      </c>
      <c r="C14" s="96">
        <v>-4.57</v>
      </c>
      <c r="D14" s="97"/>
      <c r="E14" s="63">
        <v>0</v>
      </c>
      <c r="F14" s="64">
        <v>39823</v>
      </c>
      <c r="G14" s="64" t="s">
        <v>58</v>
      </c>
      <c r="I14" s="10"/>
      <c r="J14" s="16"/>
      <c r="L14" s="10"/>
      <c r="M14" s="10"/>
      <c r="N14" s="16"/>
      <c r="P14" s="110"/>
      <c r="Q14" s="111"/>
      <c r="R14" s="114"/>
      <c r="S14" s="110" t="s">
        <v>503</v>
      </c>
      <c r="T14" s="116" t="s">
        <v>504</v>
      </c>
      <c r="U14" s="142">
        <v>2942.41</v>
      </c>
      <c r="X14" s="134"/>
    </row>
    <row r="15" spans="2:24">
      <c r="B15" s="99" t="s">
        <v>86</v>
      </c>
      <c r="C15" s="96">
        <v>-166</v>
      </c>
      <c r="D15" s="97"/>
      <c r="E15" s="63">
        <v>0</v>
      </c>
      <c r="F15" s="64">
        <v>39818</v>
      </c>
      <c r="G15" s="64" t="s">
        <v>58</v>
      </c>
      <c r="I15" s="10"/>
      <c r="J15" s="16"/>
      <c r="L15" s="144">
        <f>SUM(L3:L14)</f>
        <v>-3100</v>
      </c>
      <c r="M15" s="144" t="s">
        <v>21</v>
      </c>
      <c r="N15" s="145"/>
      <c r="P15" s="110"/>
      <c r="Q15" s="111"/>
      <c r="R15" s="114"/>
      <c r="S15" s="110" t="s">
        <v>505</v>
      </c>
      <c r="T15" s="116" t="s">
        <v>506</v>
      </c>
      <c r="U15" s="142">
        <v>53.15</v>
      </c>
    </row>
    <row r="16" spans="2:24">
      <c r="B16" s="99" t="s">
        <v>103</v>
      </c>
      <c r="C16" s="96">
        <v>-2952.41</v>
      </c>
      <c r="D16" s="97"/>
      <c r="E16" s="63">
        <v>0</v>
      </c>
      <c r="F16" s="64">
        <v>39814</v>
      </c>
      <c r="G16" s="64" t="s">
        <v>58</v>
      </c>
      <c r="I16" s="10"/>
      <c r="J16" s="16"/>
      <c r="P16" s="110"/>
      <c r="Q16" s="111"/>
      <c r="R16" s="114"/>
      <c r="S16" s="110" t="s">
        <v>505</v>
      </c>
      <c r="T16" s="116" t="s">
        <v>507</v>
      </c>
      <c r="U16" s="142">
        <v>36</v>
      </c>
      <c r="X16" s="134"/>
    </row>
    <row r="17" spans="2:31">
      <c r="B17" s="99" t="s">
        <v>96</v>
      </c>
      <c r="C17" s="96">
        <v>-109.18</v>
      </c>
      <c r="D17" s="97"/>
      <c r="E17" s="63">
        <v>0</v>
      </c>
      <c r="F17" s="64">
        <v>39817</v>
      </c>
      <c r="G17" s="64" t="s">
        <v>58</v>
      </c>
      <c r="I17" s="10"/>
      <c r="J17" s="16"/>
      <c r="P17" s="110"/>
      <c r="Q17" s="111"/>
      <c r="R17" s="114"/>
      <c r="S17" s="110" t="s">
        <v>505</v>
      </c>
      <c r="T17" s="116" t="s">
        <v>508</v>
      </c>
      <c r="U17" s="142">
        <v>93.5</v>
      </c>
    </row>
    <row r="18" spans="2:31">
      <c r="B18" s="99" t="s">
        <v>29</v>
      </c>
      <c r="C18" s="96">
        <v>-262.01</v>
      </c>
      <c r="D18" s="97"/>
      <c r="E18" s="63">
        <v>0</v>
      </c>
      <c r="F18" s="64">
        <v>39820</v>
      </c>
      <c r="G18" s="64" t="s">
        <v>58</v>
      </c>
      <c r="H18" s="143"/>
      <c r="P18" s="115"/>
      <c r="Q18" s="116"/>
      <c r="R18" s="117"/>
      <c r="S18" s="115" t="s">
        <v>509</v>
      </c>
      <c r="T18" s="116" t="s">
        <v>510</v>
      </c>
      <c r="U18" s="142">
        <v>34.479999999999997</v>
      </c>
      <c r="X18" s="134"/>
    </row>
    <row r="19" spans="2:31">
      <c r="B19" s="99" t="s">
        <v>511</v>
      </c>
      <c r="C19" s="96">
        <v>-1314.56</v>
      </c>
      <c r="D19" s="97"/>
      <c r="E19" s="63">
        <v>0</v>
      </c>
      <c r="F19" s="64">
        <v>39828</v>
      </c>
      <c r="G19" s="64" t="s">
        <v>58</v>
      </c>
      <c r="P19" s="115"/>
      <c r="Q19" s="116"/>
      <c r="R19" s="117"/>
      <c r="S19" s="115" t="s">
        <v>509</v>
      </c>
      <c r="T19" s="116" t="s">
        <v>512</v>
      </c>
      <c r="U19" s="140">
        <v>61</v>
      </c>
    </row>
    <row r="20" spans="2:31">
      <c r="B20" s="99" t="s">
        <v>82</v>
      </c>
      <c r="C20" s="96">
        <v>-37</v>
      </c>
      <c r="D20" s="97"/>
      <c r="E20" s="63">
        <v>0</v>
      </c>
      <c r="F20" s="64">
        <v>39839</v>
      </c>
      <c r="G20" s="64" t="s">
        <v>58</v>
      </c>
      <c r="P20" s="115"/>
      <c r="Q20" s="116"/>
      <c r="R20" s="117"/>
      <c r="S20" s="115"/>
      <c r="T20" s="158" t="s">
        <v>513</v>
      </c>
      <c r="U20" s="142">
        <v>59</v>
      </c>
      <c r="X20" s="134"/>
    </row>
    <row r="21" spans="2:31">
      <c r="B21" s="99" t="s">
        <v>41</v>
      </c>
      <c r="C21" s="96">
        <v>-81.92</v>
      </c>
      <c r="D21" s="97"/>
      <c r="E21" s="63">
        <v>0</v>
      </c>
      <c r="F21" s="64">
        <v>39823</v>
      </c>
      <c r="G21" s="64" t="s">
        <v>58</v>
      </c>
      <c r="P21" s="115"/>
      <c r="Q21" s="116"/>
      <c r="R21" s="117"/>
      <c r="S21" s="115"/>
      <c r="T21" s="116" t="s">
        <v>514</v>
      </c>
      <c r="U21" s="142">
        <v>55</v>
      </c>
    </row>
    <row r="22" spans="2:31">
      <c r="B22" s="99" t="s">
        <v>175</v>
      </c>
      <c r="C22" s="96">
        <v>-21</v>
      </c>
      <c r="D22" s="97"/>
      <c r="E22" s="63">
        <v>0</v>
      </c>
      <c r="F22" s="64">
        <v>39820</v>
      </c>
      <c r="G22" s="64" t="s">
        <v>58</v>
      </c>
      <c r="P22" s="115"/>
      <c r="Q22" s="116"/>
      <c r="R22" s="117"/>
      <c r="S22" s="115"/>
      <c r="T22" s="116" t="s">
        <v>515</v>
      </c>
      <c r="U22" s="142">
        <v>100</v>
      </c>
      <c r="X22" s="134"/>
    </row>
    <row r="23" spans="2:31">
      <c r="B23" s="99" t="s">
        <v>516</v>
      </c>
      <c r="C23" s="96">
        <f>-90-38</f>
        <v>-128</v>
      </c>
      <c r="D23" s="97"/>
      <c r="E23" s="63">
        <v>0</v>
      </c>
      <c r="F23" s="64">
        <v>39455</v>
      </c>
      <c r="G23" s="64" t="s">
        <v>58</v>
      </c>
      <c r="P23" s="115"/>
      <c r="Q23" s="116"/>
      <c r="R23" s="117"/>
      <c r="S23" s="115"/>
      <c r="T23" s="116" t="s">
        <v>517</v>
      </c>
      <c r="U23" s="142">
        <v>52.58</v>
      </c>
    </row>
    <row r="24" spans="2:31">
      <c r="B24" s="99" t="s">
        <v>518</v>
      </c>
      <c r="C24" s="96">
        <f>-131*2.4</f>
        <v>-314.39999999999998</v>
      </c>
      <c r="D24" s="97"/>
      <c r="E24" s="63">
        <v>0</v>
      </c>
      <c r="F24" s="64">
        <v>39455</v>
      </c>
      <c r="G24" s="64" t="s">
        <v>58</v>
      </c>
      <c r="I24" s="1"/>
      <c r="L24" s="1"/>
      <c r="P24" s="115"/>
      <c r="Q24" s="116"/>
      <c r="R24" s="117"/>
      <c r="S24" s="115"/>
      <c r="T24" s="116" t="s">
        <v>519</v>
      </c>
      <c r="U24" s="142">
        <v>99.39</v>
      </c>
      <c r="X24" s="134"/>
    </row>
    <row r="25" spans="2:31">
      <c r="B25" s="99" t="s">
        <v>77</v>
      </c>
      <c r="C25" s="96">
        <v>-269.27</v>
      </c>
      <c r="D25" s="97"/>
      <c r="E25" s="63">
        <v>0</v>
      </c>
      <c r="F25" s="64">
        <v>39802</v>
      </c>
      <c r="G25" s="64" t="s">
        <v>58</v>
      </c>
      <c r="I25" s="1"/>
      <c r="P25" s="115"/>
      <c r="Q25" s="116"/>
      <c r="R25" s="117"/>
      <c r="S25" s="115"/>
      <c r="T25" s="116" t="s">
        <v>300</v>
      </c>
      <c r="U25" s="142">
        <v>39</v>
      </c>
    </row>
    <row r="26" spans="2:31">
      <c r="B26" s="99" t="s">
        <v>77</v>
      </c>
      <c r="C26" s="96">
        <v>-269.27</v>
      </c>
      <c r="D26" s="97"/>
      <c r="E26" s="63">
        <v>0</v>
      </c>
      <c r="F26" s="64">
        <v>39833</v>
      </c>
      <c r="G26" s="64" t="s">
        <v>58</v>
      </c>
      <c r="I26" s="1"/>
      <c r="J26" s="1"/>
      <c r="K26" s="1"/>
      <c r="P26" s="115"/>
      <c r="Q26" s="116"/>
      <c r="R26" s="117"/>
      <c r="S26" s="115"/>
      <c r="T26" s="116" t="s">
        <v>520</v>
      </c>
      <c r="U26" s="142">
        <v>82.25</v>
      </c>
      <c r="V26" s="146"/>
      <c r="Y26" s="149"/>
      <c r="Z26" s="146"/>
      <c r="AA26" s="147"/>
      <c r="AB26" s="148"/>
      <c r="AD26" s="150"/>
      <c r="AE26" s="151"/>
    </row>
    <row r="27" spans="2:31">
      <c r="B27" s="99" t="s">
        <v>521</v>
      </c>
      <c r="C27" s="96">
        <v>-50</v>
      </c>
      <c r="D27" s="97"/>
      <c r="E27" s="63">
        <v>0</v>
      </c>
      <c r="F27" s="64">
        <v>39833</v>
      </c>
      <c r="G27" s="64" t="s">
        <v>58</v>
      </c>
      <c r="I27" s="1"/>
      <c r="P27" s="115"/>
      <c r="Q27" s="116"/>
      <c r="R27" s="117"/>
      <c r="S27" s="115"/>
      <c r="T27" s="116"/>
      <c r="U27" s="142"/>
      <c r="V27" s="153"/>
      <c r="W27" s="154"/>
      <c r="X27" s="134"/>
      <c r="Y27" s="152"/>
      <c r="Z27" s="153"/>
      <c r="AA27" s="154"/>
      <c r="AB27" s="134"/>
      <c r="AD27" s="155"/>
      <c r="AE27" s="156"/>
    </row>
    <row r="28" spans="2:31">
      <c r="B28" s="99" t="s">
        <v>451</v>
      </c>
      <c r="C28" s="96">
        <v>-21.88</v>
      </c>
      <c r="D28" s="97"/>
      <c r="E28" s="63">
        <v>0</v>
      </c>
      <c r="F28" s="64">
        <v>39837</v>
      </c>
      <c r="G28" s="64" t="s">
        <v>58</v>
      </c>
      <c r="I28" s="52"/>
      <c r="M28" s="1"/>
      <c r="P28" s="115"/>
      <c r="Q28" s="116"/>
      <c r="R28" s="117"/>
      <c r="S28" s="115"/>
      <c r="T28" s="116"/>
      <c r="U28" s="142"/>
      <c r="V28" s="146"/>
      <c r="W28" s="147"/>
      <c r="X28" s="148"/>
      <c r="Y28" s="149"/>
      <c r="Z28" s="146"/>
      <c r="AA28" s="147"/>
      <c r="AB28" s="148"/>
      <c r="AD28" s="150"/>
      <c r="AE28" s="151"/>
    </row>
    <row r="29" spans="2:31">
      <c r="B29" s="99" t="s">
        <v>451</v>
      </c>
      <c r="C29" s="96">
        <v>-21.88</v>
      </c>
      <c r="D29" s="97"/>
      <c r="E29" s="63">
        <v>0</v>
      </c>
      <c r="F29" s="64">
        <v>39806</v>
      </c>
      <c r="G29" s="64" t="s">
        <v>58</v>
      </c>
      <c r="P29" s="119" t="s">
        <v>45</v>
      </c>
      <c r="Q29" s="120">
        <f>SUM(Q5:Q28)</f>
        <v>0</v>
      </c>
      <c r="R29" s="121"/>
      <c r="S29" s="119" t="s">
        <v>45</v>
      </c>
      <c r="T29" s="135"/>
      <c r="U29" s="135">
        <f>SUM(U5:U28)</f>
        <v>1134.4899999999998</v>
      </c>
      <c r="V29" s="146"/>
      <c r="W29" s="147"/>
      <c r="X29" s="148"/>
      <c r="Y29" s="149"/>
      <c r="Z29" s="146"/>
      <c r="AA29" s="147"/>
      <c r="AB29" s="148"/>
      <c r="AD29" s="150"/>
      <c r="AE29" s="151"/>
    </row>
    <row r="30" spans="2:31">
      <c r="B30" s="99" t="s">
        <v>289</v>
      </c>
      <c r="C30" s="96">
        <v>-50</v>
      </c>
      <c r="D30" s="97"/>
      <c r="E30" s="63">
        <v>0</v>
      </c>
      <c r="F30" s="64">
        <v>39818</v>
      </c>
      <c r="G30" s="64" t="s">
        <v>58</v>
      </c>
      <c r="V30" s="153"/>
      <c r="W30" s="154"/>
      <c r="X30" s="134"/>
      <c r="Y30" s="152"/>
      <c r="Z30" s="153"/>
      <c r="AA30" s="154"/>
      <c r="AB30" s="134"/>
      <c r="AD30" s="155"/>
      <c r="AE30" s="156"/>
    </row>
    <row r="31" spans="2:31">
      <c r="B31" s="99" t="s">
        <v>522</v>
      </c>
      <c r="C31" s="96">
        <v>-50</v>
      </c>
      <c r="D31" s="97"/>
      <c r="E31" s="63">
        <v>0</v>
      </c>
      <c r="F31" s="64">
        <v>39820</v>
      </c>
      <c r="G31" s="64" t="s">
        <v>58</v>
      </c>
      <c r="V31" s="146"/>
      <c r="W31" s="147"/>
      <c r="X31" s="148"/>
      <c r="Y31" s="149"/>
      <c r="Z31" s="146"/>
      <c r="AA31" s="147"/>
      <c r="AB31" s="148"/>
      <c r="AD31" s="150"/>
      <c r="AE31" s="151"/>
    </row>
    <row r="32" spans="2:31">
      <c r="B32" s="99" t="s">
        <v>360</v>
      </c>
      <c r="C32" s="96">
        <v>-130</v>
      </c>
      <c r="D32" s="97"/>
      <c r="E32" s="63">
        <v>0</v>
      </c>
      <c r="F32" s="64">
        <v>39823</v>
      </c>
      <c r="G32" s="64" t="s">
        <v>58</v>
      </c>
      <c r="H32" s="89"/>
      <c r="V32" s="153"/>
      <c r="W32" s="154"/>
      <c r="X32" s="134"/>
      <c r="Y32" s="152"/>
      <c r="Z32" s="153"/>
      <c r="AA32" s="154"/>
      <c r="AB32" s="134"/>
      <c r="AD32" s="155"/>
      <c r="AE32" s="156"/>
    </row>
    <row r="33" spans="2:31" ht="18">
      <c r="B33" s="74" t="s">
        <v>45</v>
      </c>
      <c r="C33" s="101"/>
      <c r="D33" s="98"/>
      <c r="E33" s="129">
        <f>SUM(E3:E32)</f>
        <v>179.36</v>
      </c>
      <c r="F33" s="75"/>
      <c r="G33" s="75"/>
      <c r="S33" s="146"/>
      <c r="T33" s="147"/>
      <c r="U33" s="148"/>
      <c r="V33" s="146"/>
      <c r="W33" s="147"/>
      <c r="X33" s="148"/>
      <c r="Y33" s="149"/>
      <c r="Z33" s="146"/>
      <c r="AA33" s="147"/>
      <c r="AB33" s="148"/>
      <c r="AD33" s="150"/>
      <c r="AE33" s="151"/>
    </row>
    <row r="34" spans="2:31">
      <c r="C34" s="1"/>
      <c r="D34" s="1"/>
      <c r="E34" s="1"/>
      <c r="S34" s="152"/>
      <c r="V34" s="153"/>
      <c r="W34" s="154"/>
      <c r="X34" s="134"/>
      <c r="Y34" s="152"/>
      <c r="Z34" s="153"/>
      <c r="AA34" s="154"/>
      <c r="AB34" s="134"/>
      <c r="AD34" s="155"/>
      <c r="AE34" s="156"/>
    </row>
    <row r="35" spans="2:31">
      <c r="S35" s="149"/>
      <c r="T35" s="157"/>
      <c r="U35" s="157"/>
      <c r="V35" s="153"/>
      <c r="W35" s="154"/>
      <c r="X35" s="134"/>
      <c r="Y35" s="152"/>
      <c r="Z35" s="153"/>
      <c r="AA35" s="154"/>
      <c r="AB35" s="134"/>
      <c r="AD35" s="155"/>
      <c r="AE35" s="156"/>
    </row>
    <row r="36" spans="2:31">
      <c r="S36" s="149"/>
      <c r="T36" s="157"/>
      <c r="U36" s="157"/>
    </row>
    <row r="37" spans="2:31">
      <c r="S37" s="152"/>
    </row>
    <row r="38" spans="2:31">
      <c r="S38" s="149"/>
      <c r="T38" s="157"/>
      <c r="U38" s="157"/>
    </row>
    <row r="39" spans="2:31">
      <c r="S39" s="152"/>
    </row>
    <row r="40" spans="2:31">
      <c r="S40" s="149"/>
      <c r="T40" s="157"/>
      <c r="U40" s="157"/>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7.xml><?xml version="1.0" encoding="utf-8"?>
<worksheet xmlns="http://schemas.openxmlformats.org/spreadsheetml/2006/main" xmlns:r="http://schemas.openxmlformats.org/officeDocument/2006/relationships">
  <sheetPr>
    <pageSetUpPr autoPageBreaks="0"/>
  </sheetPr>
  <dimension ref="B1:AE40"/>
  <sheetViews>
    <sheetView showGridLines="0" zoomScale="75" zoomScaleNormal="75" zoomScalePageLayoutView="75" workbookViewId="0">
      <selection activeCell="E20" activeCellId="1" sqref="G13 E20"/>
    </sheetView>
  </sheetViews>
  <sheetFormatPr defaultColWidth="8.85546875" defaultRowHeight="12.75"/>
  <cols>
    <col min="1" max="1" width="2" customWidth="1"/>
    <col min="2" max="2" width="42" customWidth="1"/>
    <col min="3" max="3" width="21.42578125" customWidth="1"/>
    <col min="4" max="4" width="1.7109375" customWidth="1"/>
    <col min="5" max="5" width="19.42578125" customWidth="1"/>
    <col min="6" max="6" width="11.42578125" customWidth="1"/>
    <col min="7" max="7" width="10" customWidth="1"/>
    <col min="8" max="8" width="1" customWidth="1"/>
    <col min="9" max="9" width="15.42578125" customWidth="1"/>
    <col min="10" max="10" width="10.28515625" customWidth="1"/>
    <col min="11" max="11" width="1.42578125" customWidth="1"/>
    <col min="12" max="12" width="24.7109375" customWidth="1"/>
    <col min="13" max="13" width="23.42578125" customWidth="1"/>
    <col min="14" max="14" width="12.140625" customWidth="1"/>
    <col min="15" max="15" width="1.42578125" customWidth="1"/>
    <col min="16" max="16" width="14.28515625" customWidth="1"/>
    <col min="17" max="17" width="12.28515625" customWidth="1"/>
    <col min="18" max="18" width="7.28515625" customWidth="1"/>
    <col min="19" max="19" width="7.7109375" customWidth="1"/>
    <col min="20" max="20" width="43.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5.36</v>
      </c>
      <c r="F3" s="61"/>
      <c r="G3" s="61"/>
      <c r="I3" s="10">
        <v>1504</v>
      </c>
      <c r="J3" s="16">
        <v>39818</v>
      </c>
      <c r="L3" s="10">
        <v>22264.47</v>
      </c>
      <c r="M3" s="10" t="s">
        <v>409</v>
      </c>
      <c r="N3" s="16"/>
      <c r="P3" s="581" t="s">
        <v>216</v>
      </c>
      <c r="Q3" s="581"/>
      <c r="R3" s="581"/>
      <c r="S3" s="582" t="s">
        <v>217</v>
      </c>
      <c r="T3" s="582"/>
      <c r="U3" s="582"/>
    </row>
    <row r="4" spans="2:24" ht="12" customHeight="1">
      <c r="B4" s="71" t="s">
        <v>56</v>
      </c>
      <c r="C4" s="91">
        <v>0</v>
      </c>
      <c r="D4" s="92"/>
      <c r="E4" s="95">
        <v>-206.34</v>
      </c>
      <c r="F4" s="72"/>
      <c r="G4" s="72"/>
      <c r="I4" s="10">
        <v>1288</v>
      </c>
      <c r="J4" s="16">
        <v>39836</v>
      </c>
      <c r="L4" s="10">
        <v>0</v>
      </c>
      <c r="M4" s="10" t="s">
        <v>39</v>
      </c>
      <c r="N4" s="16" t="s">
        <v>482</v>
      </c>
      <c r="P4" s="107" t="s">
        <v>218</v>
      </c>
      <c r="Q4" s="108" t="s">
        <v>219</v>
      </c>
      <c r="R4" s="109" t="s">
        <v>1</v>
      </c>
      <c r="S4" s="107" t="s">
        <v>1</v>
      </c>
      <c r="T4" s="108" t="s">
        <v>218</v>
      </c>
      <c r="U4" s="109" t="s">
        <v>219</v>
      </c>
    </row>
    <row r="5" spans="2:24" ht="12" customHeight="1">
      <c r="B5" s="71" t="s">
        <v>165</v>
      </c>
      <c r="C5" s="93">
        <v>6525.24</v>
      </c>
      <c r="D5" s="94"/>
      <c r="E5" s="95">
        <v>0</v>
      </c>
      <c r="F5" s="72"/>
      <c r="G5" s="72"/>
      <c r="I5" s="10">
        <v>1340</v>
      </c>
      <c r="J5" s="16">
        <v>39839</v>
      </c>
      <c r="L5" s="65">
        <v>-1024</v>
      </c>
      <c r="M5" s="127" t="s">
        <v>523</v>
      </c>
      <c r="N5" s="127"/>
      <c r="P5" s="110" t="s">
        <v>524</v>
      </c>
      <c r="Q5" s="111">
        <f>608*2.4</f>
        <v>1459.2</v>
      </c>
      <c r="R5" s="112"/>
      <c r="S5" s="139">
        <v>40168</v>
      </c>
      <c r="T5" s="116" t="s">
        <v>525</v>
      </c>
      <c r="U5" s="142">
        <v>30.64</v>
      </c>
    </row>
    <row r="6" spans="2:24">
      <c r="B6" s="71" t="s">
        <v>526</v>
      </c>
      <c r="C6" s="93">
        <f>3300*(100%-27.5%)</f>
        <v>2392.5</v>
      </c>
      <c r="D6" s="94"/>
      <c r="E6" s="95">
        <v>0</v>
      </c>
      <c r="F6" s="72"/>
      <c r="G6" s="72"/>
      <c r="I6" s="10">
        <v>1276</v>
      </c>
      <c r="J6" s="16">
        <v>39840</v>
      </c>
      <c r="L6" s="65">
        <v>-400</v>
      </c>
      <c r="M6" s="127" t="s">
        <v>527</v>
      </c>
      <c r="N6" s="127"/>
      <c r="P6" s="110"/>
      <c r="Q6" s="111"/>
      <c r="R6" s="112"/>
      <c r="S6" s="139">
        <v>39832</v>
      </c>
      <c r="T6" s="116" t="s">
        <v>528</v>
      </c>
      <c r="U6" s="142">
        <v>24.57</v>
      </c>
    </row>
    <row r="7" spans="2:24">
      <c r="B7" s="71" t="s">
        <v>529</v>
      </c>
      <c r="C7" s="93">
        <v>9500</v>
      </c>
      <c r="D7" s="94"/>
      <c r="E7" s="95">
        <v>0</v>
      </c>
      <c r="F7" s="72"/>
      <c r="G7" s="72"/>
      <c r="I7" s="10">
        <v>1328</v>
      </c>
      <c r="J7" s="16">
        <v>39841</v>
      </c>
      <c r="L7" s="10">
        <v>0</v>
      </c>
      <c r="M7" s="10" t="s">
        <v>530</v>
      </c>
      <c r="N7" s="16"/>
      <c r="P7" s="110"/>
      <c r="Q7" s="111"/>
      <c r="R7" s="133"/>
      <c r="S7" s="139">
        <v>39836</v>
      </c>
      <c r="T7" s="116" t="s">
        <v>531</v>
      </c>
      <c r="U7" s="142">
        <v>35.5</v>
      </c>
    </row>
    <row r="8" spans="2:24">
      <c r="B8" s="71" t="s">
        <v>173</v>
      </c>
      <c r="C8" s="93">
        <v>141</v>
      </c>
      <c r="D8" s="94"/>
      <c r="E8" s="95">
        <f>C8</f>
        <v>141</v>
      </c>
      <c r="F8" s="72"/>
      <c r="G8" s="72"/>
      <c r="I8" s="10">
        <v>1344</v>
      </c>
      <c r="J8" s="16">
        <v>39846</v>
      </c>
      <c r="L8" s="10">
        <v>0</v>
      </c>
      <c r="M8" s="10" t="s">
        <v>532</v>
      </c>
      <c r="N8" s="16"/>
      <c r="P8" s="110"/>
      <c r="Q8" s="111"/>
      <c r="R8" s="114"/>
      <c r="S8" s="139">
        <v>39836</v>
      </c>
      <c r="T8" s="116" t="s">
        <v>533</v>
      </c>
      <c r="U8" s="142">
        <v>52.91</v>
      </c>
      <c r="X8" s="134"/>
    </row>
    <row r="9" spans="2:24">
      <c r="B9" s="71" t="s">
        <v>81</v>
      </c>
      <c r="C9" s="93">
        <v>30</v>
      </c>
      <c r="D9" s="94"/>
      <c r="E9" s="95">
        <v>0</v>
      </c>
      <c r="F9" s="72"/>
      <c r="G9" s="72"/>
      <c r="I9" s="10">
        <v>1312</v>
      </c>
      <c r="J9" s="16">
        <v>39847</v>
      </c>
      <c r="L9" s="65">
        <v>-3536.16</v>
      </c>
      <c r="M9" s="127" t="s">
        <v>534</v>
      </c>
      <c r="N9" s="127"/>
      <c r="P9" s="110"/>
      <c r="Q9" s="111"/>
      <c r="R9" s="114"/>
      <c r="S9" s="139">
        <v>39837</v>
      </c>
      <c r="T9" s="116" t="s">
        <v>535</v>
      </c>
      <c r="U9" s="142">
        <v>123.75</v>
      </c>
    </row>
    <row r="10" spans="2:24">
      <c r="B10" s="99" t="s">
        <v>65</v>
      </c>
      <c r="C10" s="96">
        <f>-2*50</f>
        <v>-100</v>
      </c>
      <c r="D10" s="97"/>
      <c r="E10" s="63">
        <v>0</v>
      </c>
      <c r="F10" s="64" t="s">
        <v>207</v>
      </c>
      <c r="G10" s="64"/>
      <c r="I10" s="10">
        <v>1292</v>
      </c>
      <c r="J10" s="16">
        <v>39848</v>
      </c>
      <c r="L10" s="10">
        <v>0</v>
      </c>
      <c r="M10" s="10" t="s">
        <v>462</v>
      </c>
      <c r="N10" s="16"/>
      <c r="P10" s="110"/>
      <c r="Q10" s="111"/>
      <c r="R10" s="114"/>
      <c r="S10" s="139">
        <v>39838</v>
      </c>
      <c r="T10" s="116" t="s">
        <v>536</v>
      </c>
      <c r="U10" s="142">
        <v>51.5</v>
      </c>
      <c r="X10" s="134"/>
    </row>
    <row r="11" spans="2:24">
      <c r="B11" s="99" t="s">
        <v>38</v>
      </c>
      <c r="C11" s="96">
        <v>-500.59</v>
      </c>
      <c r="D11" s="97"/>
      <c r="E11" s="63">
        <v>0</v>
      </c>
      <c r="F11" s="64" t="s">
        <v>537</v>
      </c>
      <c r="G11" s="64" t="s">
        <v>58</v>
      </c>
      <c r="I11" s="10">
        <v>1280</v>
      </c>
      <c r="J11" s="16">
        <v>39850</v>
      </c>
      <c r="L11" s="65">
        <v>-1150</v>
      </c>
      <c r="M11" s="127" t="s">
        <v>538</v>
      </c>
      <c r="N11" s="127"/>
      <c r="P11" s="110"/>
      <c r="Q11" s="111"/>
      <c r="R11" s="114"/>
      <c r="S11" s="139">
        <v>39842</v>
      </c>
      <c r="T11" s="116" t="s">
        <v>539</v>
      </c>
      <c r="U11" s="142">
        <v>43.85</v>
      </c>
    </row>
    <row r="12" spans="2:24">
      <c r="B12" s="99" t="s">
        <v>14</v>
      </c>
      <c r="C12" s="96">
        <v>-17.7</v>
      </c>
      <c r="D12" s="97"/>
      <c r="E12" s="63">
        <v>0</v>
      </c>
      <c r="F12" s="64">
        <v>39872</v>
      </c>
      <c r="G12" s="64" t="s">
        <v>58</v>
      </c>
      <c r="I12" s="10">
        <v>1304</v>
      </c>
      <c r="J12" s="16">
        <v>39853</v>
      </c>
      <c r="L12" s="65">
        <f>-Q29</f>
        <v>-1459.2</v>
      </c>
      <c r="M12" s="127" t="s">
        <v>540</v>
      </c>
      <c r="N12" s="127"/>
      <c r="P12" s="110"/>
      <c r="Q12" s="111"/>
      <c r="R12" s="114"/>
      <c r="S12" s="139">
        <v>39843</v>
      </c>
      <c r="T12" s="116" t="s">
        <v>492</v>
      </c>
      <c r="U12" s="142">
        <v>-1159.44</v>
      </c>
      <c r="X12" s="134"/>
    </row>
    <row r="13" spans="2:24">
      <c r="B13" s="99" t="s">
        <v>69</v>
      </c>
      <c r="C13" s="96">
        <f>-34.5</f>
        <v>-34.5</v>
      </c>
      <c r="D13" s="97"/>
      <c r="E13" s="63">
        <v>0</v>
      </c>
      <c r="F13" s="64">
        <v>39838</v>
      </c>
      <c r="G13" s="64" t="s">
        <v>58</v>
      </c>
      <c r="I13" s="10">
        <v>1268</v>
      </c>
      <c r="J13" s="16">
        <v>39855</v>
      </c>
      <c r="L13" s="10"/>
      <c r="M13" s="10"/>
      <c r="N13" s="16"/>
      <c r="P13" s="110"/>
      <c r="Q13" s="111"/>
      <c r="R13" s="114"/>
      <c r="S13" s="139">
        <v>39844</v>
      </c>
      <c r="T13" s="116" t="s">
        <v>541</v>
      </c>
      <c r="U13" s="142">
        <v>2864.47</v>
      </c>
    </row>
    <row r="14" spans="2:24">
      <c r="B14" s="99" t="s">
        <v>93</v>
      </c>
      <c r="C14" s="96">
        <v>-33.6</v>
      </c>
      <c r="D14" s="97"/>
      <c r="E14" s="63">
        <v>0</v>
      </c>
      <c r="F14" s="64">
        <v>39845</v>
      </c>
      <c r="G14" s="64" t="s">
        <v>58</v>
      </c>
      <c r="I14" s="10">
        <v>1232</v>
      </c>
      <c r="J14" s="16">
        <v>39857</v>
      </c>
      <c r="L14" s="10"/>
      <c r="M14" s="10"/>
      <c r="N14" s="16"/>
      <c r="P14" s="110"/>
      <c r="Q14" s="111"/>
      <c r="R14" s="114"/>
      <c r="S14" s="139">
        <v>39845</v>
      </c>
      <c r="T14" s="116" t="s">
        <v>542</v>
      </c>
      <c r="U14" s="142">
        <v>42.02</v>
      </c>
      <c r="X14" s="134"/>
    </row>
    <row r="15" spans="2:24">
      <c r="B15" s="99" t="s">
        <v>157</v>
      </c>
      <c r="C15" s="96">
        <v>-4.57</v>
      </c>
      <c r="D15" s="97"/>
      <c r="E15" s="63">
        <v>0</v>
      </c>
      <c r="F15" s="64">
        <v>39854</v>
      </c>
      <c r="G15" s="64" t="s">
        <v>58</v>
      </c>
      <c r="I15" s="10"/>
      <c r="J15" s="16"/>
      <c r="L15" s="144">
        <f>SUM(L3:L14)</f>
        <v>14695.11</v>
      </c>
      <c r="M15" s="144" t="s">
        <v>21</v>
      </c>
      <c r="N15" s="145"/>
      <c r="P15" s="110"/>
      <c r="Q15" s="111"/>
      <c r="R15" s="114"/>
      <c r="S15" s="139">
        <v>39845</v>
      </c>
      <c r="T15" s="116" t="s">
        <v>543</v>
      </c>
      <c r="U15" s="142">
        <v>60.18</v>
      </c>
    </row>
    <row r="16" spans="2:24">
      <c r="B16" s="99" t="s">
        <v>544</v>
      </c>
      <c r="C16" s="96">
        <v>-2800</v>
      </c>
      <c r="D16" s="97"/>
      <c r="E16" s="63">
        <v>0</v>
      </c>
      <c r="F16" s="64">
        <v>39841</v>
      </c>
      <c r="G16" s="64" t="s">
        <v>58</v>
      </c>
      <c r="I16" s="10"/>
      <c r="J16" s="16"/>
      <c r="P16" s="110"/>
      <c r="Q16" s="111"/>
      <c r="R16" s="114"/>
      <c r="S16" s="139">
        <v>39846</v>
      </c>
      <c r="T16" s="116" t="s">
        <v>545</v>
      </c>
      <c r="U16" s="142">
        <v>59</v>
      </c>
      <c r="X16" s="134"/>
    </row>
    <row r="17" spans="2:31">
      <c r="B17" s="99" t="s">
        <v>546</v>
      </c>
      <c r="C17" s="96">
        <f>-225-850/2</f>
        <v>-650</v>
      </c>
      <c r="D17" s="97"/>
      <c r="E17" s="63">
        <v>0</v>
      </c>
      <c r="F17" s="64"/>
      <c r="G17" s="64"/>
      <c r="I17" s="10"/>
      <c r="J17" s="16"/>
      <c r="P17" s="110"/>
      <c r="Q17" s="111"/>
      <c r="R17" s="114"/>
      <c r="S17" s="139">
        <v>39847</v>
      </c>
      <c r="T17" s="116" t="s">
        <v>547</v>
      </c>
      <c r="U17" s="142">
        <v>19.75</v>
      </c>
    </row>
    <row r="18" spans="2:31" ht="15.75">
      <c r="B18" s="99" t="s">
        <v>86</v>
      </c>
      <c r="C18" s="96">
        <v>-60</v>
      </c>
      <c r="D18" s="97"/>
      <c r="E18" s="63">
        <v>0</v>
      </c>
      <c r="F18" s="64">
        <v>39849</v>
      </c>
      <c r="G18" s="64" t="s">
        <v>58</v>
      </c>
      <c r="H18" s="143"/>
      <c r="L18" s="221" t="s">
        <v>42</v>
      </c>
      <c r="M18" s="221" t="s">
        <v>548</v>
      </c>
      <c r="N18" s="221" t="s">
        <v>1</v>
      </c>
      <c r="P18" s="115"/>
      <c r="Q18" s="116"/>
      <c r="R18" s="117"/>
      <c r="S18" s="141">
        <v>39851</v>
      </c>
      <c r="T18" s="116" t="s">
        <v>549</v>
      </c>
      <c r="U18" s="142">
        <v>30</v>
      </c>
      <c r="X18" s="134"/>
    </row>
    <row r="19" spans="2:31">
      <c r="B19" s="99" t="s">
        <v>550</v>
      </c>
      <c r="C19" s="96">
        <v>-1400</v>
      </c>
      <c r="D19" s="97"/>
      <c r="E19" s="63">
        <v>0</v>
      </c>
      <c r="F19" s="64"/>
      <c r="G19" s="64" t="s">
        <v>58</v>
      </c>
      <c r="L19" s="10" t="s">
        <v>551</v>
      </c>
      <c r="M19" s="159">
        <f>750*3</f>
        <v>2250</v>
      </c>
      <c r="N19" s="16"/>
      <c r="P19" s="115"/>
      <c r="Q19" s="116"/>
      <c r="R19" s="117"/>
      <c r="S19" s="141">
        <v>39852</v>
      </c>
      <c r="T19" s="116" t="s">
        <v>552</v>
      </c>
      <c r="U19" s="140">
        <v>37.9</v>
      </c>
    </row>
    <row r="20" spans="2:31" ht="15.75">
      <c r="B20" s="99" t="s">
        <v>103</v>
      </c>
      <c r="C20" s="96">
        <v>-1159.44</v>
      </c>
      <c r="D20" s="97"/>
      <c r="E20" s="63">
        <v>0</v>
      </c>
      <c r="F20" s="64">
        <v>39843</v>
      </c>
      <c r="G20" s="64" t="s">
        <v>58</v>
      </c>
      <c r="I20" s="221" t="s">
        <v>48</v>
      </c>
      <c r="J20" s="221" t="s">
        <v>1</v>
      </c>
      <c r="L20" s="10" t="s">
        <v>553</v>
      </c>
      <c r="M20" s="159">
        <f>290*2</f>
        <v>580</v>
      </c>
      <c r="N20" s="16"/>
      <c r="P20" s="115"/>
      <c r="Q20" s="116"/>
      <c r="R20" s="117"/>
      <c r="S20" s="141">
        <v>39855</v>
      </c>
      <c r="T20" s="158" t="s">
        <v>381</v>
      </c>
      <c r="U20" s="142">
        <v>59.54</v>
      </c>
      <c r="X20" s="134"/>
    </row>
    <row r="21" spans="2:31">
      <c r="B21" s="99" t="s">
        <v>372</v>
      </c>
      <c r="C21" s="96">
        <f>-17.48-17.8</f>
        <v>-35.28</v>
      </c>
      <c r="D21" s="97"/>
      <c r="E21" s="63">
        <v>0</v>
      </c>
      <c r="F21" s="64">
        <v>39847</v>
      </c>
      <c r="G21" s="64" t="s">
        <v>58</v>
      </c>
      <c r="I21" s="10">
        <v>14.27</v>
      </c>
      <c r="J21" s="16">
        <v>39848</v>
      </c>
      <c r="L21" s="10" t="s">
        <v>554</v>
      </c>
      <c r="M21" s="159">
        <f>64*2</f>
        <v>128</v>
      </c>
      <c r="N21" s="16"/>
      <c r="P21" s="115"/>
      <c r="Q21" s="116"/>
      <c r="R21" s="117"/>
      <c r="S21" s="141">
        <v>39857</v>
      </c>
      <c r="T21" s="116" t="s">
        <v>555</v>
      </c>
      <c r="U21" s="142">
        <v>0.57999999999999996</v>
      </c>
    </row>
    <row r="22" spans="2:31">
      <c r="B22" s="99" t="s">
        <v>96</v>
      </c>
      <c r="C22" s="96">
        <v>-156.81</v>
      </c>
      <c r="D22" s="97"/>
      <c r="E22" s="63">
        <v>0</v>
      </c>
      <c r="F22" s="64">
        <v>39848</v>
      </c>
      <c r="G22" s="64" t="s">
        <v>58</v>
      </c>
      <c r="I22" s="10"/>
      <c r="J22" s="16" t="s">
        <v>556</v>
      </c>
      <c r="L22" s="10" t="s">
        <v>312</v>
      </c>
      <c r="M22" s="159">
        <f>109*2</f>
        <v>218</v>
      </c>
      <c r="N22" s="16"/>
      <c r="P22" s="115"/>
      <c r="Q22" s="116"/>
      <c r="R22" s="117"/>
      <c r="S22" s="141">
        <v>39873</v>
      </c>
      <c r="T22" s="116" t="s">
        <v>557</v>
      </c>
      <c r="U22" s="142">
        <v>1159.44</v>
      </c>
      <c r="X22" s="134"/>
    </row>
    <row r="23" spans="2:31">
      <c r="B23" s="99" t="s">
        <v>29</v>
      </c>
      <c r="C23" s="96">
        <v>-262.01</v>
      </c>
      <c r="D23" s="97"/>
      <c r="E23" s="63">
        <v>0</v>
      </c>
      <c r="F23" s="64">
        <v>39851</v>
      </c>
      <c r="G23" s="64" t="s">
        <v>58</v>
      </c>
      <c r="I23" s="10">
        <v>0</v>
      </c>
      <c r="J23" s="16" t="s">
        <v>558</v>
      </c>
      <c r="L23" s="10" t="s">
        <v>559</v>
      </c>
      <c r="M23" s="159">
        <f>50*2</f>
        <v>100</v>
      </c>
      <c r="N23" s="16"/>
      <c r="P23" s="115"/>
      <c r="Q23" s="116"/>
      <c r="R23" s="117"/>
      <c r="S23" s="115"/>
      <c r="T23" s="116"/>
      <c r="U23" s="142"/>
    </row>
    <row r="24" spans="2:31">
      <c r="B24" s="99" t="s">
        <v>532</v>
      </c>
      <c r="C24" s="96">
        <f>-11640-1200-4.56-44.23</f>
        <v>-12888.789999999999</v>
      </c>
      <c r="D24" s="97"/>
      <c r="E24" s="63">
        <v>0</v>
      </c>
      <c r="F24" s="64">
        <v>39859</v>
      </c>
      <c r="G24" s="64"/>
      <c r="I24" s="10">
        <v>0</v>
      </c>
      <c r="J24" s="16" t="s">
        <v>560</v>
      </c>
      <c r="L24" s="10" t="s">
        <v>561</v>
      </c>
      <c r="M24" s="159">
        <v>2000</v>
      </c>
      <c r="N24" s="16"/>
      <c r="P24" s="115"/>
      <c r="Q24" s="116"/>
      <c r="R24" s="117"/>
      <c r="S24" s="115"/>
      <c r="T24" s="116"/>
      <c r="U24" s="142"/>
      <c r="X24" s="134"/>
    </row>
    <row r="25" spans="2:31">
      <c r="B25" s="99" t="s">
        <v>82</v>
      </c>
      <c r="C25" s="96">
        <v>-32.5</v>
      </c>
      <c r="D25" s="97"/>
      <c r="E25" s="63">
        <v>0</v>
      </c>
      <c r="F25" s="64">
        <v>39870</v>
      </c>
      <c r="G25" s="64" t="s">
        <v>58</v>
      </c>
      <c r="I25" s="10">
        <v>0</v>
      </c>
      <c r="J25" s="16" t="s">
        <v>562</v>
      </c>
      <c r="L25" s="10" t="s">
        <v>563</v>
      </c>
      <c r="M25" s="159">
        <v>605</v>
      </c>
      <c r="N25" s="16"/>
      <c r="P25" s="115"/>
      <c r="Q25" s="116"/>
      <c r="R25" s="117"/>
      <c r="S25" s="115"/>
      <c r="T25" s="116"/>
      <c r="U25" s="142"/>
    </row>
    <row r="26" spans="2:31">
      <c r="B26" s="99" t="s">
        <v>41</v>
      </c>
      <c r="C26" s="96">
        <v>-64.81</v>
      </c>
      <c r="D26" s="97"/>
      <c r="E26" s="63">
        <v>0</v>
      </c>
      <c r="F26" s="64">
        <v>39854</v>
      </c>
      <c r="G26" s="64" t="s">
        <v>58</v>
      </c>
      <c r="I26" s="60">
        <f>SUM(I21:I25)</f>
        <v>14.27</v>
      </c>
      <c r="J26" s="160" t="s">
        <v>564</v>
      </c>
      <c r="K26" s="1"/>
      <c r="L26" s="10" t="s">
        <v>565</v>
      </c>
      <c r="M26" s="159">
        <f>290*2</f>
        <v>580</v>
      </c>
      <c r="N26" s="16"/>
      <c r="P26" s="115"/>
      <c r="Q26" s="116"/>
      <c r="R26" s="117"/>
      <c r="S26" s="115"/>
      <c r="T26" s="116"/>
      <c r="U26" s="142"/>
      <c r="V26" s="146"/>
      <c r="Y26" s="149"/>
      <c r="Z26" s="146"/>
      <c r="AA26" s="147"/>
      <c r="AB26" s="148"/>
      <c r="AD26" s="150"/>
      <c r="AE26" s="151"/>
    </row>
    <row r="27" spans="2:31">
      <c r="B27" s="99" t="s">
        <v>566</v>
      </c>
      <c r="C27" s="96">
        <v>-21</v>
      </c>
      <c r="D27" s="97"/>
      <c r="E27" s="63">
        <v>0</v>
      </c>
      <c r="F27" s="64">
        <v>39860</v>
      </c>
      <c r="G27" s="64" t="s">
        <v>58</v>
      </c>
      <c r="I27" s="1"/>
      <c r="L27" s="10"/>
      <c r="M27" s="159"/>
      <c r="N27" s="16"/>
      <c r="P27" s="115"/>
      <c r="Q27" s="116"/>
      <c r="R27" s="117"/>
      <c r="S27" s="115"/>
      <c r="T27" s="116"/>
      <c r="U27" s="142"/>
      <c r="V27" s="153"/>
      <c r="W27" s="154"/>
      <c r="X27" s="134"/>
      <c r="Y27" s="152"/>
      <c r="Z27" s="153"/>
      <c r="AA27" s="154"/>
      <c r="AB27" s="134"/>
      <c r="AD27" s="155"/>
      <c r="AE27" s="156"/>
    </row>
    <row r="28" spans="2:31">
      <c r="B28" s="99" t="s">
        <v>77</v>
      </c>
      <c r="C28" s="96">
        <v>-269.27</v>
      </c>
      <c r="D28" s="97"/>
      <c r="E28" s="63">
        <v>0</v>
      </c>
      <c r="F28" s="64">
        <v>39864</v>
      </c>
      <c r="G28" s="64"/>
      <c r="I28" s="52"/>
      <c r="L28" s="10"/>
      <c r="M28" s="159"/>
      <c r="N28" s="16"/>
      <c r="P28" s="115"/>
      <c r="Q28" s="116"/>
      <c r="R28" s="117"/>
      <c r="S28" s="115"/>
      <c r="T28" s="116"/>
      <c r="U28" s="142"/>
      <c r="V28" s="146"/>
      <c r="W28" s="147"/>
      <c r="X28" s="148"/>
      <c r="Y28" s="149"/>
      <c r="Z28" s="146"/>
      <c r="AA28" s="147"/>
      <c r="AB28" s="148"/>
      <c r="AD28" s="150"/>
      <c r="AE28" s="151"/>
    </row>
    <row r="29" spans="2:31">
      <c r="B29" s="99" t="s">
        <v>451</v>
      </c>
      <c r="C29" s="96">
        <v>-21.88</v>
      </c>
      <c r="D29" s="97"/>
      <c r="E29" s="63">
        <v>0</v>
      </c>
      <c r="F29" s="64">
        <v>39502</v>
      </c>
      <c r="G29" s="64" t="s">
        <v>58</v>
      </c>
      <c r="L29" s="10"/>
      <c r="M29" s="159"/>
      <c r="N29" s="16"/>
      <c r="P29" s="119" t="s">
        <v>45</v>
      </c>
      <c r="Q29" s="120">
        <f>SUM(Q5:Q28)</f>
        <v>1459.2</v>
      </c>
      <c r="R29" s="121"/>
      <c r="S29" s="119" t="s">
        <v>45</v>
      </c>
      <c r="T29" s="135"/>
      <c r="U29" s="135">
        <f>SUM(U5:U28)</f>
        <v>3536.16</v>
      </c>
      <c r="V29" s="146"/>
      <c r="W29" s="147"/>
      <c r="X29" s="148"/>
      <c r="Y29" s="149"/>
      <c r="Z29" s="146"/>
      <c r="AA29" s="147"/>
      <c r="AB29" s="148"/>
      <c r="AD29" s="150"/>
      <c r="AE29" s="151"/>
    </row>
    <row r="30" spans="2:31">
      <c r="B30" s="99" t="s">
        <v>289</v>
      </c>
      <c r="C30" s="96">
        <v>-50</v>
      </c>
      <c r="D30" s="97"/>
      <c r="E30" s="63">
        <v>0</v>
      </c>
      <c r="F30" s="64">
        <v>39849</v>
      </c>
      <c r="G30" s="64" t="s">
        <v>58</v>
      </c>
      <c r="L30" s="10"/>
      <c r="M30" s="159"/>
      <c r="N30" s="16"/>
      <c r="V30" s="153"/>
      <c r="W30" s="154"/>
      <c r="X30" s="134"/>
      <c r="Y30" s="152"/>
      <c r="Z30" s="153"/>
      <c r="AA30" s="154"/>
      <c r="AB30" s="134"/>
      <c r="AD30" s="155"/>
      <c r="AE30" s="156"/>
    </row>
    <row r="31" spans="2:31">
      <c r="B31" s="99" t="s">
        <v>360</v>
      </c>
      <c r="C31" s="96">
        <v>-130</v>
      </c>
      <c r="D31" s="97"/>
      <c r="E31" s="63">
        <v>0</v>
      </c>
      <c r="F31" s="64">
        <v>39854</v>
      </c>
      <c r="G31" s="64" t="s">
        <v>58</v>
      </c>
      <c r="L31" s="10"/>
      <c r="M31" s="159"/>
      <c r="N31" s="16"/>
      <c r="V31" s="146"/>
      <c r="W31" s="147"/>
      <c r="X31" s="148"/>
      <c r="Y31" s="149"/>
      <c r="Z31" s="146"/>
      <c r="AA31" s="147"/>
      <c r="AB31" s="148"/>
      <c r="AD31" s="150"/>
      <c r="AE31" s="151"/>
    </row>
    <row r="32" spans="2:31" ht="18">
      <c r="B32" s="74" t="s">
        <v>45</v>
      </c>
      <c r="C32" s="101"/>
      <c r="D32" s="98"/>
      <c r="E32" s="129">
        <f>SUM(E3:E31)</f>
        <v>-59.97999999999999</v>
      </c>
      <c r="F32" s="75"/>
      <c r="G32" s="75"/>
      <c r="H32" s="89"/>
      <c r="V32" s="153"/>
      <c r="W32" s="154"/>
      <c r="X32" s="134"/>
      <c r="Y32" s="152"/>
      <c r="Z32" s="153"/>
      <c r="AA32" s="154"/>
      <c r="AB32" s="134"/>
      <c r="AD32" s="155"/>
      <c r="AE32" s="156"/>
    </row>
    <row r="33" spans="3:31">
      <c r="C33" s="1"/>
      <c r="D33" s="1"/>
      <c r="E33" s="1"/>
      <c r="S33" s="146"/>
      <c r="T33" s="147"/>
      <c r="U33" s="148"/>
      <c r="V33" s="146"/>
      <c r="W33" s="147"/>
      <c r="X33" s="148"/>
      <c r="Y33" s="149"/>
      <c r="Z33" s="146"/>
      <c r="AA33" s="147"/>
      <c r="AB33" s="148"/>
      <c r="AD33" s="150"/>
      <c r="AE33" s="151"/>
    </row>
    <row r="34" spans="3:31">
      <c r="S34" s="152"/>
      <c r="V34" s="153"/>
      <c r="W34" s="154"/>
      <c r="X34" s="134"/>
      <c r="Y34" s="152"/>
      <c r="Z34" s="153"/>
      <c r="AA34" s="154"/>
      <c r="AB34" s="134"/>
      <c r="AD34" s="155"/>
      <c r="AE34" s="156"/>
    </row>
    <row r="35" spans="3:31">
      <c r="S35" s="149"/>
      <c r="T35" s="157"/>
      <c r="U35" s="157"/>
      <c r="V35" s="153"/>
      <c r="W35" s="154"/>
      <c r="X35" s="134"/>
      <c r="Y35" s="152"/>
      <c r="Z35" s="153"/>
      <c r="AA35" s="154"/>
      <c r="AB35" s="134"/>
      <c r="AD35" s="155"/>
      <c r="AE35" s="156"/>
    </row>
    <row r="36" spans="3:31">
      <c r="S36" s="149"/>
      <c r="T36" s="157"/>
      <c r="U36" s="157"/>
    </row>
    <row r="37" spans="3:31">
      <c r="S37" s="152"/>
    </row>
    <row r="38" spans="3:31">
      <c r="S38" s="149"/>
      <c r="T38" s="157"/>
      <c r="U38" s="157"/>
    </row>
    <row r="39" spans="3:31">
      <c r="S39" s="152"/>
    </row>
    <row r="40" spans="3:31">
      <c r="S40" s="149"/>
      <c r="T40" s="157"/>
      <c r="U40" s="157"/>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8.xml><?xml version="1.0" encoding="utf-8"?>
<worksheet xmlns="http://schemas.openxmlformats.org/spreadsheetml/2006/main" xmlns:r="http://schemas.openxmlformats.org/officeDocument/2006/relationships">
  <sheetPr>
    <pageSetUpPr autoPageBreaks="0"/>
  </sheetPr>
  <dimension ref="B1:AE40"/>
  <sheetViews>
    <sheetView showGridLines="0" zoomScale="75" zoomScaleNormal="75" zoomScalePageLayoutView="75" workbookViewId="0">
      <selection activeCell="E18" activeCellId="1" sqref="G13 E18"/>
    </sheetView>
  </sheetViews>
  <sheetFormatPr defaultColWidth="8.85546875" defaultRowHeight="12.75"/>
  <cols>
    <col min="1" max="1" width="2" customWidth="1"/>
    <col min="2" max="2" width="42" customWidth="1"/>
    <col min="3" max="3" width="21.42578125" customWidth="1"/>
    <col min="4" max="4" width="1.7109375" customWidth="1"/>
    <col min="5" max="5" width="19.42578125" customWidth="1"/>
    <col min="6" max="6" width="11.42578125" customWidth="1"/>
    <col min="7" max="7" width="10" customWidth="1"/>
    <col min="8" max="8" width="1" customWidth="1"/>
    <col min="9" max="9" width="15.42578125" customWidth="1"/>
    <col min="10" max="10" width="11.42578125" customWidth="1"/>
    <col min="11" max="11" width="1.42578125" customWidth="1"/>
    <col min="12" max="12" width="24.7109375" customWidth="1"/>
    <col min="13" max="13" width="23.42578125" customWidth="1"/>
    <col min="14" max="14" width="12.140625" customWidth="1"/>
    <col min="15" max="15" width="1.42578125" customWidth="1"/>
    <col min="16" max="16" width="14.28515625" customWidth="1"/>
    <col min="17" max="17" width="12.28515625" customWidth="1"/>
    <col min="18" max="18" width="7.28515625" customWidth="1"/>
    <col min="19" max="19" width="7.7109375" customWidth="1"/>
    <col min="20" max="20" width="43.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f>-91.25+100</f>
        <v>8.75</v>
      </c>
      <c r="F3" s="61"/>
      <c r="G3" s="61"/>
      <c r="I3" s="10">
        <v>1236</v>
      </c>
      <c r="J3" s="16">
        <v>39863</v>
      </c>
      <c r="L3" s="10">
        <v>22075.41</v>
      </c>
      <c r="M3" s="10" t="s">
        <v>409</v>
      </c>
      <c r="N3" s="16"/>
      <c r="P3" s="581" t="s">
        <v>216</v>
      </c>
      <c r="Q3" s="581"/>
      <c r="R3" s="581"/>
      <c r="S3" s="582" t="s">
        <v>217</v>
      </c>
      <c r="T3" s="582"/>
      <c r="U3" s="582"/>
    </row>
    <row r="4" spans="2:24" ht="12" customHeight="1">
      <c r="B4" s="71" t="s">
        <v>56</v>
      </c>
      <c r="C4" s="91">
        <v>0</v>
      </c>
      <c r="D4" s="92"/>
      <c r="E4" s="95">
        <v>-24.28</v>
      </c>
      <c r="F4" s="72"/>
      <c r="G4" s="72"/>
      <c r="I4" s="10">
        <v>1196</v>
      </c>
      <c r="J4" s="16">
        <v>39864</v>
      </c>
      <c r="L4" s="65">
        <v>-400</v>
      </c>
      <c r="M4" s="127" t="s">
        <v>527</v>
      </c>
      <c r="N4" s="127"/>
      <c r="P4" s="107" t="s">
        <v>218</v>
      </c>
      <c r="Q4" s="108" t="s">
        <v>219</v>
      </c>
      <c r="R4" s="109" t="s">
        <v>1</v>
      </c>
      <c r="S4" s="107" t="s">
        <v>1</v>
      </c>
      <c r="T4" s="108" t="s">
        <v>218</v>
      </c>
      <c r="U4" s="109" t="s">
        <v>219</v>
      </c>
    </row>
    <row r="5" spans="2:24" ht="12" customHeight="1">
      <c r="B5" s="71" t="s">
        <v>5</v>
      </c>
      <c r="C5" s="93">
        <v>3500</v>
      </c>
      <c r="D5" s="94"/>
      <c r="E5" s="95">
        <v>0</v>
      </c>
      <c r="F5" s="72"/>
      <c r="G5" s="72"/>
      <c r="I5" s="10">
        <v>1052</v>
      </c>
      <c r="J5" s="16">
        <v>39877</v>
      </c>
      <c r="L5" s="10">
        <v>0</v>
      </c>
      <c r="M5" s="10"/>
      <c r="N5" s="16"/>
      <c r="P5" s="110" t="s">
        <v>567</v>
      </c>
      <c r="Q5" s="111">
        <f>1069.24*2.4</f>
        <v>2566.1759999999999</v>
      </c>
      <c r="R5" s="112"/>
      <c r="S5" s="139"/>
      <c r="T5" s="116" t="s">
        <v>567</v>
      </c>
      <c r="U5" s="142">
        <v>154.32</v>
      </c>
    </row>
    <row r="6" spans="2:24">
      <c r="B6" s="71" t="s">
        <v>140</v>
      </c>
      <c r="C6" s="91">
        <v>6460.78</v>
      </c>
      <c r="D6" s="94"/>
      <c r="E6" s="95">
        <v>0</v>
      </c>
      <c r="F6" s="72"/>
      <c r="G6" s="72"/>
      <c r="I6" s="10">
        <v>1076</v>
      </c>
      <c r="J6" s="16">
        <v>39882</v>
      </c>
      <c r="L6" s="10">
        <v>0</v>
      </c>
      <c r="M6" s="10"/>
      <c r="N6" s="16"/>
      <c r="P6" s="110"/>
      <c r="Q6" s="111"/>
      <c r="R6" s="112"/>
      <c r="S6" s="139"/>
      <c r="T6" s="116"/>
      <c r="U6" s="142"/>
    </row>
    <row r="7" spans="2:24">
      <c r="B7" s="99" t="s">
        <v>568</v>
      </c>
      <c r="C7" s="96">
        <v>-73</v>
      </c>
      <c r="D7" s="97"/>
      <c r="E7" s="63">
        <v>0</v>
      </c>
      <c r="F7" s="64">
        <v>39874</v>
      </c>
      <c r="G7" s="64" t="s">
        <v>58</v>
      </c>
      <c r="I7" s="10">
        <v>1200</v>
      </c>
      <c r="J7" s="16">
        <v>39889</v>
      </c>
      <c r="L7" s="10">
        <v>0</v>
      </c>
      <c r="M7" s="10"/>
      <c r="N7" s="16"/>
      <c r="P7" s="110"/>
      <c r="Q7" s="111"/>
      <c r="R7" s="133"/>
      <c r="S7" s="139"/>
      <c r="T7" s="116"/>
      <c r="U7" s="142"/>
    </row>
    <row r="8" spans="2:24">
      <c r="B8" s="99" t="s">
        <v>65</v>
      </c>
      <c r="C8" s="96">
        <v>-50</v>
      </c>
      <c r="D8" s="97"/>
      <c r="E8" s="63">
        <v>0</v>
      </c>
      <c r="F8" s="64" t="s">
        <v>207</v>
      </c>
      <c r="G8" s="64" t="s">
        <v>58</v>
      </c>
      <c r="I8" s="10"/>
      <c r="J8" s="16"/>
      <c r="L8" s="10">
        <v>0</v>
      </c>
      <c r="M8" s="10"/>
      <c r="N8" s="16"/>
      <c r="P8" s="110"/>
      <c r="Q8" s="111"/>
      <c r="R8" s="114"/>
      <c r="S8" s="139"/>
      <c r="T8" s="116"/>
      <c r="U8" s="142"/>
      <c r="X8" s="134"/>
    </row>
    <row r="9" spans="2:24">
      <c r="B9" s="99" t="s">
        <v>38</v>
      </c>
      <c r="C9" s="96">
        <v>-500.59</v>
      </c>
      <c r="D9" s="97"/>
      <c r="E9" s="63">
        <v>0</v>
      </c>
      <c r="F9" s="64">
        <v>39874</v>
      </c>
      <c r="G9" s="64" t="s">
        <v>58</v>
      </c>
      <c r="I9" s="10"/>
      <c r="J9" s="16"/>
      <c r="L9" s="10">
        <v>0</v>
      </c>
      <c r="M9" s="10"/>
      <c r="N9" s="16"/>
      <c r="P9" s="110"/>
      <c r="Q9" s="111"/>
      <c r="R9" s="114"/>
      <c r="S9" s="139"/>
      <c r="T9" s="116"/>
      <c r="U9" s="142"/>
    </row>
    <row r="10" spans="2:24">
      <c r="B10" s="99" t="s">
        <v>14</v>
      </c>
      <c r="C10" s="96">
        <v>-17.7</v>
      </c>
      <c r="D10" s="97"/>
      <c r="E10" s="63">
        <v>0</v>
      </c>
      <c r="F10" s="64">
        <v>39872</v>
      </c>
      <c r="G10" s="64" t="s">
        <v>58</v>
      </c>
      <c r="I10" s="10"/>
      <c r="J10" s="16"/>
      <c r="L10" s="10">
        <v>0</v>
      </c>
      <c r="M10" s="10"/>
      <c r="N10" s="16"/>
      <c r="P10" s="110"/>
      <c r="Q10" s="111"/>
      <c r="R10" s="114"/>
      <c r="S10" s="139"/>
      <c r="T10" s="116"/>
      <c r="U10" s="142"/>
      <c r="X10" s="134"/>
    </row>
    <row r="11" spans="2:24">
      <c r="B11" s="99" t="s">
        <v>93</v>
      </c>
      <c r="C11" s="96">
        <v>-1500</v>
      </c>
      <c r="D11" s="97"/>
      <c r="E11" s="63">
        <v>0</v>
      </c>
      <c r="F11" s="64">
        <v>39873</v>
      </c>
      <c r="G11" s="64" t="s">
        <v>58</v>
      </c>
      <c r="I11" s="10"/>
      <c r="J11" s="16"/>
      <c r="L11" s="10">
        <v>0</v>
      </c>
      <c r="M11" s="10"/>
      <c r="N11" s="16"/>
      <c r="P11" s="110"/>
      <c r="Q11" s="111"/>
      <c r="R11" s="114"/>
      <c r="S11" s="139"/>
      <c r="T11" s="116"/>
      <c r="U11" s="142"/>
    </row>
    <row r="12" spans="2:24">
      <c r="B12" s="99" t="s">
        <v>157</v>
      </c>
      <c r="C12" s="96">
        <v>-20</v>
      </c>
      <c r="D12" s="97"/>
      <c r="E12" s="63">
        <v>0</v>
      </c>
      <c r="F12" s="64">
        <v>39882</v>
      </c>
      <c r="G12" s="64" t="s">
        <v>58</v>
      </c>
      <c r="I12" s="10"/>
      <c r="J12" s="16"/>
      <c r="L12" s="10">
        <v>0</v>
      </c>
      <c r="M12" s="10"/>
      <c r="N12" s="16"/>
      <c r="P12" s="110"/>
      <c r="Q12" s="111"/>
      <c r="R12" s="114"/>
      <c r="S12" s="139"/>
      <c r="T12" s="116"/>
      <c r="U12" s="142"/>
      <c r="X12" s="134"/>
    </row>
    <row r="13" spans="2:24">
      <c r="B13" s="99" t="s">
        <v>102</v>
      </c>
      <c r="C13" s="96">
        <v>-2000</v>
      </c>
      <c r="D13" s="97"/>
      <c r="E13" s="63">
        <v>0</v>
      </c>
      <c r="F13" s="64">
        <v>39863</v>
      </c>
      <c r="G13" s="64" t="s">
        <v>58</v>
      </c>
      <c r="I13" s="10"/>
      <c r="J13" s="16"/>
      <c r="L13" s="10"/>
      <c r="M13" s="10"/>
      <c r="N13" s="16"/>
      <c r="P13" s="110"/>
      <c r="Q13" s="111"/>
      <c r="R13" s="114"/>
      <c r="S13" s="139"/>
      <c r="T13" s="116"/>
      <c r="U13" s="142"/>
    </row>
    <row r="14" spans="2:24">
      <c r="B14" s="99" t="s">
        <v>546</v>
      </c>
      <c r="C14" s="96">
        <f>-225-850/2</f>
        <v>-650</v>
      </c>
      <c r="D14" s="97"/>
      <c r="E14" s="63">
        <v>0</v>
      </c>
      <c r="F14" s="64">
        <v>39864</v>
      </c>
      <c r="G14" s="64" t="s">
        <v>58</v>
      </c>
      <c r="I14" s="10"/>
      <c r="J14" s="16"/>
      <c r="L14" s="144">
        <f>SUM(L3:L13)</f>
        <v>21675.41</v>
      </c>
      <c r="M14" s="144" t="s">
        <v>21</v>
      </c>
      <c r="N14" s="145"/>
      <c r="P14" s="110"/>
      <c r="Q14" s="111"/>
      <c r="R14" s="114"/>
      <c r="S14" s="139"/>
      <c r="T14" s="116"/>
      <c r="U14" s="142"/>
      <c r="X14" s="134"/>
    </row>
    <row r="15" spans="2:24">
      <c r="B15" s="99" t="s">
        <v>69</v>
      </c>
      <c r="C15" s="96">
        <v>-64</v>
      </c>
      <c r="D15" s="97"/>
      <c r="E15" s="63">
        <v>0</v>
      </c>
      <c r="F15" s="64">
        <v>39873</v>
      </c>
      <c r="G15" s="64" t="s">
        <v>58</v>
      </c>
      <c r="I15" s="10"/>
      <c r="J15" s="16"/>
      <c r="P15" s="110"/>
      <c r="Q15" s="111"/>
      <c r="R15" s="114"/>
      <c r="S15" s="139"/>
      <c r="T15" s="116"/>
      <c r="U15" s="142"/>
    </row>
    <row r="16" spans="2:24">
      <c r="B16" s="99" t="s">
        <v>103</v>
      </c>
      <c r="C16" s="96">
        <v>-3553</v>
      </c>
      <c r="D16" s="97"/>
      <c r="E16" s="63">
        <v>0</v>
      </c>
      <c r="F16" s="64">
        <v>39873</v>
      </c>
      <c r="G16" s="64" t="s">
        <v>58</v>
      </c>
      <c r="I16" s="10"/>
      <c r="J16" s="16"/>
      <c r="P16" s="110"/>
      <c r="Q16" s="111"/>
      <c r="R16" s="114"/>
      <c r="S16" s="139"/>
      <c r="T16" s="116"/>
      <c r="U16" s="142"/>
      <c r="X16" s="134"/>
    </row>
    <row r="17" spans="2:31" ht="15.75">
      <c r="B17" s="99" t="s">
        <v>96</v>
      </c>
      <c r="C17" s="96">
        <v>-205.07</v>
      </c>
      <c r="D17" s="97"/>
      <c r="E17" s="63">
        <v>0</v>
      </c>
      <c r="F17" s="64">
        <v>39876</v>
      </c>
      <c r="G17" s="64" t="s">
        <v>58</v>
      </c>
      <c r="I17" s="10"/>
      <c r="J17" s="16"/>
      <c r="L17" s="221" t="s">
        <v>42</v>
      </c>
      <c r="M17" s="221" t="s">
        <v>548</v>
      </c>
      <c r="N17" s="221" t="s">
        <v>1</v>
      </c>
      <c r="P17" s="110"/>
      <c r="Q17" s="111"/>
      <c r="R17" s="114"/>
      <c r="S17" s="139"/>
      <c r="T17" s="116"/>
      <c r="U17" s="142"/>
    </row>
    <row r="18" spans="2:31">
      <c r="B18" s="99" t="s">
        <v>29</v>
      </c>
      <c r="C18" s="96">
        <v>-262.01</v>
      </c>
      <c r="D18" s="97"/>
      <c r="E18" s="63">
        <v>0</v>
      </c>
      <c r="F18" s="64">
        <v>39879</v>
      </c>
      <c r="G18" s="64" t="s">
        <v>58</v>
      </c>
      <c r="H18" s="143"/>
      <c r="L18" s="10" t="s">
        <v>551</v>
      </c>
      <c r="M18" s="159">
        <v>0</v>
      </c>
      <c r="N18" s="16" t="s">
        <v>58</v>
      </c>
      <c r="P18" s="115"/>
      <c r="Q18" s="116"/>
      <c r="R18" s="117"/>
      <c r="S18" s="141"/>
      <c r="T18" s="116"/>
      <c r="U18" s="142"/>
      <c r="X18" s="134"/>
    </row>
    <row r="19" spans="2:31">
      <c r="B19" s="99" t="s">
        <v>41</v>
      </c>
      <c r="C19" s="96">
        <v>-65.05</v>
      </c>
      <c r="D19" s="97"/>
      <c r="E19" s="63">
        <v>0</v>
      </c>
      <c r="F19" s="64">
        <v>39882</v>
      </c>
      <c r="G19" s="64" t="s">
        <v>58</v>
      </c>
      <c r="L19" s="10" t="s">
        <v>553</v>
      </c>
      <c r="M19" s="159">
        <v>0</v>
      </c>
      <c r="N19" s="16"/>
      <c r="P19" s="115"/>
      <c r="Q19" s="116"/>
      <c r="R19" s="117"/>
      <c r="S19" s="141"/>
      <c r="T19" s="116"/>
      <c r="U19" s="140"/>
    </row>
    <row r="20" spans="2:31" ht="15.75">
      <c r="B20" s="99" t="s">
        <v>566</v>
      </c>
      <c r="C20" s="96">
        <v>-21</v>
      </c>
      <c r="D20" s="97"/>
      <c r="E20" s="63">
        <v>0</v>
      </c>
      <c r="F20" s="64">
        <v>39888</v>
      </c>
      <c r="G20" s="64" t="s">
        <v>58</v>
      </c>
      <c r="I20" s="221" t="s">
        <v>48</v>
      </c>
      <c r="J20" s="221" t="s">
        <v>1</v>
      </c>
      <c r="L20" s="10" t="s">
        <v>554</v>
      </c>
      <c r="M20" s="159">
        <v>0</v>
      </c>
      <c r="N20" s="16"/>
      <c r="P20" s="115"/>
      <c r="Q20" s="116"/>
      <c r="R20" s="117"/>
      <c r="S20" s="141"/>
      <c r="T20" s="158"/>
      <c r="U20" s="142"/>
      <c r="X20" s="134"/>
    </row>
    <row r="21" spans="2:31">
      <c r="B21" s="99" t="s">
        <v>77</v>
      </c>
      <c r="C21" s="96">
        <v>-245</v>
      </c>
      <c r="D21" s="97"/>
      <c r="E21" s="63">
        <v>0</v>
      </c>
      <c r="F21" s="64">
        <v>39864</v>
      </c>
      <c r="G21" s="64" t="s">
        <v>58</v>
      </c>
      <c r="I21" s="10">
        <v>16.11</v>
      </c>
      <c r="J21" s="16">
        <v>39874</v>
      </c>
      <c r="L21" s="10" t="s">
        <v>312</v>
      </c>
      <c r="M21" s="159">
        <v>0</v>
      </c>
      <c r="N21" s="16"/>
      <c r="P21" s="115"/>
      <c r="Q21" s="116"/>
      <c r="R21" s="117"/>
      <c r="S21" s="141"/>
      <c r="T21" s="116"/>
      <c r="U21" s="142"/>
    </row>
    <row r="22" spans="2:31">
      <c r="B22" s="99" t="s">
        <v>77</v>
      </c>
      <c r="C22" s="96">
        <v>-269.44</v>
      </c>
      <c r="D22" s="97"/>
      <c r="E22" s="63">
        <v>0</v>
      </c>
      <c r="F22" s="64">
        <v>39892</v>
      </c>
      <c r="G22" s="64" t="s">
        <v>58</v>
      </c>
      <c r="I22" s="10"/>
      <c r="J22" s="16"/>
      <c r="L22" s="10" t="s">
        <v>559</v>
      </c>
      <c r="M22" s="159">
        <v>0</v>
      </c>
      <c r="N22" s="16"/>
      <c r="P22" s="115"/>
      <c r="Q22" s="116"/>
      <c r="R22" s="117"/>
      <c r="S22" s="141"/>
      <c r="T22" s="116"/>
      <c r="U22" s="142"/>
      <c r="X22" s="134"/>
    </row>
    <row r="23" spans="2:31">
      <c r="B23" s="99" t="s">
        <v>451</v>
      </c>
      <c r="C23" s="96">
        <v>-22.17</v>
      </c>
      <c r="D23" s="97"/>
      <c r="E23" s="63">
        <v>0</v>
      </c>
      <c r="F23" s="64">
        <v>39531</v>
      </c>
      <c r="G23" s="64" t="s">
        <v>58</v>
      </c>
      <c r="I23" s="10"/>
      <c r="J23" s="16"/>
      <c r="L23" s="10" t="s">
        <v>561</v>
      </c>
      <c r="M23" s="159">
        <v>0</v>
      </c>
      <c r="N23" s="16"/>
      <c r="P23" s="115"/>
      <c r="Q23" s="116"/>
      <c r="R23" s="117"/>
      <c r="S23" s="115"/>
      <c r="T23" s="116"/>
      <c r="U23" s="142"/>
    </row>
    <row r="24" spans="2:31" ht="18">
      <c r="B24" s="74" t="s">
        <v>45</v>
      </c>
      <c r="C24" s="101"/>
      <c r="D24" s="98"/>
      <c r="E24" s="129">
        <f>SUM(E3:E23)</f>
        <v>-15.530000000000001</v>
      </c>
      <c r="F24" s="75"/>
      <c r="G24" s="75"/>
      <c r="I24" s="10"/>
      <c r="J24" s="16"/>
      <c r="L24" s="10" t="s">
        <v>563</v>
      </c>
      <c r="M24" s="159">
        <v>0</v>
      </c>
      <c r="N24" s="16"/>
      <c r="P24" s="115"/>
      <c r="Q24" s="116"/>
      <c r="R24" s="117"/>
      <c r="S24" s="115"/>
      <c r="T24" s="116"/>
      <c r="U24" s="142"/>
      <c r="X24" s="134"/>
    </row>
    <row r="25" spans="2:31">
      <c r="C25" s="1"/>
      <c r="D25" s="1"/>
      <c r="E25" s="1"/>
      <c r="I25" s="10"/>
      <c r="J25" s="16"/>
      <c r="L25" s="10" t="s">
        <v>565</v>
      </c>
      <c r="M25" s="159">
        <v>0</v>
      </c>
      <c r="N25" s="16"/>
      <c r="P25" s="115"/>
      <c r="Q25" s="116"/>
      <c r="R25" s="117"/>
      <c r="S25" s="115"/>
      <c r="T25" s="116"/>
      <c r="U25" s="142"/>
    </row>
    <row r="26" spans="2:31">
      <c r="I26" s="60">
        <f>SUM(I21:I25)</f>
        <v>16.11</v>
      </c>
      <c r="J26" s="160" t="s">
        <v>21</v>
      </c>
      <c r="K26" s="1"/>
      <c r="L26" s="10"/>
      <c r="M26" s="159"/>
      <c r="N26" s="16"/>
      <c r="P26" s="115"/>
      <c r="Q26" s="116"/>
      <c r="R26" s="117"/>
      <c r="S26" s="115"/>
      <c r="T26" s="116"/>
      <c r="U26" s="142"/>
      <c r="V26" s="146"/>
      <c r="Y26" s="149"/>
      <c r="Z26" s="146"/>
      <c r="AA26" s="147"/>
      <c r="AB26" s="148"/>
      <c r="AD26" s="150"/>
      <c r="AE26" s="151"/>
    </row>
    <row r="27" spans="2:31">
      <c r="I27" s="1"/>
      <c r="L27" s="10"/>
      <c r="M27" s="159"/>
      <c r="N27" s="16"/>
      <c r="P27" s="115"/>
      <c r="Q27" s="116"/>
      <c r="R27" s="117"/>
      <c r="S27" s="115"/>
      <c r="T27" s="116"/>
      <c r="U27" s="142"/>
      <c r="V27" s="153"/>
      <c r="W27" s="154"/>
      <c r="X27" s="134"/>
      <c r="Y27" s="152"/>
      <c r="Z27" s="153"/>
      <c r="AA27" s="154"/>
      <c r="AB27" s="134"/>
      <c r="AD27" s="155"/>
      <c r="AE27" s="156"/>
    </row>
    <row r="28" spans="2:31">
      <c r="I28" s="52"/>
      <c r="L28" s="10"/>
      <c r="M28" s="159"/>
      <c r="N28" s="16"/>
      <c r="P28" s="115"/>
      <c r="Q28" s="116"/>
      <c r="R28" s="117"/>
      <c r="S28" s="115"/>
      <c r="T28" s="116"/>
      <c r="U28" s="142"/>
      <c r="V28" s="146"/>
      <c r="W28" s="147"/>
      <c r="X28" s="148"/>
      <c r="Y28" s="149"/>
      <c r="Z28" s="146"/>
      <c r="AA28" s="147"/>
      <c r="AB28" s="148"/>
      <c r="AD28" s="150"/>
      <c r="AE28" s="151"/>
    </row>
    <row r="29" spans="2:31">
      <c r="L29" s="10"/>
      <c r="M29" s="159"/>
      <c r="N29" s="16"/>
      <c r="P29" s="119" t="s">
        <v>45</v>
      </c>
      <c r="Q29" s="120">
        <f>SUM(Q5:Q28)</f>
        <v>2566.1759999999999</v>
      </c>
      <c r="R29" s="121"/>
      <c r="S29" s="119" t="s">
        <v>45</v>
      </c>
      <c r="T29" s="135"/>
      <c r="U29" s="135">
        <f>SUM(U5:U28)</f>
        <v>154.32</v>
      </c>
      <c r="V29" s="146"/>
      <c r="W29" s="147"/>
      <c r="X29" s="148"/>
      <c r="Y29" s="149"/>
      <c r="Z29" s="146"/>
      <c r="AA29" s="147"/>
      <c r="AB29" s="148"/>
      <c r="AD29" s="150"/>
      <c r="AE29" s="151"/>
    </row>
    <row r="30" spans="2:31">
      <c r="L30" s="10"/>
      <c r="M30" s="159"/>
      <c r="N30" s="16"/>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19:31">
      <c r="S33" s="146"/>
      <c r="T33" s="147"/>
      <c r="U33" s="148"/>
      <c r="V33" s="146"/>
      <c r="W33" s="147"/>
      <c r="X33" s="148"/>
      <c r="Y33" s="149"/>
      <c r="Z33" s="146"/>
      <c r="AA33" s="147"/>
      <c r="AB33" s="148"/>
      <c r="AD33" s="150"/>
      <c r="AE33" s="151"/>
    </row>
    <row r="34" spans="19:31">
      <c r="S34" s="152"/>
      <c r="V34" s="153"/>
      <c r="W34" s="154"/>
      <c r="X34" s="134"/>
      <c r="Y34" s="152"/>
      <c r="Z34" s="153"/>
      <c r="AA34" s="154"/>
      <c r="AB34" s="134"/>
      <c r="AD34" s="155"/>
      <c r="AE34" s="156"/>
    </row>
    <row r="35" spans="19:31">
      <c r="S35" s="149"/>
      <c r="T35" s="157"/>
      <c r="U35" s="157"/>
      <c r="V35" s="153"/>
      <c r="W35" s="154"/>
      <c r="X35" s="134"/>
      <c r="Y35" s="152"/>
      <c r="Z35" s="153"/>
      <c r="AA35" s="154"/>
      <c r="AB35" s="134"/>
      <c r="AD35" s="155"/>
      <c r="AE35" s="156"/>
    </row>
    <row r="36" spans="19:31">
      <c r="S36" s="149"/>
      <c r="T36" s="157"/>
      <c r="U36" s="157"/>
    </row>
    <row r="37" spans="19:31">
      <c r="S37" s="152"/>
    </row>
    <row r="38" spans="19:31">
      <c r="S38" s="149"/>
      <c r="T38" s="157"/>
      <c r="U38" s="157"/>
    </row>
    <row r="39" spans="19:31">
      <c r="S39" s="152"/>
    </row>
    <row r="40" spans="19:31">
      <c r="S40" s="149"/>
      <c r="T40" s="157"/>
      <c r="U40" s="157"/>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39.xml><?xml version="1.0" encoding="utf-8"?>
<worksheet xmlns="http://schemas.openxmlformats.org/spreadsheetml/2006/main" xmlns:r="http://schemas.openxmlformats.org/officeDocument/2006/relationships">
  <sheetPr>
    <pageSetUpPr autoPageBreaks="0"/>
  </sheetPr>
  <dimension ref="B1:AE32"/>
  <sheetViews>
    <sheetView showGridLines="0" zoomScale="75" zoomScaleNormal="75" zoomScalePageLayoutView="75" workbookViewId="0">
      <selection activeCell="E6" activeCellId="1" sqref="G13 E6"/>
    </sheetView>
  </sheetViews>
  <sheetFormatPr defaultColWidth="8.85546875" defaultRowHeight="12.75"/>
  <cols>
    <col min="1" max="1" width="2" customWidth="1"/>
    <col min="2" max="2" width="28.140625" customWidth="1"/>
    <col min="3" max="3" width="21.42578125" customWidth="1"/>
    <col min="4" max="4" width="1.7109375" customWidth="1"/>
    <col min="5" max="5" width="19.42578125" customWidth="1"/>
    <col min="6" max="6" width="11.42578125" customWidth="1"/>
    <col min="7" max="7" width="10" customWidth="1"/>
    <col min="8" max="8" width="1" customWidth="1"/>
    <col min="9" max="9" width="15.42578125" customWidth="1"/>
    <col min="10" max="10" width="11.42578125" customWidth="1"/>
    <col min="11" max="11" width="1.42578125" customWidth="1"/>
    <col min="12" max="12" width="24.7109375" customWidth="1"/>
    <col min="13" max="13" width="23.42578125" customWidth="1"/>
    <col min="14" max="14" width="12.140625" customWidth="1"/>
    <col min="15" max="15" width="1.42578125" customWidth="1"/>
    <col min="16" max="16" width="14.28515625" customWidth="1"/>
    <col min="17" max="17" width="12.28515625" customWidth="1"/>
    <col min="18" max="18" width="7.28515625" customWidth="1"/>
    <col min="19" max="19" width="7.7109375" customWidth="1"/>
    <col min="20" max="20" width="43.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-207.33</v>
      </c>
      <c r="F3" s="61"/>
      <c r="G3" s="61"/>
      <c r="I3" s="10">
        <v>1252</v>
      </c>
      <c r="J3" s="16">
        <v>39902</v>
      </c>
      <c r="L3" s="10">
        <v>19763.41</v>
      </c>
      <c r="M3" s="10" t="s">
        <v>409</v>
      </c>
      <c r="N3" s="16"/>
      <c r="P3" s="581" t="s">
        <v>216</v>
      </c>
      <c r="Q3" s="581"/>
      <c r="R3" s="581"/>
      <c r="S3" s="582" t="s">
        <v>217</v>
      </c>
      <c r="T3" s="582"/>
      <c r="U3" s="582"/>
    </row>
    <row r="4" spans="2:24" ht="12" customHeight="1">
      <c r="B4" s="71" t="s">
        <v>56</v>
      </c>
      <c r="C4" s="91">
        <v>0</v>
      </c>
      <c r="D4" s="92"/>
      <c r="E4" s="95">
        <v>-144.35</v>
      </c>
      <c r="F4" s="72"/>
      <c r="G4" s="72"/>
      <c r="I4" s="10"/>
      <c r="J4" s="16"/>
      <c r="L4" s="10">
        <v>0</v>
      </c>
      <c r="M4" s="10"/>
      <c r="N4" s="16"/>
      <c r="P4" s="107" t="s">
        <v>218</v>
      </c>
      <c r="Q4" s="108" t="s">
        <v>219</v>
      </c>
      <c r="R4" s="109" t="s">
        <v>1</v>
      </c>
      <c r="S4" s="107" t="s">
        <v>1</v>
      </c>
      <c r="T4" s="108" t="s">
        <v>218</v>
      </c>
      <c r="U4" s="109" t="s">
        <v>219</v>
      </c>
    </row>
    <row r="5" spans="2:24" ht="12" customHeight="1">
      <c r="B5" s="99" t="s">
        <v>65</v>
      </c>
      <c r="C5" s="96">
        <v>0</v>
      </c>
      <c r="D5" s="97"/>
      <c r="E5" s="63">
        <f>C5</f>
        <v>0</v>
      </c>
      <c r="F5" s="64" t="s">
        <v>207</v>
      </c>
      <c r="G5" s="64"/>
      <c r="I5" s="10"/>
      <c r="J5" s="16"/>
      <c r="L5" s="10">
        <v>0</v>
      </c>
      <c r="M5" s="10"/>
      <c r="N5" s="16"/>
      <c r="P5" s="110" t="s">
        <v>569</v>
      </c>
      <c r="Q5" s="111">
        <f>56.39*2.5</f>
        <v>140.97499999999999</v>
      </c>
      <c r="R5" s="112"/>
      <c r="S5" s="139"/>
      <c r="T5" s="116"/>
      <c r="U5" s="142"/>
    </row>
    <row r="6" spans="2:24">
      <c r="B6" s="99" t="s">
        <v>38</v>
      </c>
      <c r="C6" s="96">
        <v>-500.59</v>
      </c>
      <c r="D6" s="97"/>
      <c r="E6" s="63">
        <v>0</v>
      </c>
      <c r="F6" s="64">
        <v>39905</v>
      </c>
      <c r="G6" s="64" t="s">
        <v>58</v>
      </c>
      <c r="I6" s="10"/>
      <c r="J6" s="16"/>
      <c r="L6" s="10">
        <v>0</v>
      </c>
      <c r="M6" s="10"/>
      <c r="N6" s="16"/>
      <c r="P6" s="110" t="s">
        <v>570</v>
      </c>
      <c r="Q6" s="111">
        <f>75.34*2.5</f>
        <v>188.35000000000002</v>
      </c>
      <c r="R6" s="112"/>
      <c r="S6" s="139"/>
      <c r="T6" s="116"/>
      <c r="U6" s="142"/>
    </row>
    <row r="7" spans="2:24">
      <c r="B7" s="99" t="s">
        <v>14</v>
      </c>
      <c r="C7" s="96">
        <v>-16.440000000000001</v>
      </c>
      <c r="D7" s="97"/>
      <c r="E7" s="63">
        <v>0</v>
      </c>
      <c r="F7" s="64">
        <v>39898</v>
      </c>
      <c r="G7" s="64" t="s">
        <v>58</v>
      </c>
      <c r="I7" s="10"/>
      <c r="J7" s="16"/>
      <c r="L7" s="10">
        <v>0</v>
      </c>
      <c r="M7" s="10"/>
      <c r="N7" s="16"/>
      <c r="P7" s="110" t="s">
        <v>571</v>
      </c>
      <c r="Q7" s="111">
        <f>30.21*2.5</f>
        <v>75.525000000000006</v>
      </c>
      <c r="R7" s="133"/>
      <c r="S7" s="139"/>
      <c r="T7" s="116"/>
      <c r="U7" s="142"/>
    </row>
    <row r="8" spans="2:24">
      <c r="B8" s="99" t="s">
        <v>93</v>
      </c>
      <c r="C8" s="96">
        <v>-2428.54</v>
      </c>
      <c r="D8" s="97"/>
      <c r="E8" s="63">
        <v>0</v>
      </c>
      <c r="F8" s="64">
        <v>39904</v>
      </c>
      <c r="G8" s="64" t="s">
        <v>58</v>
      </c>
      <c r="I8" s="10"/>
      <c r="J8" s="16"/>
      <c r="L8" s="10">
        <v>0</v>
      </c>
      <c r="M8" s="10"/>
      <c r="N8" s="16"/>
      <c r="P8" s="110"/>
      <c r="Q8" s="111"/>
      <c r="R8" s="114"/>
      <c r="S8" s="139"/>
      <c r="T8" s="116"/>
      <c r="U8" s="142"/>
      <c r="X8" s="134"/>
    </row>
    <row r="9" spans="2:24">
      <c r="B9" s="99" t="s">
        <v>157</v>
      </c>
      <c r="C9" s="96">
        <v>0</v>
      </c>
      <c r="D9" s="97"/>
      <c r="E9" s="63">
        <f>C9</f>
        <v>0</v>
      </c>
      <c r="F9" s="64">
        <v>39913</v>
      </c>
      <c r="G9" s="64"/>
      <c r="L9" s="10">
        <v>0</v>
      </c>
      <c r="M9" s="10"/>
      <c r="N9" s="16"/>
      <c r="P9" s="110"/>
      <c r="Q9" s="111"/>
      <c r="R9" s="114"/>
      <c r="S9" s="139"/>
      <c r="T9" s="116"/>
      <c r="U9" s="142"/>
    </row>
    <row r="10" spans="2:24">
      <c r="B10" s="99" t="s">
        <v>103</v>
      </c>
      <c r="C10" s="96">
        <v>-179.81</v>
      </c>
      <c r="D10" s="97"/>
      <c r="E10" s="63">
        <v>0</v>
      </c>
      <c r="F10" s="64">
        <v>39904</v>
      </c>
      <c r="G10" s="64" t="s">
        <v>58</v>
      </c>
      <c r="L10" s="10">
        <v>0</v>
      </c>
      <c r="M10" s="10"/>
      <c r="N10" s="16"/>
      <c r="P10" s="110"/>
      <c r="Q10" s="111"/>
      <c r="R10" s="114"/>
      <c r="S10" s="139"/>
      <c r="T10" s="116"/>
      <c r="U10" s="142"/>
      <c r="X10" s="134"/>
    </row>
    <row r="11" spans="2:24" ht="15.75">
      <c r="B11" s="99" t="s">
        <v>96</v>
      </c>
      <c r="C11" s="96">
        <v>-59.9</v>
      </c>
      <c r="D11" s="97"/>
      <c r="E11" s="63">
        <v>0</v>
      </c>
      <c r="F11" s="64">
        <v>39907</v>
      </c>
      <c r="G11" s="64"/>
      <c r="I11" s="221" t="s">
        <v>48</v>
      </c>
      <c r="J11" s="221" t="s">
        <v>1</v>
      </c>
      <c r="L11" s="10">
        <v>0</v>
      </c>
      <c r="M11" s="10"/>
      <c r="N11" s="16"/>
      <c r="P11" s="110"/>
      <c r="Q11" s="111"/>
      <c r="R11" s="114"/>
      <c r="S11" s="139"/>
      <c r="T11" s="116"/>
      <c r="U11" s="142"/>
    </row>
    <row r="12" spans="2:24">
      <c r="B12" s="99" t="s">
        <v>29</v>
      </c>
      <c r="C12" s="96">
        <v>-262.01</v>
      </c>
      <c r="D12" s="97"/>
      <c r="E12" s="63">
        <v>0</v>
      </c>
      <c r="F12" s="64">
        <v>39910</v>
      </c>
      <c r="G12" s="64" t="s">
        <v>58</v>
      </c>
      <c r="I12" s="10">
        <v>-55.39</v>
      </c>
      <c r="J12" s="16">
        <v>39874</v>
      </c>
      <c r="L12" s="10">
        <v>0</v>
      </c>
      <c r="M12" s="10"/>
      <c r="N12" s="16"/>
      <c r="P12" s="110"/>
      <c r="Q12" s="111"/>
      <c r="R12" s="114"/>
      <c r="S12" s="139"/>
      <c r="T12" s="116"/>
      <c r="U12" s="142"/>
      <c r="X12" s="134"/>
    </row>
    <row r="13" spans="2:24">
      <c r="B13" s="99" t="s">
        <v>41</v>
      </c>
      <c r="C13" s="96">
        <v>-17.670000000000002</v>
      </c>
      <c r="D13" s="97"/>
      <c r="E13" s="63">
        <v>0</v>
      </c>
      <c r="F13" s="64">
        <v>39913</v>
      </c>
      <c r="G13" s="64" t="s">
        <v>58</v>
      </c>
      <c r="I13" s="10"/>
      <c r="J13" s="16"/>
      <c r="L13" s="144">
        <f>SUM(L3:L12)</f>
        <v>19763.41</v>
      </c>
      <c r="M13" s="144" t="s">
        <v>21</v>
      </c>
      <c r="N13" s="145"/>
      <c r="P13" s="110"/>
      <c r="Q13" s="111"/>
      <c r="R13" s="114"/>
      <c r="S13" s="139"/>
      <c r="T13" s="116"/>
      <c r="U13" s="142"/>
    </row>
    <row r="14" spans="2:24">
      <c r="B14" s="99" t="s">
        <v>566</v>
      </c>
      <c r="C14" s="96">
        <v>-21</v>
      </c>
      <c r="D14" s="97"/>
      <c r="E14" s="63">
        <v>0</v>
      </c>
      <c r="F14" s="64">
        <v>39910</v>
      </c>
      <c r="G14" s="64" t="s">
        <v>58</v>
      </c>
      <c r="I14" s="10"/>
      <c r="J14" s="16"/>
      <c r="P14" s="110"/>
      <c r="Q14" s="111"/>
      <c r="R14" s="114"/>
      <c r="S14" s="139"/>
      <c r="T14" s="116"/>
      <c r="U14" s="142"/>
      <c r="X14" s="134"/>
    </row>
    <row r="15" spans="2:24">
      <c r="B15" s="99" t="s">
        <v>572</v>
      </c>
      <c r="C15" s="96">
        <f>-191.54*80%</f>
        <v>-153.232</v>
      </c>
      <c r="D15" s="97"/>
      <c r="E15" s="63">
        <v>0</v>
      </c>
      <c r="F15" s="64">
        <v>39912</v>
      </c>
      <c r="G15" s="64" t="s">
        <v>58</v>
      </c>
      <c r="I15" s="10"/>
      <c r="J15" s="16"/>
      <c r="P15" s="110"/>
      <c r="Q15" s="111"/>
      <c r="R15" s="114"/>
      <c r="S15" s="139"/>
      <c r="T15" s="116"/>
      <c r="U15" s="142"/>
    </row>
    <row r="16" spans="2:24">
      <c r="B16" s="99" t="s">
        <v>573</v>
      </c>
      <c r="C16" s="96">
        <f>-191.54+38.31</f>
        <v>-153.22999999999999</v>
      </c>
      <c r="D16" s="97"/>
      <c r="E16" s="63">
        <v>0</v>
      </c>
      <c r="F16" s="64">
        <v>39925</v>
      </c>
      <c r="G16" s="64" t="s">
        <v>58</v>
      </c>
      <c r="I16" s="10"/>
      <c r="J16" s="16"/>
      <c r="P16" s="110"/>
      <c r="Q16" s="111"/>
      <c r="R16" s="114"/>
      <c r="S16" s="139"/>
      <c r="T16" s="116"/>
      <c r="U16" s="142"/>
      <c r="X16" s="134"/>
    </row>
    <row r="17" spans="2:31">
      <c r="B17" s="99" t="s">
        <v>574</v>
      </c>
      <c r="C17" s="96">
        <v>-130</v>
      </c>
      <c r="D17" s="97"/>
      <c r="E17" s="63">
        <v>0</v>
      </c>
      <c r="F17" s="64">
        <v>39913</v>
      </c>
      <c r="G17" s="64"/>
      <c r="I17" s="60">
        <f>SUM(I12:I16)</f>
        <v>-55.39</v>
      </c>
      <c r="J17" s="160" t="s">
        <v>21</v>
      </c>
      <c r="P17" s="119" t="s">
        <v>45</v>
      </c>
      <c r="Q17" s="120">
        <f>SUM(Q5:Q16)</f>
        <v>404.85</v>
      </c>
      <c r="R17" s="121"/>
      <c r="S17" s="119" t="s">
        <v>45</v>
      </c>
      <c r="T17" s="135"/>
      <c r="U17" s="135">
        <f>SUM(U5:U16)</f>
        <v>0</v>
      </c>
    </row>
    <row r="18" spans="2:31">
      <c r="B18" s="99" t="s">
        <v>575</v>
      </c>
      <c r="C18" s="96">
        <v>-50</v>
      </c>
      <c r="D18" s="97"/>
      <c r="E18" s="63">
        <v>0</v>
      </c>
      <c r="F18" s="64">
        <v>39913</v>
      </c>
      <c r="G18" s="64"/>
      <c r="H18" s="143"/>
      <c r="I18" s="1"/>
      <c r="X18" s="134"/>
    </row>
    <row r="19" spans="2:31">
      <c r="B19" s="99" t="s">
        <v>576</v>
      </c>
      <c r="C19" s="96">
        <v>-16.440000000000001</v>
      </c>
      <c r="D19" s="97"/>
      <c r="E19" s="63">
        <v>0</v>
      </c>
      <c r="F19" s="64" t="s">
        <v>577</v>
      </c>
      <c r="G19" s="64"/>
      <c r="I19" s="52"/>
    </row>
    <row r="20" spans="2:31">
      <c r="B20" s="99" t="s">
        <v>578</v>
      </c>
      <c r="C20" s="96">
        <v>-50</v>
      </c>
      <c r="D20" s="97"/>
      <c r="E20" s="63">
        <v>0</v>
      </c>
      <c r="F20" s="64">
        <v>39910</v>
      </c>
      <c r="G20" s="64"/>
      <c r="S20" s="146"/>
      <c r="T20" s="147"/>
      <c r="U20" s="148"/>
    </row>
    <row r="21" spans="2:31">
      <c r="B21" s="99" t="s">
        <v>77</v>
      </c>
      <c r="C21" s="96">
        <v>-171.31</v>
      </c>
      <c r="D21" s="97"/>
      <c r="E21" s="63">
        <v>0</v>
      </c>
      <c r="F21" s="64">
        <v>39923</v>
      </c>
      <c r="G21" s="64"/>
      <c r="S21" s="152"/>
      <c r="X21" s="134"/>
    </row>
    <row r="22" spans="2:31" ht="18">
      <c r="B22" s="74" t="s">
        <v>45</v>
      </c>
      <c r="C22" s="101"/>
      <c r="D22" s="98"/>
      <c r="E22" s="129">
        <f>SUM(E3:E21)</f>
        <v>-351.68</v>
      </c>
      <c r="F22" s="75"/>
      <c r="G22" s="75"/>
      <c r="S22" s="149"/>
      <c r="T22" s="157"/>
      <c r="U22" s="157"/>
    </row>
    <row r="23" spans="2:31">
      <c r="C23" s="1"/>
      <c r="D23" s="1"/>
      <c r="E23" s="1"/>
      <c r="S23" s="149"/>
      <c r="T23" s="157"/>
      <c r="U23" s="157"/>
      <c r="X23" s="134"/>
    </row>
    <row r="24" spans="2:31">
      <c r="S24" s="152"/>
    </row>
    <row r="25" spans="2:31">
      <c r="K25" s="1"/>
      <c r="S25" s="149"/>
      <c r="T25" s="157"/>
      <c r="U25" s="157"/>
      <c r="V25" s="146"/>
      <c r="Y25" s="149"/>
      <c r="Z25" s="146"/>
      <c r="AA25" s="147"/>
      <c r="AB25" s="148"/>
      <c r="AD25" s="150"/>
      <c r="AE25" s="151"/>
    </row>
    <row r="26" spans="2:31">
      <c r="S26" s="152"/>
      <c r="V26" s="153"/>
      <c r="W26" s="154"/>
      <c r="X26" s="134"/>
      <c r="Y26" s="152"/>
      <c r="Z26" s="153"/>
      <c r="AA26" s="154"/>
      <c r="AB26" s="134"/>
      <c r="AD26" s="155"/>
      <c r="AE26" s="156"/>
    </row>
    <row r="27" spans="2:31">
      <c r="S27" s="149"/>
      <c r="T27" s="157"/>
      <c r="U27" s="157"/>
      <c r="V27" s="146"/>
      <c r="W27" s="147"/>
      <c r="X27" s="148"/>
      <c r="Y27" s="149"/>
      <c r="Z27" s="146"/>
      <c r="AA27" s="147"/>
      <c r="AB27" s="148"/>
      <c r="AD27" s="150"/>
      <c r="AE27" s="151"/>
    </row>
    <row r="28" spans="2:31">
      <c r="S28" s="152"/>
      <c r="V28" s="146"/>
      <c r="W28" s="147"/>
      <c r="X28" s="148"/>
      <c r="Y28" s="149"/>
      <c r="Z28" s="146"/>
      <c r="AA28" s="147"/>
      <c r="AB28" s="148"/>
      <c r="AD28" s="150"/>
      <c r="AE28" s="151"/>
    </row>
    <row r="29" spans="2:31">
      <c r="S29" s="152"/>
      <c r="V29" s="153"/>
      <c r="W29" s="154"/>
      <c r="X29" s="134"/>
      <c r="Y29" s="152"/>
      <c r="Z29" s="153"/>
      <c r="AA29" s="154"/>
      <c r="AB29" s="134"/>
      <c r="AD29" s="155"/>
      <c r="AE29" s="156"/>
    </row>
    <row r="30" spans="2:31">
      <c r="V30" s="146"/>
      <c r="W30" s="147"/>
      <c r="X30" s="148"/>
      <c r="Y30" s="149"/>
      <c r="Z30" s="146"/>
      <c r="AA30" s="147"/>
      <c r="AB30" s="148"/>
      <c r="AD30" s="150"/>
      <c r="AE30" s="151"/>
    </row>
    <row r="31" spans="2:31">
      <c r="H31" s="89"/>
      <c r="V31" s="153"/>
      <c r="W31" s="154"/>
      <c r="X31" s="134"/>
      <c r="Y31" s="152"/>
      <c r="Z31" s="153"/>
      <c r="AA31" s="154"/>
      <c r="AB31" s="134"/>
      <c r="AD31" s="155"/>
      <c r="AE31" s="156"/>
    </row>
    <row r="32" spans="2:31">
      <c r="V32" s="146"/>
      <c r="W32" s="147"/>
      <c r="X32" s="148"/>
      <c r="Y32" s="149"/>
      <c r="Z32" s="146"/>
      <c r="AA32" s="147"/>
      <c r="AB32" s="148"/>
      <c r="AD32" s="150"/>
      <c r="AE32" s="151"/>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sheetPr>
    <pageSetUpPr autoPageBreaks="0"/>
  </sheetPr>
  <dimension ref="A2:I20"/>
  <sheetViews>
    <sheetView showGridLines="0" workbookViewId="0">
      <selection activeCell="C33" activeCellId="1" sqref="G13 C33"/>
    </sheetView>
  </sheetViews>
  <sheetFormatPr defaultColWidth="8.85546875" defaultRowHeight="12.75"/>
  <cols>
    <col min="1" max="1" width="1" customWidth="1"/>
    <col min="2" max="2" width="19.42578125" customWidth="1"/>
    <col min="3" max="3" width="16.7109375" style="1" customWidth="1"/>
    <col min="4" max="5" width="10.28515625" style="32" customWidth="1"/>
    <col min="6" max="6" width="3" customWidth="1"/>
    <col min="7" max="7" width="12.42578125" customWidth="1"/>
    <col min="8" max="8" width="14.42578125" customWidth="1"/>
    <col min="9" max="9" width="2.140625" customWidth="1"/>
  </cols>
  <sheetData>
    <row r="2" spans="1:9" ht="18">
      <c r="B2" s="575" t="s">
        <v>0</v>
      </c>
      <c r="C2" s="575"/>
      <c r="D2" s="33" t="s">
        <v>1</v>
      </c>
      <c r="E2" s="33" t="s">
        <v>57</v>
      </c>
    </row>
    <row r="3" spans="1:9">
      <c r="B3" s="34" t="s">
        <v>48</v>
      </c>
      <c r="C3" s="34">
        <v>4461.33</v>
      </c>
      <c r="D3" s="35"/>
      <c r="E3" s="35"/>
      <c r="G3" s="8" t="s">
        <v>15</v>
      </c>
      <c r="H3" s="1">
        <v>300</v>
      </c>
    </row>
    <row r="4" spans="1:9">
      <c r="B4" s="15" t="s">
        <v>7</v>
      </c>
      <c r="C4" s="15">
        <v>-2.09</v>
      </c>
      <c r="D4" s="41"/>
      <c r="E4" s="41"/>
      <c r="G4" s="8" t="s">
        <v>18</v>
      </c>
      <c r="H4" s="1">
        <v>50</v>
      </c>
    </row>
    <row r="5" spans="1:9">
      <c r="B5" s="45" t="s">
        <v>11</v>
      </c>
      <c r="C5" s="45">
        <v>6.11</v>
      </c>
      <c r="D5" s="46"/>
      <c r="E5" s="46"/>
      <c r="G5" s="8" t="s">
        <v>20</v>
      </c>
      <c r="H5" s="1">
        <v>15</v>
      </c>
    </row>
    <row r="6" spans="1:9">
      <c r="B6" s="47" t="s">
        <v>27</v>
      </c>
      <c r="C6" s="47">
        <v>0</v>
      </c>
      <c r="D6" s="48"/>
      <c r="E6" s="49" t="s">
        <v>58</v>
      </c>
      <c r="G6" s="8" t="s">
        <v>22</v>
      </c>
      <c r="H6" s="1">
        <f>27</f>
        <v>27</v>
      </c>
    </row>
    <row r="7" spans="1:9">
      <c r="A7" s="8"/>
      <c r="B7" s="15" t="s">
        <v>52</v>
      </c>
      <c r="C7" s="15">
        <v>-99.99</v>
      </c>
      <c r="D7" s="37"/>
      <c r="E7" s="37"/>
      <c r="G7" s="8" t="s">
        <v>24</v>
      </c>
      <c r="H7" s="1">
        <v>60</v>
      </c>
    </row>
    <row r="8" spans="1:9" s="8" customFormat="1">
      <c r="B8" s="15" t="s">
        <v>39</v>
      </c>
      <c r="C8" s="15">
        <v>-1500</v>
      </c>
      <c r="D8" s="37"/>
      <c r="E8" s="37"/>
      <c r="G8" s="8" t="s">
        <v>25</v>
      </c>
      <c r="H8" s="1">
        <f>(50-35.7)*2</f>
        <v>28.599999999999994</v>
      </c>
      <c r="I8"/>
    </row>
    <row r="9" spans="1:9" s="8" customFormat="1">
      <c r="B9" s="47" t="s">
        <v>28</v>
      </c>
      <c r="C9" s="47">
        <v>0</v>
      </c>
      <c r="D9" s="48">
        <v>38873</v>
      </c>
      <c r="E9" s="49" t="s">
        <v>58</v>
      </c>
      <c r="G9" s="25">
        <v>0.1</v>
      </c>
      <c r="H9" s="1">
        <f>SUM(H3:H8)*10%</f>
        <v>48.06</v>
      </c>
      <c r="I9"/>
    </row>
    <row r="10" spans="1:9" s="8" customFormat="1">
      <c r="B10" s="47" t="s">
        <v>29</v>
      </c>
      <c r="C10" s="47">
        <v>0</v>
      </c>
      <c r="D10" s="48">
        <v>38875</v>
      </c>
      <c r="E10" s="49" t="s">
        <v>58</v>
      </c>
      <c r="F10"/>
      <c r="G10" s="25"/>
      <c r="H10" s="1"/>
      <c r="I10"/>
    </row>
    <row r="11" spans="1:9" s="8" customFormat="1">
      <c r="B11" s="47" t="s">
        <v>32</v>
      </c>
      <c r="C11" s="47">
        <v>0</v>
      </c>
      <c r="D11" s="48">
        <v>38875</v>
      </c>
      <c r="E11" s="49" t="s">
        <v>58</v>
      </c>
      <c r="G11" s="574" t="s">
        <v>30</v>
      </c>
      <c r="H11" s="574"/>
      <c r="I11"/>
    </row>
    <row r="12" spans="1:9" s="8" customFormat="1">
      <c r="B12" s="15" t="s">
        <v>54</v>
      </c>
      <c r="C12" s="15">
        <v>-95.97</v>
      </c>
      <c r="D12" s="37">
        <v>38871</v>
      </c>
      <c r="E12" s="37"/>
      <c r="G12" s="9" t="s">
        <v>36</v>
      </c>
      <c r="H12" s="26">
        <v>0</v>
      </c>
      <c r="I12"/>
    </row>
    <row r="13" spans="1:9" s="8" customFormat="1">
      <c r="B13" s="15" t="s">
        <v>55</v>
      </c>
      <c r="C13" s="15">
        <v>-88.94</v>
      </c>
      <c r="D13" s="37">
        <v>38880</v>
      </c>
      <c r="E13" s="37"/>
      <c r="G13" s="9" t="s">
        <v>39</v>
      </c>
      <c r="H13" s="26">
        <v>-1500</v>
      </c>
      <c r="I13"/>
    </row>
    <row r="14" spans="1:9" s="8" customFormat="1">
      <c r="B14" s="15" t="s">
        <v>44</v>
      </c>
      <c r="C14" s="15">
        <v>-78</v>
      </c>
      <c r="D14" s="37">
        <v>38880</v>
      </c>
      <c r="E14" s="37"/>
      <c r="G14" s="9" t="s">
        <v>42</v>
      </c>
      <c r="H14" s="26">
        <f>-275*2</f>
        <v>-550</v>
      </c>
      <c r="I14"/>
    </row>
    <row r="15" spans="1:9" s="8" customFormat="1">
      <c r="B15" s="34" t="s">
        <v>9</v>
      </c>
      <c r="C15" s="34">
        <v>95.97</v>
      </c>
      <c r="D15" s="40"/>
      <c r="E15" s="40"/>
      <c r="G15" s="27" t="s">
        <v>21</v>
      </c>
      <c r="H15" s="28">
        <f>SUM(H12:H14)</f>
        <v>-2050</v>
      </c>
      <c r="I15"/>
    </row>
    <row r="16" spans="1:9" s="8" customFormat="1">
      <c r="B16" s="34" t="s">
        <v>56</v>
      </c>
      <c r="C16" s="34">
        <v>3100</v>
      </c>
      <c r="D16" s="41"/>
      <c r="E16" s="41"/>
      <c r="G16"/>
      <c r="I16"/>
    </row>
    <row r="17" spans="1:9" s="8" customFormat="1" ht="15.75">
      <c r="B17" s="42" t="s">
        <v>45</v>
      </c>
      <c r="C17" s="43">
        <f>SUM(C3:C16)</f>
        <v>5798.42</v>
      </c>
      <c r="D17" s="44"/>
      <c r="E17" s="44"/>
      <c r="G17"/>
      <c r="H17"/>
      <c r="I17"/>
    </row>
    <row r="18" spans="1:9" s="8" customFormat="1">
      <c r="B18" s="50" t="s">
        <v>42</v>
      </c>
      <c r="C18" s="15">
        <v>-275</v>
      </c>
      <c r="D18" s="37">
        <v>38883</v>
      </c>
      <c r="E18" s="51"/>
      <c r="G18"/>
      <c r="H18"/>
    </row>
    <row r="19" spans="1:9" s="8" customFormat="1">
      <c r="B19" s="50" t="s">
        <v>14</v>
      </c>
      <c r="C19" s="15">
        <v>-20</v>
      </c>
      <c r="D19" s="51"/>
      <c r="E19" s="51"/>
      <c r="G19" s="32"/>
      <c r="H19"/>
    </row>
    <row r="20" spans="1:9" s="8" customFormat="1" ht="15.75">
      <c r="A20"/>
      <c r="B20" s="42" t="s">
        <v>45</v>
      </c>
      <c r="C20" s="43">
        <f>SUM(C17:C19)</f>
        <v>5503.42</v>
      </c>
      <c r="D20" s="44"/>
      <c r="E20" s="44"/>
      <c r="G20" s="32"/>
      <c r="H20"/>
      <c r="I20"/>
    </row>
  </sheetData>
  <sheetProtection selectLockedCells="1" selectUnlockedCells="1"/>
  <mergeCells count="2">
    <mergeCell ref="B2:C2"/>
    <mergeCell ref="G11:H11"/>
  </mergeCells>
  <pageMargins left="0.75" right="0.75" top="1" bottom="1" header="0.51180555555555551" footer="0.51180555555555551"/>
  <pageSetup firstPageNumber="0" orientation="portrait" horizontalDpi="300" verticalDpi="300"/>
  <headerFooter alignWithMargins="0"/>
</worksheet>
</file>

<file path=xl/worksheets/sheet40.xml><?xml version="1.0" encoding="utf-8"?>
<worksheet xmlns="http://schemas.openxmlformats.org/spreadsheetml/2006/main" xmlns:r="http://schemas.openxmlformats.org/officeDocument/2006/relationships">
  <sheetPr>
    <pageSetUpPr autoPageBreaks="0"/>
  </sheetPr>
  <dimension ref="B1:AE32"/>
  <sheetViews>
    <sheetView showGridLines="0" zoomScale="75" zoomScaleNormal="75" zoomScalePageLayoutView="75" workbookViewId="0">
      <selection activeCell="E13" activeCellId="1" sqref="G13 E13"/>
    </sheetView>
  </sheetViews>
  <sheetFormatPr defaultColWidth="8.85546875" defaultRowHeight="12.75"/>
  <cols>
    <col min="1" max="1" width="2" customWidth="1"/>
    <col min="2" max="2" width="28.140625" customWidth="1"/>
    <col min="3" max="3" width="21.42578125" customWidth="1"/>
    <col min="4" max="4" width="1.7109375" customWidth="1"/>
    <col min="5" max="5" width="19.42578125" customWidth="1"/>
    <col min="6" max="6" width="11.7109375" customWidth="1"/>
    <col min="7" max="7" width="10" customWidth="1"/>
    <col min="8" max="8" width="1" customWidth="1"/>
    <col min="9" max="9" width="15.42578125" customWidth="1"/>
    <col min="10" max="10" width="11.42578125" customWidth="1"/>
    <col min="11" max="11" width="1.42578125" customWidth="1"/>
    <col min="12" max="12" width="24.7109375" customWidth="1"/>
    <col min="13" max="13" width="23.42578125" customWidth="1"/>
    <col min="14" max="14" width="12.140625" customWidth="1"/>
    <col min="15" max="15" width="1.42578125" customWidth="1"/>
    <col min="16" max="16" width="14.28515625" customWidth="1"/>
    <col min="17" max="17" width="12.28515625" customWidth="1"/>
    <col min="18" max="18" width="7.28515625" customWidth="1"/>
    <col min="19" max="19" width="7.7109375" customWidth="1"/>
    <col min="20" max="20" width="43.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-77.52</v>
      </c>
      <c r="F3" s="61"/>
      <c r="G3" s="61"/>
      <c r="I3" s="10">
        <f>400*4.93</f>
        <v>1972</v>
      </c>
      <c r="J3" s="16" t="s">
        <v>579</v>
      </c>
      <c r="L3" s="10">
        <v>20035.03</v>
      </c>
      <c r="M3" s="10" t="s">
        <v>409</v>
      </c>
      <c r="N3" s="16"/>
      <c r="P3" s="581" t="s">
        <v>216</v>
      </c>
      <c r="Q3" s="581"/>
      <c r="R3" s="581"/>
      <c r="S3" s="582" t="s">
        <v>217</v>
      </c>
      <c r="T3" s="582"/>
      <c r="U3" s="582"/>
    </row>
    <row r="4" spans="2:24" ht="12" customHeight="1">
      <c r="B4" s="71" t="s">
        <v>56</v>
      </c>
      <c r="C4" s="91">
        <v>0</v>
      </c>
      <c r="D4" s="92"/>
      <c r="E4" s="95">
        <v>-114.19</v>
      </c>
      <c r="F4" s="72"/>
      <c r="G4" s="72"/>
      <c r="I4" s="10"/>
      <c r="J4" s="16"/>
      <c r="L4" s="10">
        <v>0</v>
      </c>
      <c r="M4" s="10"/>
      <c r="N4" s="16"/>
      <c r="P4" s="107" t="s">
        <v>218</v>
      </c>
      <c r="Q4" s="108" t="s">
        <v>219</v>
      </c>
      <c r="R4" s="109" t="s">
        <v>1</v>
      </c>
      <c r="S4" s="107" t="s">
        <v>1</v>
      </c>
      <c r="T4" s="108" t="s">
        <v>218</v>
      </c>
      <c r="U4" s="109" t="s">
        <v>219</v>
      </c>
    </row>
    <row r="5" spans="2:24" ht="12" customHeight="1">
      <c r="B5" s="71" t="s">
        <v>5</v>
      </c>
      <c r="C5" s="91"/>
      <c r="D5" s="92"/>
      <c r="E5" s="95">
        <f>C5</f>
        <v>0</v>
      </c>
      <c r="F5" s="72"/>
      <c r="G5" s="72"/>
      <c r="I5" s="10"/>
      <c r="J5" s="16"/>
      <c r="L5" s="10">
        <v>0</v>
      </c>
      <c r="M5" s="10"/>
      <c r="N5" s="16"/>
      <c r="P5" s="110"/>
      <c r="Q5" s="111"/>
      <c r="R5" s="112"/>
      <c r="S5" s="139"/>
      <c r="T5" s="116"/>
      <c r="U5" s="142"/>
    </row>
    <row r="6" spans="2:24">
      <c r="B6" s="99" t="s">
        <v>418</v>
      </c>
      <c r="C6" s="96">
        <v>-1101</v>
      </c>
      <c r="D6" s="97"/>
      <c r="E6" s="63">
        <v>0</v>
      </c>
      <c r="F6" s="64" t="s">
        <v>580</v>
      </c>
      <c r="G6" s="64" t="s">
        <v>58</v>
      </c>
      <c r="I6" s="10"/>
      <c r="J6" s="16"/>
      <c r="L6" s="10">
        <v>0</v>
      </c>
      <c r="M6" s="10"/>
      <c r="N6" s="16"/>
      <c r="P6" s="110"/>
      <c r="Q6" s="111"/>
      <c r="R6" s="112"/>
      <c r="S6" s="139"/>
      <c r="T6" s="116"/>
      <c r="U6" s="142"/>
    </row>
    <row r="7" spans="2:24">
      <c r="B7" s="99" t="s">
        <v>65</v>
      </c>
      <c r="C7" s="96">
        <v>-200</v>
      </c>
      <c r="D7" s="97"/>
      <c r="E7" s="63">
        <v>0</v>
      </c>
      <c r="F7" s="64" t="s">
        <v>207</v>
      </c>
      <c r="G7" s="64"/>
      <c r="I7" s="10"/>
      <c r="J7" s="16"/>
      <c r="L7" s="10">
        <v>0</v>
      </c>
      <c r="M7" s="10"/>
      <c r="N7" s="16"/>
      <c r="P7" s="110"/>
      <c r="Q7" s="111"/>
      <c r="R7" s="133"/>
      <c r="S7" s="139"/>
      <c r="T7" s="116"/>
      <c r="U7" s="142"/>
    </row>
    <row r="8" spans="2:24">
      <c r="B8" s="99" t="s">
        <v>38</v>
      </c>
      <c r="C8" s="96">
        <v>-500.59</v>
      </c>
      <c r="D8" s="97"/>
      <c r="E8" s="63">
        <v>0</v>
      </c>
      <c r="F8" s="64">
        <v>39935</v>
      </c>
      <c r="G8" s="64"/>
      <c r="I8" s="10"/>
      <c r="J8" s="16"/>
      <c r="L8" s="10">
        <v>0</v>
      </c>
      <c r="M8" s="10"/>
      <c r="N8" s="16"/>
      <c r="P8" s="110"/>
      <c r="Q8" s="111"/>
      <c r="R8" s="114"/>
      <c r="S8" s="139"/>
      <c r="T8" s="116"/>
      <c r="U8" s="142"/>
      <c r="X8" s="134"/>
    </row>
    <row r="9" spans="2:24">
      <c r="B9" s="99" t="s">
        <v>14</v>
      </c>
      <c r="C9" s="96">
        <v>-16.440000000000001</v>
      </c>
      <c r="D9" s="97"/>
      <c r="E9" s="63">
        <v>0</v>
      </c>
      <c r="F9" s="64" t="s">
        <v>581</v>
      </c>
      <c r="G9" s="64"/>
      <c r="L9" s="10">
        <v>0</v>
      </c>
      <c r="M9" s="10"/>
      <c r="N9" s="16"/>
      <c r="P9" s="110"/>
      <c r="Q9" s="111"/>
      <c r="R9" s="114"/>
      <c r="S9" s="139"/>
      <c r="T9" s="116"/>
      <c r="U9" s="142"/>
    </row>
    <row r="10" spans="2:24">
      <c r="B10" s="99" t="s">
        <v>93</v>
      </c>
      <c r="C10" s="96">
        <v>-767.7</v>
      </c>
      <c r="D10" s="97"/>
      <c r="E10" s="63">
        <v>0</v>
      </c>
      <c r="F10" s="64">
        <v>39934</v>
      </c>
      <c r="G10" s="64"/>
      <c r="L10" s="10">
        <v>0</v>
      </c>
      <c r="M10" s="10"/>
      <c r="N10" s="16"/>
      <c r="P10" s="110"/>
      <c r="Q10" s="111"/>
      <c r="R10" s="114"/>
      <c r="S10" s="139"/>
      <c r="T10" s="116"/>
      <c r="U10" s="142"/>
      <c r="X10" s="134"/>
    </row>
    <row r="11" spans="2:24" ht="15.75">
      <c r="B11" s="99" t="s">
        <v>157</v>
      </c>
      <c r="C11" s="96">
        <v>-20</v>
      </c>
      <c r="D11" s="97"/>
      <c r="E11" s="63">
        <v>0</v>
      </c>
      <c r="F11" s="64">
        <v>39943</v>
      </c>
      <c r="G11" s="64" t="s">
        <v>58</v>
      </c>
      <c r="I11" s="221" t="s">
        <v>48</v>
      </c>
      <c r="J11" s="221" t="s">
        <v>1</v>
      </c>
      <c r="L11" s="10">
        <v>0</v>
      </c>
      <c r="M11" s="10"/>
      <c r="N11" s="16"/>
      <c r="P11" s="110"/>
      <c r="Q11" s="111"/>
      <c r="R11" s="114"/>
      <c r="S11" s="139"/>
      <c r="T11" s="116"/>
      <c r="U11" s="142"/>
    </row>
    <row r="12" spans="2:24">
      <c r="B12" s="99" t="s">
        <v>103</v>
      </c>
      <c r="C12" s="96">
        <v>-124.06</v>
      </c>
      <c r="D12" s="97"/>
      <c r="E12" s="63">
        <v>0</v>
      </c>
      <c r="F12" s="64">
        <v>39934</v>
      </c>
      <c r="G12" s="64"/>
      <c r="I12" s="10">
        <v>-97.68</v>
      </c>
      <c r="J12" s="16">
        <v>39874</v>
      </c>
      <c r="L12" s="10">
        <v>0</v>
      </c>
      <c r="M12" s="10"/>
      <c r="N12" s="16"/>
      <c r="P12" s="110"/>
      <c r="Q12" s="111"/>
      <c r="R12" s="114"/>
      <c r="S12" s="139"/>
      <c r="T12" s="116"/>
      <c r="U12" s="142"/>
      <c r="X12" s="134"/>
    </row>
    <row r="13" spans="2:24">
      <c r="B13" s="99" t="s">
        <v>96</v>
      </c>
      <c r="C13" s="96">
        <v>-63.05</v>
      </c>
      <c r="D13" s="97"/>
      <c r="E13" s="63">
        <v>0</v>
      </c>
      <c r="F13" s="64">
        <v>39937</v>
      </c>
      <c r="G13" s="64" t="s">
        <v>58</v>
      </c>
      <c r="I13" s="10"/>
      <c r="J13" s="16"/>
      <c r="L13" s="144">
        <f>SUM(L3:L12)</f>
        <v>20035.03</v>
      </c>
      <c r="M13" s="144" t="s">
        <v>21</v>
      </c>
      <c r="N13" s="145"/>
      <c r="P13" s="110"/>
      <c r="Q13" s="111"/>
      <c r="R13" s="114"/>
      <c r="S13" s="139"/>
      <c r="T13" s="116"/>
      <c r="U13" s="142"/>
    </row>
    <row r="14" spans="2:24">
      <c r="B14" s="99" t="s">
        <v>29</v>
      </c>
      <c r="C14" s="96">
        <v>-262.01</v>
      </c>
      <c r="D14" s="97"/>
      <c r="E14" s="63">
        <v>0</v>
      </c>
      <c r="F14" s="64">
        <v>39940</v>
      </c>
      <c r="G14" s="64"/>
      <c r="I14" s="10"/>
      <c r="J14" s="16"/>
      <c r="P14" s="110"/>
      <c r="Q14" s="111"/>
      <c r="R14" s="114"/>
      <c r="S14" s="139"/>
      <c r="T14" s="116"/>
      <c r="U14" s="142"/>
      <c r="X14" s="134"/>
    </row>
    <row r="15" spans="2:24">
      <c r="B15" s="99" t="s">
        <v>41</v>
      </c>
      <c r="C15" s="96">
        <v>-80</v>
      </c>
      <c r="D15" s="97"/>
      <c r="E15" s="63">
        <v>0</v>
      </c>
      <c r="F15" s="64">
        <v>39943</v>
      </c>
      <c r="G15" s="64" t="s">
        <v>58</v>
      </c>
      <c r="I15" s="10"/>
      <c r="J15" s="16"/>
      <c r="P15" s="110"/>
      <c r="Q15" s="111"/>
      <c r="R15" s="114"/>
      <c r="S15" s="139"/>
      <c r="T15" s="116"/>
      <c r="U15" s="142"/>
    </row>
    <row r="16" spans="2:24">
      <c r="B16" s="99" t="s">
        <v>582</v>
      </c>
      <c r="C16" s="96">
        <v>-160</v>
      </c>
      <c r="D16" s="97"/>
      <c r="E16" s="63">
        <v>0</v>
      </c>
      <c r="F16" s="64">
        <v>39943</v>
      </c>
      <c r="G16" s="64" t="s">
        <v>58</v>
      </c>
      <c r="I16" s="10"/>
      <c r="J16" s="16"/>
      <c r="P16" s="110"/>
      <c r="Q16" s="111"/>
      <c r="R16" s="114"/>
      <c r="S16" s="139"/>
      <c r="T16" s="116"/>
      <c r="U16" s="142"/>
      <c r="X16" s="134"/>
    </row>
    <row r="17" spans="2:31">
      <c r="B17" s="99" t="s">
        <v>312</v>
      </c>
      <c r="C17" s="96">
        <v>-50</v>
      </c>
      <c r="D17" s="97"/>
      <c r="E17" s="63">
        <v>0</v>
      </c>
      <c r="F17" s="64">
        <v>39953</v>
      </c>
      <c r="G17" s="64" t="s">
        <v>58</v>
      </c>
      <c r="I17" s="60">
        <f>SUM(I12:I16)</f>
        <v>-97.68</v>
      </c>
      <c r="J17" s="160" t="s">
        <v>21</v>
      </c>
      <c r="P17" s="119" t="s">
        <v>45</v>
      </c>
      <c r="Q17" s="120">
        <f>SUM(Q5:Q16)</f>
        <v>0</v>
      </c>
      <c r="R17" s="121"/>
      <c r="S17" s="119" t="s">
        <v>45</v>
      </c>
      <c r="T17" s="135"/>
      <c r="U17" s="135">
        <f>SUM(U5:U16)</f>
        <v>0</v>
      </c>
    </row>
    <row r="18" spans="2:31">
      <c r="B18" s="99" t="s">
        <v>574</v>
      </c>
      <c r="C18" s="96">
        <v>-130</v>
      </c>
      <c r="D18" s="97"/>
      <c r="E18" s="63">
        <v>0</v>
      </c>
      <c r="F18" s="64">
        <v>39943</v>
      </c>
      <c r="G18" s="64" t="s">
        <v>58</v>
      </c>
      <c r="H18" s="143"/>
      <c r="I18" s="1"/>
      <c r="X18" s="134"/>
    </row>
    <row r="19" spans="2:31">
      <c r="B19" s="99" t="s">
        <v>576</v>
      </c>
      <c r="C19" s="96">
        <v>-20</v>
      </c>
      <c r="D19" s="97"/>
      <c r="E19" s="63">
        <v>0</v>
      </c>
      <c r="F19" s="64">
        <v>39953</v>
      </c>
      <c r="G19" s="64"/>
      <c r="I19" s="52"/>
    </row>
    <row r="20" spans="2:31">
      <c r="B20" s="99" t="s">
        <v>77</v>
      </c>
      <c r="C20" s="96">
        <v>-239</v>
      </c>
      <c r="D20" s="97"/>
      <c r="E20" s="63">
        <v>0</v>
      </c>
      <c r="F20" s="64">
        <v>39953</v>
      </c>
      <c r="G20" s="64"/>
      <c r="S20" s="146"/>
      <c r="T20" s="147"/>
      <c r="U20" s="148"/>
    </row>
    <row r="21" spans="2:31" ht="18">
      <c r="B21" s="74" t="s">
        <v>45</v>
      </c>
      <c r="C21" s="101"/>
      <c r="D21" s="98"/>
      <c r="E21" s="129">
        <f>SUM(E3:E20)</f>
        <v>-191.70999999999998</v>
      </c>
      <c r="F21" s="75"/>
      <c r="G21" s="75"/>
      <c r="S21" s="152"/>
      <c r="X21" s="134"/>
    </row>
    <row r="22" spans="2:31">
      <c r="C22" s="1"/>
      <c r="D22" s="1"/>
      <c r="E22" s="1"/>
      <c r="S22" s="149"/>
      <c r="T22" s="157"/>
      <c r="U22" s="157"/>
    </row>
    <row r="23" spans="2:31">
      <c r="S23" s="149"/>
      <c r="T23" s="157"/>
      <c r="U23" s="157"/>
      <c r="X23" s="134"/>
    </row>
    <row r="24" spans="2:31">
      <c r="S24" s="152"/>
    </row>
    <row r="25" spans="2:31">
      <c r="K25" s="1"/>
      <c r="S25" s="149"/>
      <c r="T25" s="157"/>
      <c r="U25" s="157"/>
      <c r="V25" s="146"/>
      <c r="Y25" s="149"/>
      <c r="Z25" s="146"/>
      <c r="AA25" s="147"/>
      <c r="AB25" s="148"/>
      <c r="AD25" s="150"/>
      <c r="AE25" s="151"/>
    </row>
    <row r="26" spans="2:31">
      <c r="S26" s="152"/>
      <c r="V26" s="153"/>
      <c r="W26" s="154"/>
      <c r="X26" s="134"/>
      <c r="Y26" s="152"/>
      <c r="Z26" s="153"/>
      <c r="AA26" s="154"/>
      <c r="AB26" s="134"/>
      <c r="AD26" s="155"/>
      <c r="AE26" s="156"/>
    </row>
    <row r="27" spans="2:31">
      <c r="S27" s="149"/>
      <c r="T27" s="157"/>
      <c r="U27" s="157"/>
      <c r="V27" s="146"/>
      <c r="W27" s="147"/>
      <c r="X27" s="148"/>
      <c r="Y27" s="149"/>
      <c r="Z27" s="146"/>
      <c r="AA27" s="147"/>
      <c r="AB27" s="148"/>
      <c r="AD27" s="150"/>
      <c r="AE27" s="151"/>
    </row>
    <row r="28" spans="2:31">
      <c r="S28" s="152"/>
      <c r="V28" s="146"/>
      <c r="W28" s="147"/>
      <c r="X28" s="148"/>
      <c r="Y28" s="149"/>
      <c r="Z28" s="146"/>
      <c r="AA28" s="147"/>
      <c r="AB28" s="148"/>
      <c r="AD28" s="150"/>
      <c r="AE28" s="151"/>
    </row>
    <row r="29" spans="2:31">
      <c r="S29" s="152"/>
      <c r="V29" s="153"/>
      <c r="W29" s="154"/>
      <c r="X29" s="134"/>
      <c r="Y29" s="152"/>
      <c r="Z29" s="153"/>
      <c r="AA29" s="154"/>
      <c r="AB29" s="134"/>
      <c r="AD29" s="155"/>
      <c r="AE29" s="156"/>
    </row>
    <row r="30" spans="2:31">
      <c r="V30" s="146"/>
      <c r="W30" s="147"/>
      <c r="X30" s="148"/>
      <c r="Y30" s="149"/>
      <c r="Z30" s="146"/>
      <c r="AA30" s="147"/>
      <c r="AB30" s="148"/>
      <c r="AD30" s="150"/>
      <c r="AE30" s="151"/>
    </row>
    <row r="31" spans="2:31">
      <c r="H31" s="89"/>
      <c r="V31" s="153"/>
      <c r="W31" s="154"/>
      <c r="X31" s="134"/>
      <c r="Y31" s="152"/>
      <c r="Z31" s="153"/>
      <c r="AA31" s="154"/>
      <c r="AB31" s="134"/>
      <c r="AD31" s="155"/>
      <c r="AE31" s="156"/>
    </row>
    <row r="32" spans="2:31">
      <c r="V32" s="146"/>
      <c r="W32" s="147"/>
      <c r="X32" s="148"/>
      <c r="Y32" s="149"/>
      <c r="Z32" s="146"/>
      <c r="AA32" s="147"/>
      <c r="AB32" s="148"/>
      <c r="AD32" s="150"/>
      <c r="AE32" s="151"/>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41.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Id="1" sqref="G13 A1"/>
    </sheetView>
  </sheetViews>
  <sheetFormatPr defaultColWidth="8.85546875" defaultRowHeight="12.75"/>
  <cols>
    <col min="1" max="1" width="2" customWidth="1"/>
    <col min="2" max="2" width="28.140625" customWidth="1"/>
    <col min="3" max="3" width="21.42578125" customWidth="1"/>
    <col min="4" max="4" width="1.7109375" customWidth="1"/>
    <col min="5" max="5" width="19.42578125" customWidth="1"/>
    <col min="6" max="6" width="14.85546875" customWidth="1"/>
    <col min="7" max="7" width="10" customWidth="1"/>
    <col min="8" max="8" width="1" customWidth="1"/>
    <col min="9" max="9" width="15.42578125" customWidth="1"/>
    <col min="10" max="10" width="11.42578125" customWidth="1"/>
    <col min="11" max="11" width="1.42578125" customWidth="1"/>
    <col min="12" max="12" width="24.7109375" customWidth="1"/>
    <col min="13" max="13" width="23.42578125" customWidth="1"/>
    <col min="14" max="14" width="12.140625" customWidth="1"/>
    <col min="15" max="15" width="1.42578125" customWidth="1"/>
    <col min="16" max="16" width="14.28515625" customWidth="1"/>
    <col min="17" max="17" width="12.28515625" customWidth="1"/>
    <col min="18" max="18" width="7.28515625" customWidth="1"/>
    <col min="19" max="19" width="7.7109375" customWidth="1"/>
    <col min="20" max="20" width="43.42578125" customWidth="1"/>
    <col min="21" max="21" width="11.7109375"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3.26</v>
      </c>
      <c r="F3" s="61"/>
      <c r="G3" s="61"/>
      <c r="I3" s="10">
        <f>400*5.03</f>
        <v>2012</v>
      </c>
      <c r="J3" s="16">
        <v>39972</v>
      </c>
      <c r="L3" s="10">
        <v>21977.85</v>
      </c>
      <c r="M3" s="10" t="s">
        <v>409</v>
      </c>
      <c r="N3" s="16"/>
      <c r="P3" s="581" t="s">
        <v>216</v>
      </c>
      <c r="Q3" s="581"/>
      <c r="R3" s="581"/>
      <c r="S3" s="582" t="s">
        <v>217</v>
      </c>
      <c r="T3" s="582"/>
      <c r="U3" s="582"/>
    </row>
    <row r="4" spans="2:24" ht="12" customHeight="1">
      <c r="B4" s="71" t="s">
        <v>56</v>
      </c>
      <c r="C4" s="91">
        <v>0</v>
      </c>
      <c r="D4" s="92"/>
      <c r="E4" s="95">
        <v>1272.77</v>
      </c>
      <c r="F4" s="72"/>
      <c r="G4" s="72"/>
      <c r="I4" s="10"/>
      <c r="J4" s="16"/>
      <c r="L4" s="10">
        <v>0</v>
      </c>
      <c r="M4" s="10"/>
      <c r="N4" s="16"/>
      <c r="P4" s="107" t="s">
        <v>218</v>
      </c>
      <c r="Q4" s="108" t="s">
        <v>219</v>
      </c>
      <c r="R4" s="109" t="s">
        <v>1</v>
      </c>
      <c r="S4" s="107" t="s">
        <v>1</v>
      </c>
      <c r="T4" s="108" t="s">
        <v>218</v>
      </c>
      <c r="U4" s="109" t="s">
        <v>219</v>
      </c>
    </row>
    <row r="5" spans="2:24" ht="12" customHeight="1">
      <c r="B5" s="71" t="s">
        <v>5</v>
      </c>
      <c r="C5" s="91">
        <v>7393</v>
      </c>
      <c r="D5" s="92"/>
      <c r="E5" s="95">
        <v>0</v>
      </c>
      <c r="F5" s="72"/>
      <c r="G5" s="72"/>
      <c r="I5" s="10"/>
      <c r="J5" s="16"/>
      <c r="L5" s="10">
        <v>0</v>
      </c>
      <c r="M5" s="10"/>
      <c r="N5" s="16"/>
      <c r="P5" s="110"/>
      <c r="Q5" s="111"/>
      <c r="R5" s="112"/>
      <c r="S5" s="139"/>
      <c r="T5" s="116"/>
      <c r="U5" s="142"/>
    </row>
    <row r="6" spans="2:24">
      <c r="B6" s="99" t="s">
        <v>418</v>
      </c>
      <c r="C6" s="96">
        <v>-1101</v>
      </c>
      <c r="D6" s="97"/>
      <c r="E6" s="63">
        <v>0</v>
      </c>
      <c r="F6" s="64">
        <v>39963</v>
      </c>
      <c r="G6" s="64" t="s">
        <v>58</v>
      </c>
      <c r="I6" s="10"/>
      <c r="J6" s="16"/>
      <c r="L6" s="10">
        <v>0</v>
      </c>
      <c r="M6" s="10"/>
      <c r="N6" s="16"/>
      <c r="P6" s="110"/>
      <c r="Q6" s="111"/>
      <c r="R6" s="112"/>
      <c r="S6" s="139"/>
      <c r="T6" s="116"/>
      <c r="U6" s="142"/>
    </row>
    <row r="7" spans="2:24">
      <c r="B7" s="99" t="s">
        <v>65</v>
      </c>
      <c r="C7" s="96">
        <v>-100</v>
      </c>
      <c r="D7" s="97"/>
      <c r="E7" s="65">
        <f>C7</f>
        <v>-100</v>
      </c>
      <c r="F7" s="127" t="s">
        <v>583</v>
      </c>
      <c r="G7" s="127"/>
      <c r="I7" s="10"/>
      <c r="J7" s="16"/>
      <c r="L7" s="10">
        <v>0</v>
      </c>
      <c r="M7" s="10"/>
      <c r="N7" s="16"/>
      <c r="P7" s="110"/>
      <c r="Q7" s="111"/>
      <c r="R7" s="133"/>
      <c r="S7" s="139"/>
      <c r="T7" s="116"/>
      <c r="U7" s="142"/>
    </row>
    <row r="8" spans="2:24">
      <c r="B8" s="99" t="s">
        <v>38</v>
      </c>
      <c r="C8" s="96">
        <v>-500.59</v>
      </c>
      <c r="D8" s="97"/>
      <c r="E8" s="63">
        <v>0</v>
      </c>
      <c r="F8" s="64">
        <v>39966</v>
      </c>
      <c r="G8" s="64" t="s">
        <v>58</v>
      </c>
      <c r="I8" s="10"/>
      <c r="J8" s="16"/>
      <c r="L8" s="10">
        <v>0</v>
      </c>
      <c r="M8" s="10"/>
      <c r="N8" s="16"/>
      <c r="P8" s="110"/>
      <c r="Q8" s="111"/>
      <c r="R8" s="114"/>
      <c r="S8" s="139"/>
      <c r="T8" s="116"/>
      <c r="U8" s="142"/>
      <c r="X8" s="134"/>
    </row>
    <row r="9" spans="2:24">
      <c r="B9" s="99" t="s">
        <v>14</v>
      </c>
      <c r="C9" s="96">
        <v>-16.440000000000001</v>
      </c>
      <c r="D9" s="97"/>
      <c r="E9" s="65">
        <f>C9</f>
        <v>-16.440000000000001</v>
      </c>
      <c r="F9" s="127">
        <v>39984</v>
      </c>
      <c r="G9" s="127"/>
      <c r="L9" s="10">
        <v>0</v>
      </c>
      <c r="M9" s="10"/>
      <c r="N9" s="16"/>
      <c r="P9" s="110"/>
      <c r="Q9" s="111"/>
      <c r="R9" s="114"/>
      <c r="S9" s="139"/>
      <c r="T9" s="116"/>
      <c r="U9" s="142"/>
    </row>
    <row r="10" spans="2:24">
      <c r="B10" s="99" t="s">
        <v>93</v>
      </c>
      <c r="C10" s="96">
        <v>-15.15</v>
      </c>
      <c r="D10" s="97"/>
      <c r="E10" s="63">
        <v>0</v>
      </c>
      <c r="F10" s="64">
        <v>39965</v>
      </c>
      <c r="G10" s="64" t="s">
        <v>58</v>
      </c>
      <c r="L10" s="10">
        <v>0</v>
      </c>
      <c r="M10" s="10"/>
      <c r="N10" s="16"/>
      <c r="P10" s="110"/>
      <c r="Q10" s="111"/>
      <c r="R10" s="114"/>
      <c r="S10" s="139"/>
      <c r="T10" s="116"/>
      <c r="U10" s="142"/>
      <c r="X10" s="134"/>
    </row>
    <row r="11" spans="2:24" ht="15.75">
      <c r="B11" s="99" t="s">
        <v>157</v>
      </c>
      <c r="C11" s="96">
        <v>-5.0999999999999996</v>
      </c>
      <c r="D11" s="97"/>
      <c r="E11" s="63">
        <v>0</v>
      </c>
      <c r="F11" s="64">
        <v>39974</v>
      </c>
      <c r="G11" s="64" t="s">
        <v>58</v>
      </c>
      <c r="I11" s="221" t="s">
        <v>48</v>
      </c>
      <c r="J11" s="221" t="s">
        <v>1</v>
      </c>
      <c r="L11" s="10">
        <v>0</v>
      </c>
      <c r="M11" s="10"/>
      <c r="N11" s="16"/>
      <c r="P11" s="110"/>
      <c r="Q11" s="111"/>
      <c r="R11" s="114"/>
      <c r="S11" s="139"/>
      <c r="T11" s="116"/>
      <c r="U11" s="142"/>
    </row>
    <row r="12" spans="2:24">
      <c r="B12" s="99" t="s">
        <v>103</v>
      </c>
      <c r="C12" s="96">
        <v>-793.58</v>
      </c>
      <c r="D12" s="97"/>
      <c r="E12" s="63">
        <v>0</v>
      </c>
      <c r="F12" s="64">
        <v>39965</v>
      </c>
      <c r="G12" s="64" t="s">
        <v>58</v>
      </c>
      <c r="I12" s="10">
        <v>-51.32</v>
      </c>
      <c r="J12" s="16">
        <v>39874</v>
      </c>
      <c r="L12" s="10">
        <v>0</v>
      </c>
      <c r="M12" s="10"/>
      <c r="N12" s="16"/>
      <c r="P12" s="110"/>
      <c r="Q12" s="111"/>
      <c r="R12" s="114"/>
      <c r="S12" s="139"/>
      <c r="T12" s="116"/>
      <c r="U12" s="142"/>
      <c r="X12" s="134"/>
    </row>
    <row r="13" spans="2:24">
      <c r="B13" s="99" t="s">
        <v>96</v>
      </c>
      <c r="C13" s="96">
        <v>-105.96</v>
      </c>
      <c r="D13" s="97"/>
      <c r="E13" s="63">
        <v>0</v>
      </c>
      <c r="F13" s="64">
        <v>39968</v>
      </c>
      <c r="G13" s="64" t="s">
        <v>58</v>
      </c>
      <c r="I13" s="10">
        <v>-391.57</v>
      </c>
      <c r="J13" s="16"/>
      <c r="L13" s="144">
        <f>SUM(L3:L12)</f>
        <v>21977.85</v>
      </c>
      <c r="M13" s="144" t="s">
        <v>21</v>
      </c>
      <c r="N13" s="145"/>
      <c r="P13" s="110"/>
      <c r="Q13" s="111"/>
      <c r="R13" s="114"/>
      <c r="S13" s="139"/>
      <c r="T13" s="116"/>
      <c r="U13" s="142"/>
    </row>
    <row r="14" spans="2:24">
      <c r="B14" s="99" t="s">
        <v>29</v>
      </c>
      <c r="C14" s="96">
        <v>-300.05</v>
      </c>
      <c r="D14" s="97"/>
      <c r="E14" s="63">
        <v>0</v>
      </c>
      <c r="F14" s="64">
        <v>39971</v>
      </c>
      <c r="G14" s="64" t="s">
        <v>58</v>
      </c>
      <c r="I14" s="10">
        <v>650</v>
      </c>
      <c r="J14" s="16">
        <v>39975</v>
      </c>
      <c r="P14" s="110"/>
      <c r="Q14" s="111"/>
      <c r="R14" s="114"/>
      <c r="S14" s="139"/>
      <c r="T14" s="116"/>
      <c r="U14" s="142"/>
      <c r="X14" s="134"/>
    </row>
    <row r="15" spans="2:24">
      <c r="B15" s="99" t="s">
        <v>584</v>
      </c>
      <c r="C15" s="96">
        <v>-34.42</v>
      </c>
      <c r="D15" s="97"/>
      <c r="E15" s="63">
        <v>0</v>
      </c>
      <c r="F15" s="64">
        <v>39971</v>
      </c>
      <c r="G15" s="64" t="s">
        <v>58</v>
      </c>
      <c r="I15" s="10">
        <v>-82.52</v>
      </c>
      <c r="J15" s="16"/>
      <c r="P15" s="110"/>
      <c r="Q15" s="111"/>
      <c r="R15" s="114"/>
      <c r="S15" s="139"/>
      <c r="T15" s="116"/>
      <c r="U15" s="142"/>
    </row>
    <row r="16" spans="2:24">
      <c r="B16" s="99" t="s">
        <v>41</v>
      </c>
      <c r="C16" s="96">
        <v>-86.96</v>
      </c>
      <c r="D16" s="97"/>
      <c r="E16" s="63">
        <v>0</v>
      </c>
      <c r="F16" s="64">
        <v>39974</v>
      </c>
      <c r="G16" s="64" t="s">
        <v>58</v>
      </c>
      <c r="I16" s="10">
        <v>-221.83</v>
      </c>
      <c r="J16" s="16"/>
      <c r="P16" s="110"/>
      <c r="Q16" s="111"/>
      <c r="R16" s="114"/>
      <c r="S16" s="139"/>
      <c r="T16" s="116"/>
      <c r="U16" s="142"/>
      <c r="X16" s="134"/>
    </row>
    <row r="17" spans="2:31">
      <c r="B17" s="99" t="s">
        <v>312</v>
      </c>
      <c r="C17" s="96">
        <v>-50</v>
      </c>
      <c r="D17" s="97"/>
      <c r="E17" s="63">
        <v>0</v>
      </c>
      <c r="F17" s="64">
        <v>39969</v>
      </c>
      <c r="G17" s="64" t="s">
        <v>58</v>
      </c>
      <c r="I17" s="10">
        <v>-225</v>
      </c>
      <c r="J17" s="16">
        <v>39992</v>
      </c>
      <c r="P17" s="119" t="s">
        <v>45</v>
      </c>
      <c r="Q17" s="120">
        <f>SUM(Q5:Q16)</f>
        <v>0</v>
      </c>
      <c r="R17" s="121"/>
      <c r="S17" s="119" t="s">
        <v>45</v>
      </c>
      <c r="T17" s="135"/>
      <c r="U17" s="135">
        <f>SUM(U5:U16)</f>
        <v>0</v>
      </c>
    </row>
    <row r="18" spans="2:31">
      <c r="B18" s="99" t="s">
        <v>585</v>
      </c>
      <c r="C18" s="96">
        <v>-650</v>
      </c>
      <c r="D18" s="97"/>
      <c r="E18" s="65">
        <f>C18</f>
        <v>-650</v>
      </c>
      <c r="F18" s="127"/>
      <c r="G18" s="127"/>
      <c r="H18" s="143"/>
      <c r="I18" s="60">
        <f>SUM(I12:I17)</f>
        <v>-322.24</v>
      </c>
      <c r="J18" s="160" t="s">
        <v>21</v>
      </c>
      <c r="X18" s="134"/>
    </row>
    <row r="19" spans="2:31">
      <c r="B19" s="99" t="s">
        <v>407</v>
      </c>
      <c r="C19" s="96">
        <v>-2300</v>
      </c>
      <c r="D19" s="97"/>
      <c r="E19" s="63">
        <v>0</v>
      </c>
      <c r="F19" s="64"/>
      <c r="G19" s="64" t="s">
        <v>58</v>
      </c>
      <c r="I19" s="1"/>
    </row>
    <row r="20" spans="2:31">
      <c r="B20" s="99" t="s">
        <v>83</v>
      </c>
      <c r="C20" s="96">
        <f>-191.53*0.8</f>
        <v>-153.22400000000002</v>
      </c>
      <c r="D20" s="97"/>
      <c r="E20" s="63">
        <v>0</v>
      </c>
      <c r="F20" s="64">
        <v>39993</v>
      </c>
      <c r="G20" s="64" t="s">
        <v>58</v>
      </c>
      <c r="I20" s="52"/>
      <c r="S20" s="146"/>
      <c r="T20" s="147"/>
      <c r="U20" s="148"/>
    </row>
    <row r="21" spans="2:31">
      <c r="B21" s="99" t="s">
        <v>574</v>
      </c>
      <c r="C21" s="96">
        <v>-130</v>
      </c>
      <c r="D21" s="97"/>
      <c r="E21" s="63">
        <v>0</v>
      </c>
      <c r="F21" s="64">
        <v>39969</v>
      </c>
      <c r="G21" s="64" t="s">
        <v>58</v>
      </c>
      <c r="S21" s="152"/>
      <c r="X21" s="134"/>
    </row>
    <row r="22" spans="2:31">
      <c r="B22" s="99" t="s">
        <v>77</v>
      </c>
      <c r="C22" s="96">
        <v>-260</v>
      </c>
      <c r="D22" s="97"/>
      <c r="E22" s="65">
        <f>C22</f>
        <v>-260</v>
      </c>
      <c r="F22" s="127">
        <v>39984</v>
      </c>
      <c r="G22" s="127"/>
      <c r="S22" s="149"/>
      <c r="T22" s="157"/>
      <c r="U22" s="157"/>
    </row>
    <row r="23" spans="2:31" ht="18">
      <c r="B23" s="74" t="s">
        <v>45</v>
      </c>
      <c r="C23" s="101"/>
      <c r="D23" s="98"/>
      <c r="E23" s="129">
        <f>SUM(E3:E22)</f>
        <v>249.58999999999992</v>
      </c>
      <c r="F23" s="75"/>
      <c r="G23" s="75"/>
      <c r="S23" s="149"/>
      <c r="T23" s="157"/>
      <c r="U23" s="157"/>
      <c r="X23" s="134"/>
    </row>
    <row r="24" spans="2:31">
      <c r="C24" s="1"/>
      <c r="D24" s="1"/>
      <c r="E24" s="1"/>
      <c r="S24" s="152"/>
    </row>
    <row r="25" spans="2:31">
      <c r="S25" s="152"/>
    </row>
    <row r="26" spans="2:31">
      <c r="K26" s="1"/>
      <c r="S26" s="149"/>
      <c r="T26" s="157"/>
      <c r="U26" s="157"/>
      <c r="V26" s="146"/>
      <c r="Y26" s="149"/>
      <c r="Z26" s="146"/>
      <c r="AA26" s="147"/>
      <c r="AB26" s="148"/>
      <c r="AD26" s="150"/>
      <c r="AE26" s="151"/>
    </row>
    <row r="27" spans="2:31">
      <c r="S27" s="152"/>
      <c r="V27" s="153"/>
      <c r="W27" s="154"/>
      <c r="X27" s="134"/>
      <c r="Y27" s="152"/>
      <c r="Z27" s="153"/>
      <c r="AA27" s="154"/>
      <c r="AB27" s="134"/>
      <c r="AD27" s="155"/>
      <c r="AE27" s="156"/>
    </row>
    <row r="28" spans="2:31">
      <c r="G28" s="161"/>
      <c r="S28" s="149"/>
      <c r="T28" s="157"/>
      <c r="U28" s="157"/>
      <c r="V28" s="146"/>
      <c r="W28" s="147"/>
      <c r="X28" s="148"/>
      <c r="Y28" s="149"/>
      <c r="Z28" s="146"/>
      <c r="AA28" s="147"/>
      <c r="AB28" s="148"/>
      <c r="AD28" s="150"/>
      <c r="AE28" s="151"/>
    </row>
    <row r="29" spans="2:3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40972222222222221" right="0.27986111111111112" top="1" bottom="1" header="0.51180555555555551" footer="0.51180555555555551"/>
  <pageSetup firstPageNumber="0" orientation="landscape" horizontalDpi="300" verticalDpi="300"/>
  <headerFooter alignWithMargins="0"/>
</worksheet>
</file>

<file path=xl/worksheets/sheet42.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E9" activeCellId="1" sqref="G13 E9"/>
    </sheetView>
  </sheetViews>
  <sheetFormatPr defaultColWidth="8.85546875" defaultRowHeight="12.75"/>
  <cols>
    <col min="1" max="1" width="2" customWidth="1"/>
    <col min="2" max="2" width="26.42578125" customWidth="1"/>
    <col min="3" max="3" width="22.140625" customWidth="1"/>
    <col min="4" max="4" width="1.7109375" customWidth="1"/>
    <col min="5" max="5" width="17.140625" customWidth="1"/>
    <col min="6" max="6" width="11.140625" customWidth="1"/>
    <col min="7" max="7" width="10" customWidth="1"/>
    <col min="8" max="8" width="1" customWidth="1"/>
    <col min="9" max="9" width="14.85546875" customWidth="1"/>
    <col min="10" max="10" width="14.28515625" customWidth="1"/>
    <col min="11" max="11" width="1.42578125" customWidth="1"/>
    <col min="12" max="12" width="15.42578125" customWidth="1"/>
    <col min="13" max="13" width="11.710937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2.92</v>
      </c>
      <c r="F3" s="61"/>
      <c r="G3" s="61"/>
      <c r="I3" s="10">
        <f>400*5.44</f>
        <v>2176</v>
      </c>
      <c r="J3" s="16">
        <v>39972</v>
      </c>
      <c r="L3" s="10">
        <v>23952.82</v>
      </c>
      <c r="M3" s="10" t="s">
        <v>409</v>
      </c>
      <c r="N3" s="16"/>
      <c r="P3" s="581" t="s">
        <v>216</v>
      </c>
      <c r="Q3" s="581"/>
      <c r="R3" s="581"/>
      <c r="S3" s="582" t="s">
        <v>217</v>
      </c>
      <c r="T3" s="582"/>
      <c r="U3" s="582"/>
    </row>
    <row r="4" spans="2:24" ht="12" customHeight="1">
      <c r="B4" s="71" t="s">
        <v>56</v>
      </c>
      <c r="C4" s="91">
        <v>0</v>
      </c>
      <c r="D4" s="92"/>
      <c r="E4" s="95">
        <f>89.96-20</f>
        <v>69.959999999999994</v>
      </c>
      <c r="F4" s="72"/>
      <c r="G4" s="72"/>
      <c r="I4" s="10"/>
      <c r="J4" s="16"/>
      <c r="L4" s="10">
        <v>0</v>
      </c>
      <c r="M4" s="10"/>
      <c r="N4" s="16"/>
      <c r="P4" s="107" t="s">
        <v>218</v>
      </c>
      <c r="Q4" s="108" t="s">
        <v>219</v>
      </c>
      <c r="R4" s="109" t="s">
        <v>1</v>
      </c>
      <c r="S4" s="107" t="s">
        <v>1</v>
      </c>
      <c r="T4" s="108" t="s">
        <v>218</v>
      </c>
      <c r="U4" s="109" t="s">
        <v>219</v>
      </c>
    </row>
    <row r="5" spans="2:24" ht="12" customHeight="1">
      <c r="B5" s="71" t="s">
        <v>5</v>
      </c>
      <c r="C5" s="91">
        <v>6300</v>
      </c>
      <c r="D5" s="92"/>
      <c r="E5" s="95">
        <v>0</v>
      </c>
      <c r="F5" s="72"/>
      <c r="G5" s="72"/>
      <c r="I5" s="10"/>
      <c r="J5" s="16"/>
      <c r="L5" s="10">
        <v>0</v>
      </c>
      <c r="M5" s="10"/>
      <c r="N5" s="16"/>
      <c r="P5" s="110"/>
      <c r="Q5" s="111"/>
      <c r="R5" s="112"/>
      <c r="S5" s="139"/>
      <c r="T5" s="116"/>
      <c r="U5" s="142"/>
    </row>
    <row r="6" spans="2:24">
      <c r="B6" s="99" t="s">
        <v>418</v>
      </c>
      <c r="C6" s="96">
        <v>-1101</v>
      </c>
      <c r="D6" s="97"/>
      <c r="E6" s="63">
        <v>0</v>
      </c>
      <c r="F6" s="64">
        <v>39994</v>
      </c>
      <c r="G6" s="64" t="s">
        <v>58</v>
      </c>
      <c r="I6" s="10"/>
      <c r="J6" s="16"/>
      <c r="L6" s="10">
        <v>0</v>
      </c>
      <c r="M6" s="10"/>
      <c r="N6" s="16"/>
      <c r="P6" s="110"/>
      <c r="Q6" s="111"/>
      <c r="R6" s="112"/>
      <c r="S6" s="139"/>
      <c r="T6" s="116"/>
      <c r="U6" s="142"/>
    </row>
    <row r="7" spans="2:24">
      <c r="B7" s="99" t="s">
        <v>65</v>
      </c>
      <c r="C7" s="96">
        <v>-150</v>
      </c>
      <c r="D7" s="97"/>
      <c r="E7" s="63">
        <v>0</v>
      </c>
      <c r="F7" s="64" t="s">
        <v>583</v>
      </c>
      <c r="G7" s="64" t="s">
        <v>58</v>
      </c>
      <c r="I7" s="10"/>
      <c r="J7" s="16"/>
      <c r="L7" s="10">
        <v>0</v>
      </c>
      <c r="M7" s="10"/>
      <c r="N7" s="16"/>
      <c r="P7" s="110"/>
      <c r="Q7" s="111"/>
      <c r="R7" s="133"/>
      <c r="S7" s="139"/>
      <c r="T7" s="116"/>
      <c r="U7" s="142"/>
    </row>
    <row r="8" spans="2:24">
      <c r="B8" s="99" t="s">
        <v>38</v>
      </c>
      <c r="C8" s="96">
        <v>-500.59</v>
      </c>
      <c r="D8" s="97"/>
      <c r="E8" s="63">
        <v>0</v>
      </c>
      <c r="F8" s="64">
        <v>39996</v>
      </c>
      <c r="G8" s="64" t="s">
        <v>58</v>
      </c>
      <c r="I8" s="10"/>
      <c r="J8" s="16"/>
      <c r="L8" s="10">
        <v>0</v>
      </c>
      <c r="M8" s="10"/>
      <c r="N8" s="16"/>
      <c r="P8" s="110"/>
      <c r="Q8" s="111"/>
      <c r="R8" s="114"/>
      <c r="S8" s="139"/>
      <c r="T8" s="116"/>
      <c r="U8" s="142"/>
      <c r="X8" s="134"/>
    </row>
    <row r="9" spans="2:24">
      <c r="B9" s="99" t="s">
        <v>14</v>
      </c>
      <c r="C9" s="96">
        <v>-16.440000000000001</v>
      </c>
      <c r="D9" s="97"/>
      <c r="E9" s="63">
        <v>0</v>
      </c>
      <c r="F9" s="64">
        <v>40014</v>
      </c>
      <c r="G9" s="64" t="s">
        <v>58</v>
      </c>
      <c r="L9" s="10">
        <v>0</v>
      </c>
      <c r="M9" s="10"/>
      <c r="N9" s="16"/>
      <c r="P9" s="110"/>
      <c r="Q9" s="111"/>
      <c r="R9" s="114"/>
      <c r="S9" s="139"/>
      <c r="T9" s="116"/>
      <c r="U9" s="142"/>
    </row>
    <row r="10" spans="2:24">
      <c r="B10" s="99" t="s">
        <v>93</v>
      </c>
      <c r="C10" s="96">
        <v>-15.15</v>
      </c>
      <c r="D10" s="97"/>
      <c r="E10" s="63">
        <v>0</v>
      </c>
      <c r="F10" s="64">
        <v>39995</v>
      </c>
      <c r="G10" s="64" t="s">
        <v>58</v>
      </c>
      <c r="L10" s="10">
        <v>0</v>
      </c>
      <c r="M10" s="10"/>
      <c r="N10" s="16"/>
      <c r="P10" s="110"/>
      <c r="Q10" s="111"/>
      <c r="R10" s="114"/>
      <c r="S10" s="139"/>
      <c r="T10" s="116"/>
      <c r="U10" s="142"/>
      <c r="X10" s="134"/>
    </row>
    <row r="11" spans="2:24" ht="15.75">
      <c r="B11" s="99" t="s">
        <v>157</v>
      </c>
      <c r="C11" s="96">
        <v>-5.0999999999999996</v>
      </c>
      <c r="D11" s="97"/>
      <c r="E11" s="63">
        <v>0</v>
      </c>
      <c r="F11" s="64">
        <v>40004</v>
      </c>
      <c r="G11" s="64" t="s">
        <v>58</v>
      </c>
      <c r="I11" s="221" t="s">
        <v>48</v>
      </c>
      <c r="J11" s="221" t="s">
        <v>1</v>
      </c>
      <c r="L11" s="10">
        <v>0</v>
      </c>
      <c r="M11" s="10"/>
      <c r="N11" s="16"/>
      <c r="P11" s="110"/>
      <c r="Q11" s="111"/>
      <c r="R11" s="114"/>
      <c r="S11" s="139"/>
      <c r="T11" s="116"/>
      <c r="U11" s="142"/>
    </row>
    <row r="12" spans="2:24">
      <c r="B12" s="99" t="s">
        <v>103</v>
      </c>
      <c r="C12" s="96">
        <v>-793.58</v>
      </c>
      <c r="D12" s="97"/>
      <c r="E12" s="63">
        <v>0</v>
      </c>
      <c r="F12" s="64">
        <v>39995</v>
      </c>
      <c r="G12" s="64" t="s">
        <v>58</v>
      </c>
      <c r="I12" s="10">
        <v>1693</v>
      </c>
      <c r="J12" s="16"/>
      <c r="L12" s="144">
        <f>SUM(L3:L11)</f>
        <v>23952.82</v>
      </c>
      <c r="M12" s="144" t="s">
        <v>21</v>
      </c>
      <c r="N12" s="145"/>
      <c r="P12" s="110"/>
      <c r="Q12" s="111"/>
      <c r="R12" s="114"/>
      <c r="S12" s="139"/>
      <c r="T12" s="116"/>
      <c r="U12" s="142"/>
      <c r="X12" s="134"/>
    </row>
    <row r="13" spans="2:24">
      <c r="B13" s="99" t="s">
        <v>96</v>
      </c>
      <c r="C13" s="96">
        <v>-105.96</v>
      </c>
      <c r="D13" s="97"/>
      <c r="E13" s="63">
        <v>0</v>
      </c>
      <c r="F13" s="64">
        <v>39998</v>
      </c>
      <c r="G13" s="64" t="s">
        <v>58</v>
      </c>
      <c r="I13" s="10">
        <v>0</v>
      </c>
      <c r="J13" s="16" t="s">
        <v>41</v>
      </c>
      <c r="P13" s="110"/>
      <c r="Q13" s="111"/>
      <c r="R13" s="114"/>
      <c r="S13" s="139"/>
      <c r="T13" s="116"/>
      <c r="U13" s="142"/>
    </row>
    <row r="14" spans="2:24">
      <c r="B14" s="99" t="s">
        <v>29</v>
      </c>
      <c r="C14" s="96">
        <v>-300.05</v>
      </c>
      <c r="D14" s="97"/>
      <c r="E14" s="63">
        <v>0</v>
      </c>
      <c r="F14" s="64">
        <v>40001</v>
      </c>
      <c r="G14" s="64" t="s">
        <v>58</v>
      </c>
      <c r="I14" s="10">
        <v>0</v>
      </c>
      <c r="J14" s="16" t="s">
        <v>574</v>
      </c>
      <c r="P14" s="110"/>
      <c r="Q14" s="111"/>
      <c r="R14" s="114"/>
      <c r="S14" s="139"/>
      <c r="T14" s="116"/>
      <c r="U14" s="142"/>
      <c r="X14" s="134"/>
    </row>
    <row r="15" spans="2:24">
      <c r="B15" s="99" t="s">
        <v>584</v>
      </c>
      <c r="C15" s="96">
        <v>-34.42</v>
      </c>
      <c r="D15" s="97"/>
      <c r="E15" s="63">
        <v>0</v>
      </c>
      <c r="F15" s="64">
        <v>40001</v>
      </c>
      <c r="G15" s="64" t="s">
        <v>58</v>
      </c>
      <c r="I15" s="10">
        <v>-260</v>
      </c>
      <c r="J15" s="16" t="s">
        <v>586</v>
      </c>
      <c r="P15" s="110"/>
      <c r="Q15" s="111"/>
      <c r="R15" s="114"/>
      <c r="S15" s="139"/>
      <c r="T15" s="116"/>
      <c r="U15" s="142"/>
    </row>
    <row r="16" spans="2:24">
      <c r="B16" s="99" t="s">
        <v>41</v>
      </c>
      <c r="C16" s="96">
        <v>-100.5</v>
      </c>
      <c r="D16" s="97"/>
      <c r="E16" s="63">
        <v>0</v>
      </c>
      <c r="F16" s="64">
        <v>40004</v>
      </c>
      <c r="G16" s="64"/>
      <c r="I16" s="10">
        <v>-1562.98</v>
      </c>
      <c r="J16" s="16" t="s">
        <v>462</v>
      </c>
      <c r="P16" s="110"/>
      <c r="Q16" s="111"/>
      <c r="R16" s="114"/>
      <c r="S16" s="139"/>
      <c r="T16" s="116"/>
      <c r="U16" s="142"/>
      <c r="X16" s="134"/>
    </row>
    <row r="17" spans="2:31">
      <c r="B17" s="99" t="s">
        <v>312</v>
      </c>
      <c r="C17" s="96">
        <v>-50</v>
      </c>
      <c r="D17" s="97"/>
      <c r="E17" s="63">
        <v>0</v>
      </c>
      <c r="F17" s="64">
        <v>39999</v>
      </c>
      <c r="G17" s="64" t="s">
        <v>58</v>
      </c>
      <c r="I17" s="10">
        <v>-85.87</v>
      </c>
      <c r="J17" s="16" t="s">
        <v>587</v>
      </c>
      <c r="P17" s="119" t="s">
        <v>45</v>
      </c>
      <c r="Q17" s="120">
        <f>SUM(Q5:Q16)</f>
        <v>0</v>
      </c>
      <c r="R17" s="121"/>
      <c r="S17" s="119" t="s">
        <v>45</v>
      </c>
      <c r="T17" s="135"/>
      <c r="U17" s="135">
        <f>SUM(U5:U16)</f>
        <v>0</v>
      </c>
    </row>
    <row r="18" spans="2:31">
      <c r="B18" s="99" t="s">
        <v>574</v>
      </c>
      <c r="C18" s="96">
        <v>-130</v>
      </c>
      <c r="D18" s="97"/>
      <c r="E18" s="63">
        <v>0</v>
      </c>
      <c r="F18" s="64">
        <v>40004</v>
      </c>
      <c r="G18" s="64"/>
      <c r="H18" s="143"/>
      <c r="I18" s="10">
        <v>-100</v>
      </c>
      <c r="J18" s="16" t="s">
        <v>65</v>
      </c>
      <c r="X18" s="134"/>
    </row>
    <row r="19" spans="2:31">
      <c r="B19" s="99" t="s">
        <v>77</v>
      </c>
      <c r="C19" s="96">
        <v>-260</v>
      </c>
      <c r="D19" s="97"/>
      <c r="E19" s="63">
        <v>0</v>
      </c>
      <c r="F19" s="64">
        <v>40014</v>
      </c>
      <c r="G19" s="64"/>
      <c r="I19" s="60">
        <f>SUM(I12:I18)</f>
        <v>-315.85000000000002</v>
      </c>
      <c r="J19" s="160" t="s">
        <v>21</v>
      </c>
    </row>
    <row r="20" spans="2:31" ht="18">
      <c r="B20" s="74" t="s">
        <v>45</v>
      </c>
      <c r="C20" s="101"/>
      <c r="D20" s="98"/>
      <c r="E20" s="129">
        <f>SUM(E3:E19)</f>
        <v>72.88</v>
      </c>
      <c r="F20" s="75"/>
      <c r="G20" s="75"/>
      <c r="I20" s="1"/>
      <c r="S20" s="146"/>
      <c r="T20" s="147"/>
      <c r="U20" s="148"/>
    </row>
    <row r="21" spans="2:31">
      <c r="C21" s="1"/>
      <c r="D21" s="1"/>
      <c r="E21" s="1"/>
      <c r="I21" s="52"/>
      <c r="S21" s="152"/>
      <c r="X21" s="134"/>
    </row>
    <row r="22" spans="2:31">
      <c r="S22" s="149"/>
      <c r="T22" s="157"/>
      <c r="U22" s="157"/>
    </row>
    <row r="23" spans="2:31">
      <c r="S23" s="149"/>
      <c r="T23" s="157"/>
      <c r="U23" s="157"/>
      <c r="X23" s="134"/>
    </row>
    <row r="24" spans="2:31">
      <c r="S24" s="152"/>
    </row>
    <row r="25" spans="2:31">
      <c r="G25" s="161"/>
      <c r="S25" s="152"/>
    </row>
    <row r="26" spans="2:31">
      <c r="K26" s="1"/>
      <c r="S26" s="149"/>
      <c r="T26" s="157"/>
      <c r="U26" s="157"/>
      <c r="V26" s="146"/>
      <c r="Y26" s="149"/>
      <c r="Z26" s="146"/>
      <c r="AA26" s="147"/>
      <c r="AB26" s="148"/>
      <c r="AD26" s="150"/>
      <c r="AE26" s="151"/>
    </row>
    <row r="27" spans="2:31">
      <c r="S27" s="152"/>
      <c r="V27" s="153"/>
      <c r="W27" s="154"/>
      <c r="X27" s="134"/>
      <c r="Y27" s="152"/>
      <c r="Z27" s="153"/>
      <c r="AA27" s="154"/>
      <c r="AB27" s="134"/>
      <c r="AD27" s="155"/>
      <c r="AE27" s="156"/>
    </row>
    <row r="28" spans="2:31">
      <c r="S28" s="149"/>
      <c r="T28" s="157"/>
      <c r="U28" s="157"/>
      <c r="V28" s="146"/>
      <c r="W28" s="147"/>
      <c r="X28" s="148"/>
      <c r="Y28" s="149"/>
      <c r="Z28" s="146"/>
      <c r="AA28" s="147"/>
      <c r="AB28" s="148"/>
      <c r="AD28" s="150"/>
      <c r="AE28" s="151"/>
    </row>
    <row r="29" spans="2:3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E20" activeCellId="1" sqref="G13 E20"/>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5.42578125" customWidth="1"/>
    <col min="13" max="13" width="13.14062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-38.68</v>
      </c>
      <c r="F3" s="61"/>
      <c r="G3" s="61"/>
      <c r="I3" s="10">
        <f>400*5.62</f>
        <v>2248</v>
      </c>
      <c r="J3" s="16">
        <v>39972</v>
      </c>
      <c r="L3" s="10">
        <v>63313.86</v>
      </c>
      <c r="M3" s="10" t="s">
        <v>409</v>
      </c>
      <c r="N3" s="16"/>
      <c r="P3" s="581" t="s">
        <v>216</v>
      </c>
      <c r="Q3" s="581"/>
      <c r="R3" s="581"/>
      <c r="S3" s="582" t="s">
        <v>217</v>
      </c>
      <c r="T3" s="582"/>
      <c r="U3" s="582"/>
    </row>
    <row r="4" spans="2:24" ht="12" customHeight="1">
      <c r="B4" s="71" t="s">
        <v>56</v>
      </c>
      <c r="C4" s="91">
        <v>0</v>
      </c>
      <c r="D4" s="92"/>
      <c r="E4" s="95">
        <f>249.34-11.8</f>
        <v>237.54</v>
      </c>
      <c r="F4" s="72"/>
      <c r="G4" s="72"/>
      <c r="I4" s="10"/>
      <c r="J4" s="16"/>
      <c r="L4" s="10">
        <v>-646.66</v>
      </c>
      <c r="M4" s="10" t="s">
        <v>588</v>
      </c>
      <c r="N4" s="16"/>
      <c r="P4" s="107" t="s">
        <v>218</v>
      </c>
      <c r="Q4" s="108" t="s">
        <v>219</v>
      </c>
      <c r="R4" s="109" t="s">
        <v>1</v>
      </c>
      <c r="S4" s="107" t="s">
        <v>1</v>
      </c>
      <c r="T4" s="108" t="s">
        <v>218</v>
      </c>
      <c r="U4" s="109" t="s">
        <v>219</v>
      </c>
    </row>
    <row r="5" spans="2:24" ht="12" customHeight="1">
      <c r="B5" s="71" t="s">
        <v>5</v>
      </c>
      <c r="C5" s="91">
        <v>4482.7700000000004</v>
      </c>
      <c r="D5" s="92"/>
      <c r="E5" s="95">
        <v>0</v>
      </c>
      <c r="F5" s="72"/>
      <c r="G5" s="72"/>
      <c r="I5" s="10"/>
      <c r="J5" s="16"/>
      <c r="L5" s="10">
        <v>-646.66</v>
      </c>
      <c r="M5" s="10" t="s">
        <v>588</v>
      </c>
      <c r="N5" s="16"/>
      <c r="P5" s="110"/>
      <c r="Q5" s="111"/>
      <c r="R5" s="112"/>
      <c r="S5" s="139"/>
      <c r="T5" s="116"/>
      <c r="U5" s="142"/>
    </row>
    <row r="6" spans="2:24">
      <c r="B6" s="99" t="s">
        <v>418</v>
      </c>
      <c r="C6" s="96">
        <v>-1101</v>
      </c>
      <c r="D6" s="97"/>
      <c r="E6" s="63">
        <v>0</v>
      </c>
      <c r="F6" s="64">
        <v>40024</v>
      </c>
      <c r="G6" s="64" t="s">
        <v>58</v>
      </c>
      <c r="I6" s="10"/>
      <c r="J6" s="16"/>
      <c r="L6" s="10">
        <v>-500</v>
      </c>
      <c r="M6" s="10" t="s">
        <v>589</v>
      </c>
      <c r="N6" s="16"/>
      <c r="P6" s="110"/>
      <c r="Q6" s="111"/>
      <c r="R6" s="112"/>
      <c r="S6" s="139"/>
      <c r="T6" s="116"/>
      <c r="U6" s="142"/>
    </row>
    <row r="7" spans="2:24">
      <c r="B7" s="99" t="s">
        <v>590</v>
      </c>
      <c r="C7" s="96">
        <v>700</v>
      </c>
      <c r="D7" s="97"/>
      <c r="E7" s="63">
        <v>0</v>
      </c>
      <c r="F7" s="64"/>
      <c r="G7" s="64" t="s">
        <v>58</v>
      </c>
      <c r="I7" s="10"/>
      <c r="J7" s="16"/>
      <c r="L7" s="10">
        <v>-500</v>
      </c>
      <c r="M7" s="10" t="s">
        <v>589</v>
      </c>
      <c r="N7" s="16"/>
      <c r="P7" s="110"/>
      <c r="Q7" s="111"/>
      <c r="R7" s="133"/>
      <c r="S7" s="139"/>
      <c r="T7" s="116"/>
      <c r="U7" s="142"/>
    </row>
    <row r="8" spans="2:24">
      <c r="B8" s="99" t="s">
        <v>65</v>
      </c>
      <c r="C8" s="96">
        <v>-150</v>
      </c>
      <c r="D8" s="97"/>
      <c r="E8" s="63">
        <v>0</v>
      </c>
      <c r="F8" s="64" t="s">
        <v>583</v>
      </c>
      <c r="G8" s="64" t="s">
        <v>58</v>
      </c>
      <c r="I8" s="10"/>
      <c r="J8" s="16"/>
      <c r="L8" s="10">
        <v>-17000</v>
      </c>
      <c r="M8" s="10" t="s">
        <v>38</v>
      </c>
      <c r="N8" s="16"/>
      <c r="P8" s="110"/>
      <c r="Q8" s="111"/>
      <c r="R8" s="114"/>
      <c r="S8" s="139"/>
      <c r="T8" s="116"/>
      <c r="U8" s="142"/>
      <c r="X8" s="134"/>
    </row>
    <row r="9" spans="2:24">
      <c r="B9" s="99" t="s">
        <v>38</v>
      </c>
      <c r="C9" s="96">
        <v>-500.59</v>
      </c>
      <c r="D9" s="97"/>
      <c r="E9" s="63">
        <v>0</v>
      </c>
      <c r="F9" s="64">
        <v>40027</v>
      </c>
      <c r="G9" s="64" t="s">
        <v>58</v>
      </c>
      <c r="L9" s="10">
        <v>-3600</v>
      </c>
      <c r="M9" s="10" t="s">
        <v>411</v>
      </c>
      <c r="N9" s="16"/>
      <c r="P9" s="110"/>
      <c r="Q9" s="111"/>
      <c r="R9" s="114"/>
      <c r="S9" s="139"/>
      <c r="T9" s="116"/>
      <c r="U9" s="142"/>
    </row>
    <row r="10" spans="2:24">
      <c r="B10" s="99" t="s">
        <v>14</v>
      </c>
      <c r="C10" s="96">
        <v>-16.440000000000001</v>
      </c>
      <c r="D10" s="97"/>
      <c r="E10" s="63">
        <v>0</v>
      </c>
      <c r="F10" s="64">
        <v>40045</v>
      </c>
      <c r="G10" s="64" t="s">
        <v>58</v>
      </c>
      <c r="L10" s="10">
        <v>0</v>
      </c>
      <c r="M10" s="10"/>
      <c r="N10" s="16"/>
      <c r="P10" s="110"/>
      <c r="Q10" s="111"/>
      <c r="R10" s="114"/>
      <c r="S10" s="139"/>
      <c r="T10" s="116"/>
      <c r="U10" s="142"/>
      <c r="X10" s="134"/>
    </row>
    <row r="11" spans="2:24" ht="15.75">
      <c r="B11" s="99" t="s">
        <v>93</v>
      </c>
      <c r="C11" s="96">
        <v>-84.97</v>
      </c>
      <c r="D11" s="97"/>
      <c r="E11" s="63">
        <v>0</v>
      </c>
      <c r="F11" s="64">
        <v>40026</v>
      </c>
      <c r="G11" s="64" t="s">
        <v>58</v>
      </c>
      <c r="I11" s="221" t="s">
        <v>48</v>
      </c>
      <c r="J11" s="221" t="s">
        <v>1</v>
      </c>
      <c r="L11" s="10">
        <v>0</v>
      </c>
      <c r="M11" s="10"/>
      <c r="N11" s="16"/>
      <c r="P11" s="110"/>
      <c r="Q11" s="111"/>
      <c r="R11" s="114"/>
      <c r="S11" s="139"/>
      <c r="T11" s="116"/>
      <c r="U11" s="142"/>
    </row>
    <row r="12" spans="2:24">
      <c r="B12" s="99" t="s">
        <v>591</v>
      </c>
      <c r="C12" s="96">
        <v>-40</v>
      </c>
      <c r="D12" s="97"/>
      <c r="E12" s="63">
        <v>0</v>
      </c>
      <c r="F12" s="64">
        <v>40035</v>
      </c>
      <c r="G12" s="64" t="s">
        <v>58</v>
      </c>
      <c r="I12" s="10">
        <v>1969.66</v>
      </c>
      <c r="J12" s="16" t="s">
        <v>592</v>
      </c>
      <c r="L12" s="10">
        <v>0</v>
      </c>
      <c r="M12" s="10"/>
      <c r="N12" s="16"/>
      <c r="P12" s="110"/>
      <c r="Q12" s="111"/>
      <c r="R12" s="114"/>
      <c r="S12" s="139"/>
      <c r="T12" s="116"/>
      <c r="U12" s="142"/>
      <c r="X12" s="134"/>
    </row>
    <row r="13" spans="2:24">
      <c r="B13" s="99" t="s">
        <v>103</v>
      </c>
      <c r="C13" s="96">
        <v>-1379.9</v>
      </c>
      <c r="D13" s="97"/>
      <c r="E13" s="63">
        <v>0</v>
      </c>
      <c r="F13" s="64">
        <v>40026</v>
      </c>
      <c r="G13" s="64" t="s">
        <v>58</v>
      </c>
      <c r="I13" s="162">
        <v>-2024.01</v>
      </c>
      <c r="J13" s="16" t="s">
        <v>593</v>
      </c>
      <c r="L13" s="10">
        <v>0</v>
      </c>
      <c r="M13" s="10"/>
      <c r="N13" s="16"/>
      <c r="P13" s="110"/>
      <c r="Q13" s="111"/>
      <c r="R13" s="114"/>
      <c r="S13" s="139"/>
      <c r="T13" s="116"/>
      <c r="U13" s="142"/>
    </row>
    <row r="14" spans="2:24">
      <c r="B14" s="99" t="s">
        <v>96</v>
      </c>
      <c r="C14" s="96">
        <v>-165.37</v>
      </c>
      <c r="D14" s="97"/>
      <c r="E14" s="63">
        <v>0</v>
      </c>
      <c r="F14" s="64">
        <v>40029</v>
      </c>
      <c r="G14" s="64" t="s">
        <v>58</v>
      </c>
      <c r="I14" s="10"/>
      <c r="J14" s="16"/>
      <c r="L14" s="10">
        <v>0</v>
      </c>
      <c r="M14" s="10"/>
      <c r="N14" s="16"/>
      <c r="P14" s="110"/>
      <c r="Q14" s="111"/>
      <c r="R14" s="114"/>
      <c r="S14" s="139"/>
      <c r="T14" s="116"/>
      <c r="U14" s="142"/>
      <c r="X14" s="134"/>
    </row>
    <row r="15" spans="2:24">
      <c r="B15" s="99" t="s">
        <v>29</v>
      </c>
      <c r="C15" s="96">
        <v>-300.05</v>
      </c>
      <c r="D15" s="97"/>
      <c r="E15" s="63">
        <v>0</v>
      </c>
      <c r="F15" s="64">
        <v>40032</v>
      </c>
      <c r="G15" s="64" t="s">
        <v>58</v>
      </c>
      <c r="I15" s="10"/>
      <c r="J15" s="16"/>
      <c r="L15" s="10">
        <v>0</v>
      </c>
      <c r="M15" s="10"/>
      <c r="N15" s="16"/>
      <c r="P15" s="110"/>
      <c r="Q15" s="111"/>
      <c r="R15" s="114"/>
      <c r="S15" s="139"/>
      <c r="T15" s="116"/>
      <c r="U15" s="142"/>
    </row>
    <row r="16" spans="2:24">
      <c r="B16" s="99" t="s">
        <v>584</v>
      </c>
      <c r="C16" s="96">
        <v>-34.42</v>
      </c>
      <c r="D16" s="97"/>
      <c r="E16" s="63">
        <v>0</v>
      </c>
      <c r="F16" s="64">
        <v>40032</v>
      </c>
      <c r="G16" s="64" t="s">
        <v>58</v>
      </c>
      <c r="I16" s="10"/>
      <c r="J16" s="16"/>
      <c r="L16" s="10">
        <v>0</v>
      </c>
      <c r="M16" s="10"/>
      <c r="N16" s="16"/>
      <c r="P16" s="110"/>
      <c r="Q16" s="111"/>
      <c r="R16" s="114"/>
      <c r="S16" s="139"/>
      <c r="T16" s="116"/>
      <c r="U16" s="142"/>
      <c r="X16" s="134"/>
    </row>
    <row r="17" spans="2:31">
      <c r="B17" s="99" t="s">
        <v>41</v>
      </c>
      <c r="C17" s="96">
        <v>-110.43</v>
      </c>
      <c r="D17" s="97"/>
      <c r="E17" s="63">
        <v>0</v>
      </c>
      <c r="F17" s="64">
        <v>40035</v>
      </c>
      <c r="G17" s="64" t="s">
        <v>58</v>
      </c>
      <c r="I17" s="10"/>
      <c r="J17" s="16"/>
      <c r="L17" s="10">
        <v>0</v>
      </c>
      <c r="M17" s="10"/>
      <c r="N17" s="16"/>
      <c r="P17" s="119" t="s">
        <v>45</v>
      </c>
      <c r="Q17" s="120">
        <f>SUM(Q5:Q16)</f>
        <v>0</v>
      </c>
      <c r="R17" s="121"/>
      <c r="S17" s="119" t="s">
        <v>45</v>
      </c>
      <c r="T17" s="135"/>
      <c r="U17" s="135">
        <f>SUM(U5:U16)</f>
        <v>0</v>
      </c>
    </row>
    <row r="18" spans="2:31">
      <c r="B18" s="99" t="s">
        <v>312</v>
      </c>
      <c r="C18" s="96">
        <v>-50</v>
      </c>
      <c r="D18" s="97"/>
      <c r="E18" s="63">
        <v>0</v>
      </c>
      <c r="F18" s="64">
        <v>40030</v>
      </c>
      <c r="G18" s="64" t="s">
        <v>58</v>
      </c>
      <c r="H18" s="143"/>
      <c r="I18" s="10"/>
      <c r="J18" s="16"/>
      <c r="L18" s="10">
        <v>0</v>
      </c>
      <c r="M18" s="10"/>
      <c r="N18" s="16"/>
      <c r="X18" s="134"/>
    </row>
    <row r="19" spans="2:31">
      <c r="B19" s="99" t="s">
        <v>574</v>
      </c>
      <c r="C19" s="96">
        <v>-130</v>
      </c>
      <c r="D19" s="97"/>
      <c r="E19" s="63"/>
      <c r="F19" s="64">
        <v>40035</v>
      </c>
      <c r="G19" s="64" t="s">
        <v>58</v>
      </c>
      <c r="I19" s="60">
        <f>SUM(I12:I18)</f>
        <v>-54.349999999999909</v>
      </c>
      <c r="J19" s="160" t="s">
        <v>21</v>
      </c>
      <c r="L19" s="10">
        <v>0</v>
      </c>
      <c r="M19" s="10"/>
      <c r="N19" s="16"/>
    </row>
    <row r="20" spans="2:31">
      <c r="B20" s="99" t="s">
        <v>77</v>
      </c>
      <c r="C20" s="96">
        <v>-260</v>
      </c>
      <c r="D20" s="97"/>
      <c r="E20" s="63">
        <v>0</v>
      </c>
      <c r="F20" s="64">
        <v>40045</v>
      </c>
      <c r="G20" s="64" t="s">
        <v>58</v>
      </c>
      <c r="I20" s="1"/>
      <c r="L20" s="144">
        <f>SUM(L3:L19)</f>
        <v>40420.539999999994</v>
      </c>
      <c r="M20" s="144" t="s">
        <v>21</v>
      </c>
      <c r="N20" s="145"/>
      <c r="S20" s="146"/>
      <c r="T20" s="147"/>
      <c r="U20" s="148"/>
    </row>
    <row r="21" spans="2:31" ht="18">
      <c r="B21" s="74" t="s">
        <v>45</v>
      </c>
      <c r="C21" s="101"/>
      <c r="D21" s="98"/>
      <c r="E21" s="129">
        <f>SUM(E3:E20)</f>
        <v>198.85999999999999</v>
      </c>
      <c r="F21" s="75"/>
      <c r="G21" s="75"/>
      <c r="I21" s="52"/>
      <c r="S21" s="152"/>
      <c r="X21" s="134"/>
    </row>
    <row r="22" spans="2:31">
      <c r="C22" s="1"/>
      <c r="D22" s="1"/>
      <c r="E22" s="1"/>
      <c r="S22" s="149"/>
      <c r="T22" s="157"/>
      <c r="U22" s="157"/>
    </row>
    <row r="23" spans="2:31">
      <c r="S23" s="149"/>
      <c r="T23" s="157"/>
      <c r="U23" s="157"/>
      <c r="X23" s="134"/>
    </row>
    <row r="24" spans="2:31">
      <c r="S24" s="152"/>
    </row>
    <row r="25" spans="2:31">
      <c r="S25" s="152"/>
    </row>
    <row r="26" spans="2:31">
      <c r="G26" s="161"/>
      <c r="K26" s="1"/>
      <c r="S26" s="149"/>
      <c r="T26" s="157"/>
      <c r="U26" s="157"/>
      <c r="V26" s="146"/>
      <c r="Y26" s="149"/>
      <c r="Z26" s="146"/>
      <c r="AA26" s="147"/>
      <c r="AB26" s="148"/>
      <c r="AD26" s="150"/>
      <c r="AE26" s="151"/>
    </row>
    <row r="27" spans="2:31">
      <c r="S27" s="152"/>
      <c r="V27" s="153"/>
      <c r="W27" s="154"/>
      <c r="X27" s="134"/>
      <c r="Y27" s="152"/>
      <c r="Z27" s="153"/>
      <c r="AA27" s="154"/>
      <c r="AB27" s="134"/>
      <c r="AD27" s="155"/>
      <c r="AE27" s="156"/>
    </row>
    <row r="28" spans="2:31">
      <c r="S28" s="149"/>
      <c r="T28" s="157"/>
      <c r="U28" s="157"/>
      <c r="V28" s="146"/>
      <c r="W28" s="147"/>
      <c r="X28" s="148"/>
      <c r="Y28" s="149"/>
      <c r="Z28" s="146"/>
      <c r="AA28" s="147"/>
      <c r="AB28" s="148"/>
      <c r="AD28" s="150"/>
      <c r="AE28" s="151"/>
    </row>
    <row r="29" spans="2:3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E11" activeCellId="1" sqref="G13 E1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5.42578125" customWidth="1"/>
    <col min="13" max="13" width="13.14062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f>-112.93+120</f>
        <v>7.0699999999999932</v>
      </c>
      <c r="F3" s="61"/>
      <c r="G3" s="61"/>
      <c r="I3" s="10">
        <f>53*48.5</f>
        <v>2570.5</v>
      </c>
      <c r="J3" s="16">
        <v>39972</v>
      </c>
      <c r="L3" s="10">
        <f>53953.79+3500</f>
        <v>57453.79</v>
      </c>
      <c r="M3" s="10" t="s">
        <v>409</v>
      </c>
      <c r="N3" s="16"/>
      <c r="P3" s="581" t="s">
        <v>216</v>
      </c>
      <c r="Q3" s="581"/>
      <c r="R3" s="581"/>
      <c r="S3" s="582" t="s">
        <v>217</v>
      </c>
      <c r="T3" s="582"/>
      <c r="U3" s="582"/>
    </row>
    <row r="4" spans="2:24" ht="12" customHeight="1">
      <c r="B4" s="71" t="s">
        <v>56</v>
      </c>
      <c r="C4" s="91">
        <v>0</v>
      </c>
      <c r="D4" s="92"/>
      <c r="E4" s="95">
        <v>-321.62</v>
      </c>
      <c r="F4" s="72"/>
      <c r="G4" s="72"/>
      <c r="I4" s="10"/>
      <c r="J4" s="16"/>
      <c r="L4" s="10">
        <v>-646.66</v>
      </c>
      <c r="M4" s="10" t="s">
        <v>588</v>
      </c>
      <c r="N4" s="16"/>
      <c r="P4" s="107" t="s">
        <v>218</v>
      </c>
      <c r="Q4" s="108" t="s">
        <v>219</v>
      </c>
      <c r="R4" s="109" t="s">
        <v>1</v>
      </c>
      <c r="S4" s="107" t="s">
        <v>1</v>
      </c>
      <c r="T4" s="108" t="s">
        <v>218</v>
      </c>
      <c r="U4" s="109" t="s">
        <v>219</v>
      </c>
    </row>
    <row r="5" spans="2:24" ht="12" customHeight="1">
      <c r="B5" s="71" t="s">
        <v>5</v>
      </c>
      <c r="C5" s="91">
        <v>4482.7700000000004</v>
      </c>
      <c r="D5" s="92"/>
      <c r="E5" s="95">
        <v>0</v>
      </c>
      <c r="F5" s="72"/>
      <c r="G5" s="72"/>
      <c r="I5" s="10"/>
      <c r="J5" s="16"/>
      <c r="L5" s="10">
        <v>-500</v>
      </c>
      <c r="M5" s="10" t="s">
        <v>589</v>
      </c>
      <c r="N5" s="16"/>
      <c r="P5" s="110"/>
      <c r="Q5" s="111"/>
      <c r="R5" s="112"/>
      <c r="S5" s="139"/>
      <c r="T5" s="116"/>
      <c r="U5" s="142"/>
    </row>
    <row r="6" spans="2:24">
      <c r="B6" s="99" t="s">
        <v>418</v>
      </c>
      <c r="C6" s="96">
        <v>-1101</v>
      </c>
      <c r="D6" s="97"/>
      <c r="E6" s="63">
        <v>0</v>
      </c>
      <c r="F6" s="64">
        <v>40056</v>
      </c>
      <c r="G6" s="64" t="s">
        <v>58</v>
      </c>
      <c r="I6" s="10"/>
      <c r="J6" s="16"/>
      <c r="L6" s="10">
        <v>-17239.84</v>
      </c>
      <c r="M6" s="10" t="s">
        <v>38</v>
      </c>
      <c r="N6" s="16"/>
      <c r="P6" s="110"/>
      <c r="Q6" s="111"/>
      <c r="R6" s="112"/>
      <c r="S6" s="139"/>
      <c r="T6" s="116"/>
      <c r="U6" s="142"/>
    </row>
    <row r="7" spans="2:24">
      <c r="B7" s="99" t="s">
        <v>590</v>
      </c>
      <c r="C7" s="96">
        <v>700</v>
      </c>
      <c r="D7" s="97"/>
      <c r="E7" s="63">
        <v>0</v>
      </c>
      <c r="F7" s="64">
        <v>40056</v>
      </c>
      <c r="G7" s="64" t="s">
        <v>58</v>
      </c>
      <c r="I7" s="10"/>
      <c r="J7" s="16"/>
      <c r="L7" s="10">
        <v>0</v>
      </c>
      <c r="M7" s="10"/>
      <c r="N7" s="16"/>
      <c r="P7" s="110"/>
      <c r="Q7" s="111"/>
      <c r="R7" s="133"/>
      <c r="S7" s="139"/>
      <c r="T7" s="116"/>
      <c r="U7" s="142"/>
    </row>
    <row r="8" spans="2:24">
      <c r="B8" s="99" t="s">
        <v>65</v>
      </c>
      <c r="C8" s="96">
        <v>-50</v>
      </c>
      <c r="D8" s="97"/>
      <c r="E8" s="65">
        <v>0</v>
      </c>
      <c r="F8" s="127" t="s">
        <v>278</v>
      </c>
      <c r="G8" s="127"/>
      <c r="I8" s="10"/>
      <c r="J8" s="16"/>
      <c r="L8" s="10">
        <v>0</v>
      </c>
      <c r="M8" s="10"/>
      <c r="N8" s="16"/>
      <c r="P8" s="110"/>
      <c r="Q8" s="111"/>
      <c r="R8" s="114"/>
      <c r="S8" s="139"/>
      <c r="T8" s="116"/>
      <c r="U8" s="142"/>
      <c r="X8" s="134"/>
    </row>
    <row r="9" spans="2:24">
      <c r="B9" s="99" t="s">
        <v>38</v>
      </c>
      <c r="C9" s="96">
        <v>-500.59</v>
      </c>
      <c r="D9" s="97"/>
      <c r="E9" s="63">
        <v>0</v>
      </c>
      <c r="F9" s="64">
        <v>40058</v>
      </c>
      <c r="G9" s="64" t="s">
        <v>58</v>
      </c>
      <c r="L9" s="10">
        <v>0</v>
      </c>
      <c r="M9" s="10"/>
      <c r="N9" s="16"/>
      <c r="P9" s="110"/>
      <c r="Q9" s="111"/>
      <c r="R9" s="114"/>
      <c r="S9" s="139"/>
      <c r="T9" s="116"/>
      <c r="U9" s="142"/>
    </row>
    <row r="10" spans="2:24">
      <c r="B10" s="99" t="s">
        <v>14</v>
      </c>
      <c r="C10" s="96">
        <v>-16.440000000000001</v>
      </c>
      <c r="D10" s="97"/>
      <c r="E10" s="65">
        <v>0</v>
      </c>
      <c r="F10" s="127">
        <v>40076</v>
      </c>
      <c r="G10" s="127"/>
      <c r="L10" s="10">
        <v>0</v>
      </c>
      <c r="M10" s="10"/>
      <c r="N10" s="16"/>
      <c r="P10" s="110"/>
      <c r="Q10" s="111"/>
      <c r="R10" s="114"/>
      <c r="S10" s="139"/>
      <c r="T10" s="116"/>
      <c r="U10" s="142"/>
      <c r="X10" s="134"/>
    </row>
    <row r="11" spans="2:24" ht="15.75">
      <c r="B11" s="99" t="s">
        <v>93</v>
      </c>
      <c r="C11" s="96">
        <v>-84.97</v>
      </c>
      <c r="D11" s="97"/>
      <c r="E11" s="63">
        <v>0</v>
      </c>
      <c r="F11" s="64">
        <v>40057</v>
      </c>
      <c r="G11" s="64" t="s">
        <v>58</v>
      </c>
      <c r="I11" s="221" t="s">
        <v>48</v>
      </c>
      <c r="J11" s="221" t="s">
        <v>1</v>
      </c>
      <c r="L11" s="10">
        <v>0</v>
      </c>
      <c r="M11" s="10"/>
      <c r="N11" s="16"/>
      <c r="P11" s="110"/>
      <c r="Q11" s="111"/>
      <c r="R11" s="114"/>
      <c r="S11" s="139"/>
      <c r="T11" s="116"/>
      <c r="U11" s="142"/>
    </row>
    <row r="12" spans="2:24">
      <c r="B12" s="99" t="s">
        <v>103</v>
      </c>
      <c r="C12" s="96">
        <v>-1264.5999999999999</v>
      </c>
      <c r="D12" s="97"/>
      <c r="E12" s="63">
        <v>0</v>
      </c>
      <c r="F12" s="64">
        <v>40057</v>
      </c>
      <c r="G12" s="64" t="s">
        <v>58</v>
      </c>
      <c r="I12" s="10">
        <f>416.33-44</f>
        <v>372.33</v>
      </c>
      <c r="J12" s="16" t="s">
        <v>592</v>
      </c>
      <c r="L12" s="10">
        <v>0</v>
      </c>
      <c r="M12" s="10"/>
      <c r="N12" s="16"/>
      <c r="P12" s="110"/>
      <c r="Q12" s="111"/>
      <c r="R12" s="114"/>
      <c r="S12" s="139"/>
      <c r="T12" s="116"/>
      <c r="U12" s="142"/>
      <c r="X12" s="134"/>
    </row>
    <row r="13" spans="2:24">
      <c r="B13" s="99" t="s">
        <v>96</v>
      </c>
      <c r="C13" s="96">
        <v>-62.04</v>
      </c>
      <c r="D13" s="97"/>
      <c r="E13" s="63">
        <v>0</v>
      </c>
      <c r="F13" s="64">
        <v>40060</v>
      </c>
      <c r="G13" s="64" t="s">
        <v>58</v>
      </c>
      <c r="I13" s="162"/>
      <c r="J13" s="16"/>
      <c r="L13" s="10">
        <v>0</v>
      </c>
      <c r="M13" s="10"/>
      <c r="N13" s="16"/>
      <c r="P13" s="110"/>
      <c r="Q13" s="111"/>
      <c r="R13" s="114"/>
      <c r="S13" s="139"/>
      <c r="T13" s="116"/>
      <c r="U13" s="142"/>
    </row>
    <row r="14" spans="2:24">
      <c r="B14" s="99" t="s">
        <v>73</v>
      </c>
      <c r="C14" s="96">
        <v>-130</v>
      </c>
      <c r="D14" s="97"/>
      <c r="E14" s="63">
        <v>0</v>
      </c>
      <c r="F14" s="64">
        <v>40066</v>
      </c>
      <c r="G14" s="64" t="s">
        <v>58</v>
      </c>
      <c r="I14" s="10"/>
      <c r="J14" s="16"/>
      <c r="L14" s="10">
        <v>0</v>
      </c>
      <c r="M14" s="10"/>
      <c r="N14" s="16"/>
      <c r="P14" s="110"/>
      <c r="Q14" s="111"/>
      <c r="R14" s="114"/>
      <c r="S14" s="139"/>
      <c r="T14" s="116"/>
      <c r="U14" s="142"/>
      <c r="X14" s="134"/>
    </row>
    <row r="15" spans="2:24">
      <c r="B15" s="99" t="s">
        <v>29</v>
      </c>
      <c r="C15" s="96">
        <v>-300.05</v>
      </c>
      <c r="D15" s="97"/>
      <c r="E15" s="63">
        <v>0</v>
      </c>
      <c r="F15" s="64">
        <v>40066</v>
      </c>
      <c r="G15" s="64" t="s">
        <v>58</v>
      </c>
      <c r="I15" s="10"/>
      <c r="J15" s="16"/>
      <c r="L15" s="10">
        <v>0</v>
      </c>
      <c r="M15" s="10"/>
      <c r="N15" s="16"/>
      <c r="P15" s="110"/>
      <c r="Q15" s="111"/>
      <c r="R15" s="114"/>
      <c r="S15" s="139"/>
      <c r="T15" s="116"/>
      <c r="U15" s="142"/>
    </row>
    <row r="16" spans="2:24">
      <c r="B16" s="99" t="s">
        <v>584</v>
      </c>
      <c r="C16" s="96">
        <v>-34.42</v>
      </c>
      <c r="D16" s="97"/>
      <c r="E16" s="63">
        <v>0</v>
      </c>
      <c r="F16" s="64">
        <v>40066</v>
      </c>
      <c r="G16" s="64" t="s">
        <v>58</v>
      </c>
      <c r="I16" s="10"/>
      <c r="J16" s="16"/>
      <c r="L16" s="10">
        <v>0</v>
      </c>
      <c r="M16" s="10"/>
      <c r="N16" s="16"/>
      <c r="P16" s="110"/>
      <c r="Q16" s="111"/>
      <c r="R16" s="114"/>
      <c r="S16" s="139"/>
      <c r="T16" s="116"/>
      <c r="U16" s="142"/>
      <c r="X16" s="134"/>
    </row>
    <row r="17" spans="2:31">
      <c r="B17" s="99" t="s">
        <v>41</v>
      </c>
      <c r="C17" s="96">
        <v>-110.43</v>
      </c>
      <c r="D17" s="97"/>
      <c r="E17" s="63">
        <v>0</v>
      </c>
      <c r="F17" s="64">
        <v>40066</v>
      </c>
      <c r="G17" s="64"/>
      <c r="I17" s="10"/>
      <c r="J17" s="16"/>
      <c r="L17" s="144">
        <f>SUM(L3:L16)</f>
        <v>39067.289999999994</v>
      </c>
      <c r="M17" s="144" t="s">
        <v>21</v>
      </c>
      <c r="N17" s="145"/>
      <c r="P17" s="119" t="s">
        <v>45</v>
      </c>
      <c r="Q17" s="120">
        <f>SUM(Q5:Q16)</f>
        <v>0</v>
      </c>
      <c r="R17" s="121"/>
      <c r="S17" s="119" t="s">
        <v>45</v>
      </c>
      <c r="T17" s="135"/>
      <c r="U17" s="135">
        <f>SUM(U5:U16)</f>
        <v>0</v>
      </c>
    </row>
    <row r="18" spans="2:31">
      <c r="B18" s="99" t="s">
        <v>312</v>
      </c>
      <c r="C18" s="96">
        <v>-50</v>
      </c>
      <c r="D18" s="97"/>
      <c r="E18" s="63">
        <v>0</v>
      </c>
      <c r="F18" s="64">
        <v>40079</v>
      </c>
      <c r="G18" s="64" t="s">
        <v>58</v>
      </c>
      <c r="H18" s="143"/>
      <c r="I18" s="10"/>
      <c r="J18" s="16"/>
      <c r="X18" s="134"/>
    </row>
    <row r="19" spans="2:31">
      <c r="B19" s="99" t="s">
        <v>574</v>
      </c>
      <c r="C19" s="96">
        <v>-130</v>
      </c>
      <c r="D19" s="97"/>
      <c r="E19" s="63">
        <v>0</v>
      </c>
      <c r="F19" s="64">
        <v>40066</v>
      </c>
      <c r="G19" s="64"/>
      <c r="I19" s="60">
        <f>SUM(I12:I18)</f>
        <v>372.33</v>
      </c>
      <c r="J19" s="160" t="s">
        <v>21</v>
      </c>
    </row>
    <row r="20" spans="2:31">
      <c r="B20" s="99" t="s">
        <v>102</v>
      </c>
      <c r="C20" s="96">
        <v>-500</v>
      </c>
      <c r="D20" s="97"/>
      <c r="E20" s="63">
        <v>0</v>
      </c>
      <c r="F20" s="64"/>
      <c r="G20" s="64"/>
      <c r="I20" s="1"/>
      <c r="S20" s="146"/>
      <c r="T20" s="147"/>
      <c r="U20" s="148"/>
    </row>
    <row r="21" spans="2:31">
      <c r="B21" s="99" t="s">
        <v>594</v>
      </c>
      <c r="C21" s="96">
        <v>-50</v>
      </c>
      <c r="D21" s="97"/>
      <c r="E21" s="63">
        <v>0</v>
      </c>
      <c r="F21" s="64"/>
      <c r="G21" s="64" t="s">
        <v>58</v>
      </c>
      <c r="I21" s="52"/>
      <c r="S21" s="152"/>
      <c r="X21" s="134"/>
    </row>
    <row r="22" spans="2:31">
      <c r="B22" s="99" t="s">
        <v>83</v>
      </c>
      <c r="C22" s="96">
        <f>-85.12*0.8</f>
        <v>-68.096000000000004</v>
      </c>
      <c r="D22" s="97"/>
      <c r="E22" s="65">
        <v>0</v>
      </c>
      <c r="F22" s="127"/>
      <c r="G22" s="127"/>
      <c r="S22" s="149"/>
      <c r="T22" s="157"/>
      <c r="U22" s="157"/>
    </row>
    <row r="23" spans="2:31">
      <c r="B23" s="99" t="s">
        <v>77</v>
      </c>
      <c r="C23" s="96">
        <v>-288</v>
      </c>
      <c r="D23" s="97"/>
      <c r="E23" s="63">
        <v>0</v>
      </c>
      <c r="F23" s="64">
        <v>40045</v>
      </c>
      <c r="G23" s="64"/>
      <c r="S23" s="149"/>
      <c r="T23" s="157"/>
      <c r="U23" s="157"/>
      <c r="X23" s="134"/>
    </row>
    <row r="24" spans="2:31" ht="18">
      <c r="B24" s="74" t="s">
        <v>45</v>
      </c>
      <c r="C24" s="101"/>
      <c r="D24" s="98"/>
      <c r="E24" s="129">
        <f>SUM(E3:E23)</f>
        <v>-314.55</v>
      </c>
      <c r="F24" s="75"/>
      <c r="G24" s="75"/>
      <c r="S24" s="152"/>
    </row>
    <row r="25" spans="2:31">
      <c r="C25" s="1"/>
      <c r="D25" s="1"/>
      <c r="E25" s="1"/>
      <c r="S25" s="152"/>
    </row>
    <row r="26" spans="2:31">
      <c r="K26" s="1"/>
      <c r="S26" s="149"/>
      <c r="T26" s="157"/>
      <c r="U26" s="157"/>
      <c r="V26" s="146"/>
      <c r="Y26" s="149"/>
      <c r="Z26" s="146"/>
      <c r="AA26" s="147"/>
      <c r="AB26" s="148"/>
      <c r="AD26" s="150"/>
      <c r="AE26" s="151"/>
    </row>
    <row r="27" spans="2:31">
      <c r="S27" s="152"/>
      <c r="V27" s="153"/>
      <c r="W27" s="154"/>
      <c r="X27" s="134"/>
      <c r="Y27" s="152"/>
      <c r="Z27" s="153"/>
      <c r="AA27" s="154"/>
      <c r="AB27" s="134"/>
      <c r="AD27" s="155"/>
      <c r="AE27" s="156"/>
    </row>
    <row r="28" spans="2:31">
      <c r="S28" s="149"/>
      <c r="T28" s="157"/>
      <c r="U28" s="157"/>
      <c r="V28" s="146"/>
      <c r="W28" s="147"/>
      <c r="X28" s="148"/>
      <c r="Y28" s="149"/>
      <c r="Z28" s="146"/>
      <c r="AA28" s="147"/>
      <c r="AB28" s="148"/>
      <c r="AD28" s="150"/>
      <c r="AE28" s="151"/>
    </row>
    <row r="29" spans="2:31">
      <c r="G29" s="16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E21" activeCellId="1" sqref="G13 E2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5.42578125" customWidth="1"/>
    <col min="13" max="13" width="1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-116.96</v>
      </c>
      <c r="F3" s="61"/>
      <c r="G3" s="61"/>
      <c r="I3" s="10">
        <v>2395.0700000000002</v>
      </c>
      <c r="J3" s="16">
        <v>39972</v>
      </c>
      <c r="L3" s="10">
        <f>54035.44+327.99</f>
        <v>54363.43</v>
      </c>
      <c r="M3" s="10" t="s">
        <v>409</v>
      </c>
      <c r="N3" s="16"/>
      <c r="P3" s="581" t="s">
        <v>216</v>
      </c>
      <c r="Q3" s="581"/>
      <c r="R3" s="581"/>
      <c r="S3" s="582" t="s">
        <v>217</v>
      </c>
      <c r="T3" s="582"/>
      <c r="U3" s="582"/>
    </row>
    <row r="4" spans="2:24" ht="12" customHeight="1">
      <c r="B4" s="71" t="s">
        <v>56</v>
      </c>
      <c r="C4" s="91">
        <v>0</v>
      </c>
      <c r="D4" s="92"/>
      <c r="E4" s="95">
        <v>-205.49</v>
      </c>
      <c r="F4" s="72"/>
      <c r="G4" s="72"/>
      <c r="I4" s="10"/>
      <c r="J4" s="16"/>
      <c r="L4" s="10">
        <v>-17239.84</v>
      </c>
      <c r="M4" s="10" t="s">
        <v>38</v>
      </c>
      <c r="N4" s="16"/>
      <c r="P4" s="107" t="s">
        <v>218</v>
      </c>
      <c r="Q4" s="108" t="s">
        <v>219</v>
      </c>
      <c r="R4" s="109" t="s">
        <v>1</v>
      </c>
      <c r="S4" s="107" t="s">
        <v>1</v>
      </c>
      <c r="T4" s="108" t="s">
        <v>218</v>
      </c>
      <c r="U4" s="109" t="s">
        <v>219</v>
      </c>
    </row>
    <row r="5" spans="2:24" ht="12" customHeight="1">
      <c r="B5" s="71" t="s">
        <v>5</v>
      </c>
      <c r="C5" s="91">
        <v>4492.37</v>
      </c>
      <c r="D5" s="92"/>
      <c r="E5" s="95">
        <v>0</v>
      </c>
      <c r="F5" s="72"/>
      <c r="G5" s="72"/>
      <c r="I5" s="10"/>
      <c r="J5" s="16"/>
      <c r="L5" s="10">
        <v>4000</v>
      </c>
      <c r="M5" s="10" t="s">
        <v>595</v>
      </c>
      <c r="N5" s="16"/>
      <c r="P5" s="110"/>
      <c r="Q5" s="111"/>
      <c r="R5" s="112"/>
      <c r="S5" s="139"/>
      <c r="T5" s="116"/>
      <c r="U5" s="142"/>
    </row>
    <row r="6" spans="2:24">
      <c r="B6" s="99" t="s">
        <v>418</v>
      </c>
      <c r="C6" s="96">
        <v>-1101</v>
      </c>
      <c r="D6" s="97"/>
      <c r="E6" s="63">
        <v>0</v>
      </c>
      <c r="F6" s="64" t="s">
        <v>596</v>
      </c>
      <c r="G6" s="64" t="s">
        <v>58</v>
      </c>
      <c r="I6" s="10"/>
      <c r="J6" s="16"/>
      <c r="L6" s="10">
        <v>2800</v>
      </c>
      <c r="M6" s="10" t="s">
        <v>597</v>
      </c>
      <c r="N6" s="16"/>
      <c r="P6" s="110"/>
      <c r="Q6" s="111"/>
      <c r="R6" s="112"/>
      <c r="S6" s="139"/>
      <c r="T6" s="116"/>
      <c r="U6" s="142"/>
    </row>
    <row r="7" spans="2:24">
      <c r="B7" s="99" t="s">
        <v>598</v>
      </c>
      <c r="C7" s="96">
        <f>141*3</f>
        <v>423</v>
      </c>
      <c r="D7" s="97"/>
      <c r="E7" s="63">
        <v>0</v>
      </c>
      <c r="F7" s="64">
        <v>40096</v>
      </c>
      <c r="G7" s="64" t="s">
        <v>58</v>
      </c>
      <c r="I7" s="10"/>
      <c r="J7" s="16"/>
      <c r="L7" s="10">
        <v>4500</v>
      </c>
      <c r="M7" s="10" t="s">
        <v>597</v>
      </c>
      <c r="N7" s="16"/>
      <c r="P7" s="110"/>
      <c r="Q7" s="111"/>
      <c r="R7" s="133"/>
      <c r="S7" s="139"/>
      <c r="T7" s="116"/>
      <c r="U7" s="142"/>
    </row>
    <row r="8" spans="2:24">
      <c r="B8" s="99" t="s">
        <v>81</v>
      </c>
      <c r="C8" s="96">
        <v>100</v>
      </c>
      <c r="D8" s="97"/>
      <c r="E8" s="63">
        <v>0</v>
      </c>
      <c r="F8" s="64">
        <v>40096</v>
      </c>
      <c r="G8" s="64" t="s">
        <v>58</v>
      </c>
      <c r="I8" s="10"/>
      <c r="J8" s="16"/>
      <c r="L8" s="10">
        <v>3000</v>
      </c>
      <c r="M8" s="10" t="s">
        <v>599</v>
      </c>
      <c r="N8" s="16"/>
      <c r="P8" s="110"/>
      <c r="Q8" s="111"/>
      <c r="R8" s="114"/>
      <c r="S8" s="139"/>
      <c r="T8" s="116"/>
      <c r="U8" s="142"/>
      <c r="X8" s="134"/>
    </row>
    <row r="9" spans="2:24">
      <c r="B9" s="99" t="s">
        <v>600</v>
      </c>
      <c r="C9" s="96">
        <v>114</v>
      </c>
      <c r="D9" s="97"/>
      <c r="E9" s="63">
        <v>0</v>
      </c>
      <c r="F9" s="64">
        <v>40096</v>
      </c>
      <c r="G9" s="64" t="s">
        <v>58</v>
      </c>
      <c r="L9" s="10">
        <v>-300</v>
      </c>
      <c r="M9" s="10" t="s">
        <v>601</v>
      </c>
      <c r="N9" s="16"/>
      <c r="P9" s="110"/>
      <c r="Q9" s="111"/>
      <c r="R9" s="114"/>
      <c r="S9" s="139"/>
      <c r="T9" s="116"/>
      <c r="U9" s="142"/>
    </row>
    <row r="10" spans="2:24">
      <c r="B10" s="99" t="s">
        <v>590</v>
      </c>
      <c r="C10" s="96">
        <v>770</v>
      </c>
      <c r="D10" s="97"/>
      <c r="E10" s="63">
        <v>0</v>
      </c>
      <c r="F10" s="64">
        <v>40096</v>
      </c>
      <c r="G10" s="64" t="s">
        <v>58</v>
      </c>
      <c r="L10" s="10">
        <v>0</v>
      </c>
      <c r="M10" s="10"/>
      <c r="N10" s="16"/>
      <c r="P10" s="110"/>
      <c r="Q10" s="111"/>
      <c r="R10" s="114"/>
      <c r="S10" s="139"/>
      <c r="T10" s="116"/>
      <c r="U10" s="142"/>
      <c r="X10" s="134"/>
    </row>
    <row r="11" spans="2:24" ht="15.75">
      <c r="B11" s="99" t="s">
        <v>65</v>
      </c>
      <c r="C11" s="96">
        <v>-50</v>
      </c>
      <c r="D11" s="97"/>
      <c r="E11" s="63">
        <v>0</v>
      </c>
      <c r="F11" s="64" t="s">
        <v>278</v>
      </c>
      <c r="G11" s="64" t="s">
        <v>58</v>
      </c>
      <c r="I11" s="221" t="s">
        <v>48</v>
      </c>
      <c r="J11" s="221" t="s">
        <v>1</v>
      </c>
      <c r="L11" s="10">
        <v>0</v>
      </c>
      <c r="M11" s="10"/>
      <c r="N11" s="16"/>
      <c r="P11" s="110"/>
      <c r="Q11" s="111"/>
      <c r="R11" s="114"/>
      <c r="S11" s="139"/>
      <c r="T11" s="116"/>
      <c r="U11" s="142"/>
    </row>
    <row r="12" spans="2:24">
      <c r="B12" s="99" t="s">
        <v>38</v>
      </c>
      <c r="C12" s="96">
        <v>-500.59</v>
      </c>
      <c r="D12" s="97"/>
      <c r="E12" s="63">
        <v>0</v>
      </c>
      <c r="F12" s="64">
        <v>40115</v>
      </c>
      <c r="G12" s="64" t="s">
        <v>58</v>
      </c>
      <c r="I12" s="10">
        <v>1</v>
      </c>
      <c r="J12" s="16"/>
      <c r="L12" s="10">
        <v>0</v>
      </c>
      <c r="M12" s="10"/>
      <c r="N12" s="16"/>
      <c r="P12" s="110"/>
      <c r="Q12" s="111"/>
      <c r="R12" s="114"/>
      <c r="S12" s="139"/>
      <c r="T12" s="116"/>
      <c r="U12" s="142"/>
      <c r="X12" s="134"/>
    </row>
    <row r="13" spans="2:24">
      <c r="B13" s="99" t="s">
        <v>14</v>
      </c>
      <c r="C13" s="96">
        <v>-13.26</v>
      </c>
      <c r="D13" s="97"/>
      <c r="E13" s="63">
        <v>0</v>
      </c>
      <c r="F13" s="64">
        <v>40106</v>
      </c>
      <c r="G13" s="64" t="s">
        <v>58</v>
      </c>
      <c r="I13" s="162"/>
      <c r="J13" s="16"/>
      <c r="L13" s="10">
        <v>0</v>
      </c>
      <c r="M13" s="10"/>
      <c r="N13" s="16"/>
      <c r="P13" s="110"/>
      <c r="Q13" s="111"/>
      <c r="R13" s="114"/>
      <c r="S13" s="139"/>
      <c r="T13" s="116"/>
      <c r="U13" s="142"/>
    </row>
    <row r="14" spans="2:24">
      <c r="B14" s="99" t="s">
        <v>93</v>
      </c>
      <c r="C14" s="96">
        <v>-229.79</v>
      </c>
      <c r="D14" s="97"/>
      <c r="E14" s="63">
        <v>0</v>
      </c>
      <c r="F14" s="64"/>
      <c r="G14" s="64" t="s">
        <v>58</v>
      </c>
      <c r="I14" s="10"/>
      <c r="J14" s="16"/>
      <c r="L14" s="10">
        <v>0</v>
      </c>
      <c r="M14" s="10"/>
      <c r="N14" s="16"/>
      <c r="P14" s="110"/>
      <c r="Q14" s="111"/>
      <c r="R14" s="114"/>
      <c r="S14" s="139"/>
      <c r="T14" s="116"/>
      <c r="U14" s="142"/>
      <c r="X14" s="134"/>
    </row>
    <row r="15" spans="2:24">
      <c r="B15" s="99" t="s">
        <v>103</v>
      </c>
      <c r="C15" s="96">
        <v>-1578</v>
      </c>
      <c r="D15" s="97"/>
      <c r="E15" s="63">
        <v>0</v>
      </c>
      <c r="F15" s="64"/>
      <c r="G15" s="64" t="s">
        <v>58</v>
      </c>
      <c r="I15" s="10"/>
      <c r="J15" s="16"/>
      <c r="L15" s="144">
        <f>SUM(L3:L14)</f>
        <v>51123.59</v>
      </c>
      <c r="M15" s="144" t="s">
        <v>21</v>
      </c>
      <c r="N15" s="145"/>
      <c r="P15" s="110"/>
      <c r="Q15" s="111"/>
      <c r="R15" s="114"/>
      <c r="S15" s="139"/>
      <c r="T15" s="116"/>
      <c r="U15" s="142"/>
    </row>
    <row r="16" spans="2:24">
      <c r="B16" s="99" t="s">
        <v>73</v>
      </c>
      <c r="C16" s="96">
        <v>-252.15</v>
      </c>
      <c r="D16" s="97"/>
      <c r="E16" s="63">
        <v>0</v>
      </c>
      <c r="F16" s="64">
        <v>40096</v>
      </c>
      <c r="G16" s="64" t="s">
        <v>58</v>
      </c>
      <c r="I16" s="10"/>
      <c r="J16" s="16"/>
      <c r="P16" s="110"/>
      <c r="Q16" s="111"/>
      <c r="R16" s="114"/>
      <c r="S16" s="139"/>
      <c r="T16" s="116"/>
      <c r="U16" s="142"/>
      <c r="X16" s="134"/>
    </row>
    <row r="17" spans="2:31">
      <c r="B17" s="99" t="s">
        <v>29</v>
      </c>
      <c r="C17" s="96">
        <v>-300.05</v>
      </c>
      <c r="D17" s="97"/>
      <c r="E17" s="63">
        <v>0</v>
      </c>
      <c r="F17" s="64"/>
      <c r="G17" s="64" t="s">
        <v>58</v>
      </c>
      <c r="I17" s="10"/>
      <c r="J17" s="16"/>
      <c r="P17" s="119" t="s">
        <v>45</v>
      </c>
      <c r="Q17" s="120">
        <f>SUM(Q5:Q16)</f>
        <v>0</v>
      </c>
      <c r="R17" s="121"/>
      <c r="S17" s="119" t="s">
        <v>45</v>
      </c>
      <c r="T17" s="135"/>
      <c r="U17" s="135">
        <f>SUM(U5:U16)</f>
        <v>0</v>
      </c>
    </row>
    <row r="18" spans="2:31">
      <c r="B18" s="99" t="s">
        <v>584</v>
      </c>
      <c r="C18" s="96">
        <v>-34.42</v>
      </c>
      <c r="D18" s="97"/>
      <c r="E18" s="63">
        <v>0</v>
      </c>
      <c r="F18" s="64"/>
      <c r="G18" s="64" t="s">
        <v>58</v>
      </c>
      <c r="H18" s="143"/>
      <c r="I18" s="10"/>
      <c r="J18" s="16"/>
      <c r="X18" s="134"/>
    </row>
    <row r="19" spans="2:31">
      <c r="B19" s="99" t="s">
        <v>41</v>
      </c>
      <c r="C19" s="96">
        <v>-99.31</v>
      </c>
      <c r="D19" s="97"/>
      <c r="E19" s="63">
        <v>0</v>
      </c>
      <c r="F19" s="64">
        <v>40096</v>
      </c>
      <c r="G19" s="64" t="s">
        <v>58</v>
      </c>
      <c r="I19" s="60">
        <f>SUM(I12:I18)</f>
        <v>1</v>
      </c>
      <c r="J19" s="160" t="s">
        <v>21</v>
      </c>
    </row>
    <row r="20" spans="2:31">
      <c r="B20" s="99" t="s">
        <v>312</v>
      </c>
      <c r="C20" s="96">
        <v>-50</v>
      </c>
      <c r="D20" s="97"/>
      <c r="E20" s="63">
        <v>0</v>
      </c>
      <c r="F20" s="64"/>
      <c r="G20" s="64" t="s">
        <v>58</v>
      </c>
      <c r="I20" s="1"/>
      <c r="S20" s="146"/>
      <c r="T20" s="147"/>
      <c r="U20" s="148"/>
    </row>
    <row r="21" spans="2:31">
      <c r="B21" s="99" t="s">
        <v>574</v>
      </c>
      <c r="C21" s="96">
        <v>-130</v>
      </c>
      <c r="D21" s="97"/>
      <c r="E21" s="63">
        <v>0</v>
      </c>
      <c r="F21" s="64">
        <v>40096</v>
      </c>
      <c r="G21" s="64" t="s">
        <v>58</v>
      </c>
      <c r="I21" s="52"/>
      <c r="S21" s="152"/>
      <c r="X21" s="134"/>
    </row>
    <row r="22" spans="2:31">
      <c r="B22" s="99" t="s">
        <v>77</v>
      </c>
      <c r="C22" s="96">
        <v>-288</v>
      </c>
      <c r="D22" s="97"/>
      <c r="E22" s="63">
        <v>0</v>
      </c>
      <c r="F22" s="64">
        <v>40106</v>
      </c>
      <c r="G22" s="64" t="s">
        <v>58</v>
      </c>
      <c r="S22" s="149"/>
      <c r="T22" s="157"/>
      <c r="U22" s="157"/>
    </row>
    <row r="23" spans="2:31" ht="18">
      <c r="B23" s="74" t="s">
        <v>45</v>
      </c>
      <c r="C23" s="101"/>
      <c r="D23" s="98"/>
      <c r="E23" s="129">
        <f>SUM(E3:E22)</f>
        <v>-322.45</v>
      </c>
      <c r="F23" s="75"/>
      <c r="G23" s="75"/>
      <c r="S23" s="149"/>
      <c r="T23" s="157"/>
      <c r="U23" s="157"/>
      <c r="X23" s="134"/>
    </row>
    <row r="24" spans="2:31">
      <c r="C24" s="1"/>
      <c r="D24" s="1"/>
      <c r="E24" s="1"/>
      <c r="S24" s="152"/>
    </row>
    <row r="25" spans="2:31">
      <c r="S25" s="152"/>
    </row>
    <row r="26" spans="2:31">
      <c r="K26" s="1"/>
      <c r="S26" s="149"/>
      <c r="T26" s="157"/>
      <c r="U26" s="157"/>
      <c r="V26" s="146"/>
      <c r="Y26" s="149"/>
      <c r="Z26" s="146"/>
      <c r="AA26" s="147"/>
      <c r="AB26" s="148"/>
      <c r="AD26" s="150"/>
      <c r="AE26" s="151"/>
    </row>
    <row r="27" spans="2:31">
      <c r="S27" s="152"/>
      <c r="V27" s="153"/>
      <c r="W27" s="154"/>
      <c r="X27" s="134"/>
      <c r="Y27" s="152"/>
      <c r="Z27" s="153"/>
      <c r="AA27" s="154"/>
      <c r="AB27" s="134"/>
      <c r="AD27" s="155"/>
      <c r="AE27" s="156"/>
    </row>
    <row r="28" spans="2:31">
      <c r="G28" s="161"/>
      <c r="S28" s="149"/>
      <c r="T28" s="157"/>
      <c r="U28" s="157"/>
      <c r="V28" s="146"/>
      <c r="W28" s="147"/>
      <c r="X28" s="148"/>
      <c r="Y28" s="149"/>
      <c r="Z28" s="146"/>
      <c r="AA28" s="147"/>
      <c r="AB28" s="148"/>
      <c r="AD28" s="150"/>
      <c r="AE28" s="151"/>
    </row>
    <row r="29" spans="2:3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L16" activeCellId="1" sqref="G13 L16"/>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7.7109375" customWidth="1"/>
    <col min="13" max="13" width="1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-23.79</v>
      </c>
      <c r="F3" s="61"/>
      <c r="G3" s="61"/>
      <c r="I3" s="10">
        <v>2353.73</v>
      </c>
      <c r="J3" s="16">
        <v>39972</v>
      </c>
      <c r="L3" s="10">
        <f>54072.06+2500</f>
        <v>56572.06</v>
      </c>
      <c r="M3" s="10" t="s">
        <v>409</v>
      </c>
      <c r="N3" s="16"/>
      <c r="P3" s="581" t="s">
        <v>216</v>
      </c>
      <c r="Q3" s="581"/>
      <c r="R3" s="581"/>
      <c r="S3" s="582" t="s">
        <v>217</v>
      </c>
      <c r="T3" s="582"/>
      <c r="U3" s="582"/>
    </row>
    <row r="4" spans="2:24" ht="12" customHeight="1">
      <c r="B4" s="71" t="s">
        <v>56</v>
      </c>
      <c r="C4" s="91">
        <v>0</v>
      </c>
      <c r="D4" s="92"/>
      <c r="E4" s="95">
        <v>-259.56</v>
      </c>
      <c r="F4" s="72"/>
      <c r="G4" s="72"/>
      <c r="I4" s="10"/>
      <c r="J4" s="16"/>
      <c r="L4" s="10">
        <v>-17000</v>
      </c>
      <c r="M4" s="10" t="s">
        <v>38</v>
      </c>
      <c r="N4" s="16"/>
      <c r="P4" s="107" t="s">
        <v>218</v>
      </c>
      <c r="Q4" s="108" t="s">
        <v>219</v>
      </c>
      <c r="R4" s="109" t="s">
        <v>1</v>
      </c>
      <c r="S4" s="107" t="s">
        <v>1</v>
      </c>
      <c r="T4" s="108" t="s">
        <v>218</v>
      </c>
      <c r="U4" s="109" t="s">
        <v>219</v>
      </c>
    </row>
    <row r="5" spans="2:24" ht="12" customHeight="1">
      <c r="B5" s="71" t="s">
        <v>5</v>
      </c>
      <c r="C5" s="91">
        <v>5076.74</v>
      </c>
      <c r="D5" s="92"/>
      <c r="E5" s="95">
        <v>0</v>
      </c>
      <c r="F5" s="72"/>
      <c r="G5" s="72"/>
      <c r="I5" s="10"/>
      <c r="J5" s="16"/>
      <c r="L5" s="10">
        <v>0</v>
      </c>
      <c r="M5" s="10" t="s">
        <v>595</v>
      </c>
      <c r="N5" s="16"/>
      <c r="P5" s="110"/>
      <c r="Q5" s="111"/>
      <c r="R5" s="112"/>
      <c r="S5" s="139"/>
      <c r="T5" s="116"/>
      <c r="U5" s="142"/>
    </row>
    <row r="6" spans="2:24">
      <c r="B6" s="71" t="s">
        <v>225</v>
      </c>
      <c r="C6" s="91">
        <v>3667.05</v>
      </c>
      <c r="D6" s="92"/>
      <c r="E6" s="95">
        <v>0</v>
      </c>
      <c r="F6" s="72"/>
      <c r="G6" s="72"/>
      <c r="I6" s="10"/>
      <c r="J6" s="16"/>
      <c r="L6" s="10">
        <v>0</v>
      </c>
      <c r="M6" s="10" t="s">
        <v>409</v>
      </c>
      <c r="N6" s="16"/>
      <c r="P6" s="110"/>
      <c r="Q6" s="111"/>
      <c r="R6" s="112"/>
      <c r="S6" s="139"/>
      <c r="T6" s="116"/>
      <c r="U6" s="142"/>
    </row>
    <row r="7" spans="2:24">
      <c r="B7" s="99" t="s">
        <v>418</v>
      </c>
      <c r="C7" s="96">
        <v>-1101</v>
      </c>
      <c r="D7" s="97"/>
      <c r="E7" s="63">
        <v>0</v>
      </c>
      <c r="F7" s="64"/>
      <c r="G7" s="64" t="s">
        <v>58</v>
      </c>
      <c r="I7" s="10"/>
      <c r="J7" s="16"/>
      <c r="L7" s="10">
        <v>4500</v>
      </c>
      <c r="M7" s="10" t="s">
        <v>597</v>
      </c>
      <c r="N7" s="16"/>
      <c r="P7" s="110"/>
      <c r="Q7" s="111"/>
      <c r="R7" s="133"/>
      <c r="S7" s="139"/>
      <c r="T7" s="116"/>
      <c r="U7" s="142"/>
    </row>
    <row r="8" spans="2:24">
      <c r="B8" s="99" t="s">
        <v>81</v>
      </c>
      <c r="C8" s="96">
        <v>42</v>
      </c>
      <c r="D8" s="97"/>
      <c r="E8" s="63">
        <v>0</v>
      </c>
      <c r="F8" s="64"/>
      <c r="G8" s="64" t="s">
        <v>58</v>
      </c>
      <c r="I8" s="10"/>
      <c r="J8" s="16"/>
      <c r="L8" s="10">
        <v>3000</v>
      </c>
      <c r="M8" s="10" t="s">
        <v>599</v>
      </c>
      <c r="N8" s="16"/>
      <c r="P8" s="110"/>
      <c r="Q8" s="111"/>
      <c r="R8" s="114"/>
      <c r="S8" s="139"/>
      <c r="T8" s="116"/>
      <c r="U8" s="142"/>
      <c r="X8" s="134"/>
    </row>
    <row r="9" spans="2:24">
      <c r="B9" s="99" t="s">
        <v>590</v>
      </c>
      <c r="C9" s="96">
        <v>770.7</v>
      </c>
      <c r="D9" s="97"/>
      <c r="E9" s="63">
        <v>0</v>
      </c>
      <c r="F9" s="64"/>
      <c r="G9" s="64" t="s">
        <v>58</v>
      </c>
      <c r="L9" s="10">
        <v>2900</v>
      </c>
      <c r="M9" s="10" t="s">
        <v>602</v>
      </c>
      <c r="N9" s="16"/>
      <c r="P9" s="110"/>
      <c r="Q9" s="111"/>
      <c r="R9" s="114"/>
      <c r="S9" s="139"/>
      <c r="T9" s="116"/>
      <c r="U9" s="142"/>
    </row>
    <row r="10" spans="2:24">
      <c r="B10" s="99" t="s">
        <v>65</v>
      </c>
      <c r="C10" s="96">
        <v>-100</v>
      </c>
      <c r="D10" s="97"/>
      <c r="E10" s="63">
        <v>0</v>
      </c>
      <c r="F10" s="64"/>
      <c r="G10" s="64"/>
      <c r="L10" s="10">
        <v>2500</v>
      </c>
      <c r="M10" s="10" t="s">
        <v>597</v>
      </c>
      <c r="N10" s="16"/>
      <c r="P10" s="110"/>
      <c r="Q10" s="111"/>
      <c r="R10" s="114"/>
      <c r="S10" s="139"/>
      <c r="T10" s="116"/>
      <c r="U10" s="142"/>
      <c r="X10" s="134"/>
    </row>
    <row r="11" spans="2:24" ht="15.75">
      <c r="B11" s="99" t="s">
        <v>38</v>
      </c>
      <c r="C11" s="96">
        <v>-500.59</v>
      </c>
      <c r="D11" s="97"/>
      <c r="E11" s="63">
        <v>0</v>
      </c>
      <c r="F11" s="64"/>
      <c r="G11" s="64" t="s">
        <v>58</v>
      </c>
      <c r="I11" s="221" t="s">
        <v>48</v>
      </c>
      <c r="J11" s="221" t="s">
        <v>1</v>
      </c>
      <c r="L11" s="10">
        <v>850</v>
      </c>
      <c r="M11" s="10" t="s">
        <v>603</v>
      </c>
      <c r="N11" s="16"/>
      <c r="P11" s="110"/>
      <c r="Q11" s="111"/>
      <c r="R11" s="114"/>
      <c r="S11" s="139"/>
      <c r="T11" s="116"/>
      <c r="U11" s="142"/>
    </row>
    <row r="12" spans="2:24">
      <c r="B12" s="99" t="s">
        <v>14</v>
      </c>
      <c r="C12" s="96">
        <v>-9.6</v>
      </c>
      <c r="D12" s="97"/>
      <c r="E12" s="63">
        <v>0</v>
      </c>
      <c r="F12" s="64">
        <v>40135</v>
      </c>
      <c r="G12" s="64" t="s">
        <v>58</v>
      </c>
      <c r="I12" s="10">
        <v>1</v>
      </c>
      <c r="J12" s="16"/>
      <c r="L12" s="10">
        <f>I3</f>
        <v>2353.73</v>
      </c>
      <c r="M12" s="10" t="s">
        <v>604</v>
      </c>
      <c r="N12" s="16"/>
      <c r="P12" s="110"/>
      <c r="Q12" s="111"/>
      <c r="R12" s="114"/>
      <c r="S12" s="139"/>
      <c r="T12" s="116"/>
      <c r="U12" s="142"/>
      <c r="X12" s="134"/>
    </row>
    <row r="13" spans="2:24">
      <c r="B13" s="99" t="s">
        <v>93</v>
      </c>
      <c r="C13" s="96">
        <v>-152.38999999999999</v>
      </c>
      <c r="D13" s="97"/>
      <c r="E13" s="63">
        <v>0</v>
      </c>
      <c r="F13" s="64"/>
      <c r="G13" s="64" t="s">
        <v>58</v>
      </c>
      <c r="I13" s="162"/>
      <c r="J13" s="16"/>
      <c r="L13" s="10">
        <v>0</v>
      </c>
      <c r="M13" s="10"/>
      <c r="N13" s="16"/>
      <c r="P13" s="110"/>
      <c r="Q13" s="111"/>
      <c r="R13" s="114"/>
      <c r="S13" s="139"/>
      <c r="T13" s="116"/>
      <c r="U13" s="142"/>
    </row>
    <row r="14" spans="2:24">
      <c r="B14" s="99" t="s">
        <v>605</v>
      </c>
      <c r="C14" s="96">
        <v>-50</v>
      </c>
      <c r="D14" s="97"/>
      <c r="E14" s="63">
        <v>0</v>
      </c>
      <c r="F14" s="64"/>
      <c r="G14" s="64" t="s">
        <v>58</v>
      </c>
      <c r="I14" s="10"/>
      <c r="J14" s="16"/>
      <c r="L14" s="10">
        <v>0</v>
      </c>
      <c r="M14" s="10"/>
      <c r="N14" s="16"/>
      <c r="P14" s="110"/>
      <c r="Q14" s="111"/>
      <c r="R14" s="114"/>
      <c r="S14" s="139"/>
      <c r="T14" s="116"/>
      <c r="U14" s="142"/>
      <c r="X14" s="134"/>
    </row>
    <row r="15" spans="2:24">
      <c r="B15" s="99" t="s">
        <v>103</v>
      </c>
      <c r="C15" s="96">
        <v>-1973.22</v>
      </c>
      <c r="D15" s="97"/>
      <c r="E15" s="63">
        <v>0</v>
      </c>
      <c r="F15" s="64"/>
      <c r="G15" s="64" t="s">
        <v>58</v>
      </c>
      <c r="I15" s="10"/>
      <c r="J15" s="16"/>
      <c r="L15" s="10">
        <v>0</v>
      </c>
      <c r="M15" s="10"/>
      <c r="N15" s="16"/>
      <c r="P15" s="110"/>
      <c r="Q15" s="111"/>
      <c r="R15" s="114"/>
      <c r="S15" s="139"/>
      <c r="T15" s="116"/>
      <c r="U15" s="142"/>
    </row>
    <row r="16" spans="2:24">
      <c r="B16" s="99" t="s">
        <v>42</v>
      </c>
      <c r="C16" s="96">
        <v>-500</v>
      </c>
      <c r="D16" s="97"/>
      <c r="E16" s="63">
        <v>0</v>
      </c>
      <c r="F16" s="64"/>
      <c r="G16" s="64" t="s">
        <v>58</v>
      </c>
      <c r="I16" s="10"/>
      <c r="J16" s="16"/>
      <c r="L16" s="144">
        <f>SUM(L3:L15)</f>
        <v>55675.79</v>
      </c>
      <c r="M16" s="144" t="s">
        <v>21</v>
      </c>
      <c r="N16" s="145"/>
      <c r="P16" s="110"/>
      <c r="Q16" s="111"/>
      <c r="R16" s="114"/>
      <c r="S16" s="139"/>
      <c r="T16" s="116"/>
      <c r="U16" s="142"/>
      <c r="X16" s="134"/>
    </row>
    <row r="17" spans="2:31">
      <c r="B17" s="99" t="s">
        <v>606</v>
      </c>
      <c r="C17" s="96">
        <v>-600</v>
      </c>
      <c r="D17" s="97"/>
      <c r="E17" s="63">
        <v>0</v>
      </c>
      <c r="F17" s="64"/>
      <c r="G17" s="64" t="s">
        <v>58</v>
      </c>
      <c r="I17" s="10"/>
      <c r="J17" s="16"/>
      <c r="P17" s="119" t="s">
        <v>45</v>
      </c>
      <c r="Q17" s="120">
        <f>SUM(Q5:Q16)</f>
        <v>0</v>
      </c>
      <c r="R17" s="121"/>
      <c r="S17" s="119" t="s">
        <v>45</v>
      </c>
      <c r="T17" s="135"/>
      <c r="U17" s="135">
        <f>SUM(U5:U16)</f>
        <v>0</v>
      </c>
    </row>
    <row r="18" spans="2:31">
      <c r="B18" s="99" t="s">
        <v>102</v>
      </c>
      <c r="C18" s="96">
        <v>-2600</v>
      </c>
      <c r="D18" s="97"/>
      <c r="E18" s="63">
        <v>0</v>
      </c>
      <c r="F18" s="64"/>
      <c r="G18" s="64" t="s">
        <v>58</v>
      </c>
      <c r="H18" s="143"/>
      <c r="I18" s="10"/>
      <c r="J18" s="16"/>
      <c r="X18" s="134"/>
    </row>
    <row r="19" spans="2:31">
      <c r="B19" s="99" t="s">
        <v>73</v>
      </c>
      <c r="C19" s="96">
        <v>-261.26</v>
      </c>
      <c r="D19" s="97"/>
      <c r="E19" s="63">
        <v>0</v>
      </c>
      <c r="F19" s="64"/>
      <c r="G19" s="64" t="s">
        <v>58</v>
      </c>
      <c r="I19" s="60">
        <f>SUM(I12:I18)</f>
        <v>1</v>
      </c>
      <c r="J19" s="160" t="s">
        <v>21</v>
      </c>
    </row>
    <row r="20" spans="2:31">
      <c r="B20" s="99" t="s">
        <v>29</v>
      </c>
      <c r="C20" s="96">
        <v>-300.05</v>
      </c>
      <c r="D20" s="97"/>
      <c r="E20" s="63">
        <v>0</v>
      </c>
      <c r="F20" s="64"/>
      <c r="G20" s="64" t="s">
        <v>58</v>
      </c>
      <c r="I20" s="1"/>
      <c r="S20" s="146"/>
      <c r="T20" s="147"/>
      <c r="U20" s="148"/>
    </row>
    <row r="21" spans="2:31">
      <c r="B21" s="99" t="s">
        <v>584</v>
      </c>
      <c r="C21" s="96">
        <v>-34.42</v>
      </c>
      <c r="D21" s="97"/>
      <c r="E21" s="63">
        <v>0</v>
      </c>
      <c r="F21" s="64"/>
      <c r="G21" s="64" t="s">
        <v>58</v>
      </c>
      <c r="I21" s="52"/>
      <c r="S21" s="152"/>
      <c r="X21" s="134"/>
    </row>
    <row r="22" spans="2:31">
      <c r="B22" s="99" t="s">
        <v>607</v>
      </c>
      <c r="C22" s="96">
        <v>-32</v>
      </c>
      <c r="D22" s="97"/>
      <c r="E22" s="63">
        <v>0</v>
      </c>
      <c r="F22" s="64">
        <v>40140</v>
      </c>
      <c r="G22" s="64"/>
      <c r="S22" s="149"/>
      <c r="T22" s="157"/>
      <c r="U22" s="157"/>
    </row>
    <row r="23" spans="2:31">
      <c r="B23" s="99" t="s">
        <v>41</v>
      </c>
      <c r="C23" s="96">
        <v>-103.62</v>
      </c>
      <c r="D23" s="97"/>
      <c r="E23" s="63">
        <v>0</v>
      </c>
      <c r="F23" s="64"/>
      <c r="G23" s="64" t="s">
        <v>58</v>
      </c>
      <c r="S23" s="149"/>
      <c r="T23" s="157"/>
      <c r="U23" s="157"/>
      <c r="X23" s="134"/>
    </row>
    <row r="24" spans="2:31">
      <c r="B24" s="99" t="s">
        <v>574</v>
      </c>
      <c r="C24" s="96">
        <v>-130</v>
      </c>
      <c r="D24" s="97"/>
      <c r="E24" s="63">
        <v>0</v>
      </c>
      <c r="F24" s="64"/>
      <c r="G24" s="64" t="s">
        <v>58</v>
      </c>
      <c r="S24" s="152"/>
    </row>
    <row r="25" spans="2:31">
      <c r="B25" s="99" t="s">
        <v>77</v>
      </c>
      <c r="C25" s="96">
        <v>-257.61</v>
      </c>
      <c r="D25" s="97"/>
      <c r="E25" s="63">
        <v>0</v>
      </c>
      <c r="F25" s="64"/>
      <c r="G25" s="64" t="s">
        <v>58</v>
      </c>
      <c r="S25" s="152"/>
    </row>
    <row r="26" spans="2:31" ht="18">
      <c r="B26" s="74" t="s">
        <v>45</v>
      </c>
      <c r="C26" s="101"/>
      <c r="D26" s="98"/>
      <c r="E26" s="129">
        <f>SUM(E3:E25)</f>
        <v>-283.35000000000002</v>
      </c>
      <c r="F26" s="75"/>
      <c r="G26" s="75"/>
      <c r="K26" s="1"/>
      <c r="S26" s="149"/>
      <c r="T26" s="157"/>
      <c r="U26" s="157"/>
      <c r="V26" s="146"/>
      <c r="Y26" s="149"/>
      <c r="Z26" s="146"/>
      <c r="AA26" s="147"/>
      <c r="AB26" s="148"/>
      <c r="AD26" s="150"/>
      <c r="AE26" s="151"/>
    </row>
    <row r="27" spans="2:31">
      <c r="C27" s="1"/>
      <c r="D27" s="1"/>
      <c r="E27" s="1"/>
      <c r="S27" s="152"/>
      <c r="V27" s="153"/>
      <c r="W27" s="154"/>
      <c r="X27" s="134"/>
      <c r="Y27" s="152"/>
      <c r="Z27" s="153"/>
      <c r="AA27" s="154"/>
      <c r="AB27" s="134"/>
      <c r="AD27" s="155"/>
      <c r="AE27" s="156"/>
    </row>
    <row r="28" spans="2:31">
      <c r="S28" s="149"/>
      <c r="T28" s="157"/>
      <c r="U28" s="157"/>
      <c r="V28" s="146"/>
      <c r="W28" s="147"/>
      <c r="X28" s="148"/>
      <c r="Y28" s="149"/>
      <c r="Z28" s="146"/>
      <c r="AA28" s="147"/>
      <c r="AB28" s="148"/>
      <c r="AD28" s="150"/>
      <c r="AE28" s="151"/>
    </row>
    <row r="29" spans="2:3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G31" s="16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L12" activeCellId="1" sqref="G13 L12"/>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7.7109375" customWidth="1"/>
    <col min="13" max="13" width="1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3</v>
      </c>
      <c r="F3" s="61"/>
      <c r="G3" s="61"/>
      <c r="I3" s="10">
        <f>53*41.64</f>
        <v>2206.92</v>
      </c>
      <c r="J3" s="16">
        <v>39972</v>
      </c>
      <c r="L3" s="10">
        <f>54338.37+11000</f>
        <v>65338.37</v>
      </c>
      <c r="M3" s="10" t="s">
        <v>608</v>
      </c>
      <c r="N3" s="16"/>
      <c r="P3" s="581" t="s">
        <v>216</v>
      </c>
      <c r="Q3" s="581"/>
      <c r="R3" s="581"/>
      <c r="S3" s="582" t="s">
        <v>217</v>
      </c>
      <c r="T3" s="582"/>
      <c r="U3" s="582"/>
    </row>
    <row r="4" spans="2:24" ht="12" customHeight="1">
      <c r="B4" s="71" t="s">
        <v>56</v>
      </c>
      <c r="C4" s="91">
        <v>0</v>
      </c>
      <c r="D4" s="92"/>
      <c r="E4" s="95">
        <v>771.03</v>
      </c>
      <c r="F4" s="72"/>
      <c r="G4" s="72"/>
      <c r="I4" s="10"/>
      <c r="J4" s="16"/>
      <c r="L4" s="10">
        <v>-17000</v>
      </c>
      <c r="M4" s="10" t="s">
        <v>38</v>
      </c>
      <c r="N4" s="16"/>
      <c r="P4" s="107" t="s">
        <v>218</v>
      </c>
      <c r="Q4" s="108" t="s">
        <v>219</v>
      </c>
      <c r="R4" s="109" t="s">
        <v>1</v>
      </c>
      <c r="S4" s="107" t="s">
        <v>1</v>
      </c>
      <c r="T4" s="108" t="s">
        <v>218</v>
      </c>
      <c r="U4" s="109" t="s">
        <v>219</v>
      </c>
    </row>
    <row r="5" spans="2:24" ht="12" customHeight="1">
      <c r="B5" s="71" t="s">
        <v>5</v>
      </c>
      <c r="C5" s="91">
        <v>4492</v>
      </c>
      <c r="D5" s="92"/>
      <c r="E5" s="95"/>
      <c r="F5" s="72"/>
      <c r="G5" s="72"/>
      <c r="I5" s="10"/>
      <c r="J5" s="16"/>
      <c r="L5" s="10">
        <v>0</v>
      </c>
      <c r="M5" s="10" t="s">
        <v>597</v>
      </c>
      <c r="N5" s="16"/>
      <c r="P5" s="110"/>
      <c r="Q5" s="111"/>
      <c r="R5" s="112"/>
      <c r="S5" s="139"/>
      <c r="T5" s="116"/>
      <c r="U5" s="142"/>
    </row>
    <row r="6" spans="2:24">
      <c r="B6" s="71" t="s">
        <v>609</v>
      </c>
      <c r="C6" s="91">
        <v>850</v>
      </c>
      <c r="D6" s="92"/>
      <c r="E6" s="95"/>
      <c r="F6" s="72"/>
      <c r="G6" s="72"/>
      <c r="I6" s="10"/>
      <c r="J6" s="16"/>
      <c r="L6" s="10">
        <v>2900</v>
      </c>
      <c r="M6" s="10" t="s">
        <v>602</v>
      </c>
      <c r="N6" s="16"/>
      <c r="P6" s="110"/>
      <c r="Q6" s="111"/>
      <c r="R6" s="112"/>
      <c r="S6" s="139"/>
      <c r="T6" s="116"/>
      <c r="U6" s="142"/>
    </row>
    <row r="7" spans="2:24">
      <c r="B7" s="71" t="s">
        <v>113</v>
      </c>
      <c r="C7" s="91">
        <v>3000</v>
      </c>
      <c r="D7" s="92"/>
      <c r="E7" s="95"/>
      <c r="F7" s="72"/>
      <c r="G7" s="72"/>
      <c r="I7" s="10"/>
      <c r="J7" s="16"/>
      <c r="L7" s="10">
        <v>2500</v>
      </c>
      <c r="M7" s="10" t="s">
        <v>597</v>
      </c>
      <c r="N7" s="16"/>
      <c r="P7" s="110"/>
      <c r="Q7" s="111"/>
      <c r="R7" s="133"/>
      <c r="S7" s="139"/>
      <c r="T7" s="116"/>
      <c r="U7" s="142"/>
    </row>
    <row r="8" spans="2:24">
      <c r="B8" s="99" t="s">
        <v>418</v>
      </c>
      <c r="C8" s="96">
        <v>-1101</v>
      </c>
      <c r="D8" s="97"/>
      <c r="E8" s="63">
        <v>0</v>
      </c>
      <c r="F8" s="64"/>
      <c r="G8" s="64" t="s">
        <v>58</v>
      </c>
      <c r="I8" s="10"/>
      <c r="J8" s="16"/>
      <c r="L8" s="10">
        <f>I3</f>
        <v>2206.92</v>
      </c>
      <c r="M8" s="10" t="s">
        <v>604</v>
      </c>
      <c r="N8" s="16"/>
      <c r="P8" s="110"/>
      <c r="Q8" s="111"/>
      <c r="R8" s="114"/>
      <c r="S8" s="139"/>
      <c r="T8" s="116"/>
      <c r="U8" s="142"/>
      <c r="X8" s="134"/>
    </row>
    <row r="9" spans="2:24">
      <c r="B9" s="99" t="s">
        <v>590</v>
      </c>
      <c r="C9" s="96">
        <v>770.7</v>
      </c>
      <c r="D9" s="97"/>
      <c r="E9" s="63">
        <v>0</v>
      </c>
      <c r="F9" s="64"/>
      <c r="G9" s="64" t="s">
        <v>58</v>
      </c>
      <c r="L9" s="10">
        <v>0</v>
      </c>
      <c r="M9" s="10"/>
      <c r="N9" s="16"/>
      <c r="P9" s="110"/>
      <c r="Q9" s="111"/>
      <c r="R9" s="114"/>
      <c r="S9" s="139"/>
      <c r="T9" s="116"/>
      <c r="U9" s="142"/>
    </row>
    <row r="10" spans="2:24">
      <c r="B10" s="99" t="s">
        <v>65</v>
      </c>
      <c r="C10" s="96">
        <v>-100</v>
      </c>
      <c r="D10" s="97"/>
      <c r="E10" s="163">
        <f>C10</f>
        <v>-100</v>
      </c>
      <c r="F10" s="164"/>
      <c r="G10" s="164"/>
      <c r="L10" s="10">
        <v>0</v>
      </c>
      <c r="M10" s="10"/>
      <c r="N10" s="16"/>
      <c r="P10" s="110"/>
      <c r="Q10" s="111"/>
      <c r="R10" s="114"/>
      <c r="S10" s="139"/>
      <c r="T10" s="116"/>
      <c r="U10" s="142"/>
      <c r="X10" s="134"/>
    </row>
    <row r="11" spans="2:24" ht="15.75">
      <c r="B11" s="99" t="s">
        <v>84</v>
      </c>
      <c r="C11" s="96">
        <v>-250</v>
      </c>
      <c r="D11" s="97"/>
      <c r="E11" s="63">
        <v>0</v>
      </c>
      <c r="F11" s="64"/>
      <c r="G11" s="64" t="s">
        <v>58</v>
      </c>
      <c r="I11" s="221" t="s">
        <v>48</v>
      </c>
      <c r="J11" s="221" t="s">
        <v>1</v>
      </c>
      <c r="L11" s="10">
        <v>0</v>
      </c>
      <c r="M11" s="10"/>
      <c r="N11" s="16"/>
      <c r="P11" s="110"/>
      <c r="Q11" s="111"/>
      <c r="R11" s="114"/>
      <c r="S11" s="139"/>
      <c r="T11" s="116"/>
      <c r="U11" s="142"/>
    </row>
    <row r="12" spans="2:24">
      <c r="B12" s="99" t="s">
        <v>38</v>
      </c>
      <c r="C12" s="96">
        <v>-500.59</v>
      </c>
      <c r="D12" s="97"/>
      <c r="E12" s="63">
        <v>0</v>
      </c>
      <c r="F12" s="64"/>
      <c r="G12" s="64" t="s">
        <v>58</v>
      </c>
      <c r="I12" s="10">
        <v>1</v>
      </c>
      <c r="J12" s="16"/>
      <c r="L12" s="144">
        <f>SUM(L3:L11)</f>
        <v>55945.29</v>
      </c>
      <c r="M12" s="144" t="s">
        <v>21</v>
      </c>
      <c r="N12" s="145"/>
      <c r="P12" s="110"/>
      <c r="Q12" s="111"/>
      <c r="R12" s="114"/>
      <c r="S12" s="139"/>
      <c r="T12" s="116"/>
      <c r="U12" s="142"/>
      <c r="X12" s="134"/>
    </row>
    <row r="13" spans="2:24">
      <c r="B13" s="99" t="s">
        <v>14</v>
      </c>
      <c r="C13" s="96">
        <v>-9.61</v>
      </c>
      <c r="D13" s="97"/>
      <c r="E13" s="63">
        <v>0</v>
      </c>
      <c r="F13" s="64"/>
      <c r="G13" s="64" t="s">
        <v>58</v>
      </c>
      <c r="I13" s="162"/>
      <c r="J13" s="16"/>
      <c r="P13" s="110"/>
      <c r="Q13" s="111"/>
      <c r="R13" s="114"/>
      <c r="S13" s="139"/>
      <c r="T13" s="116"/>
      <c r="U13" s="142"/>
    </row>
    <row r="14" spans="2:24">
      <c r="B14" s="99" t="s">
        <v>93</v>
      </c>
      <c r="C14" s="96">
        <v>-185.32</v>
      </c>
      <c r="D14" s="97"/>
      <c r="E14" s="63">
        <v>0</v>
      </c>
      <c r="F14" s="64"/>
      <c r="G14" s="64" t="s">
        <v>58</v>
      </c>
      <c r="I14" s="10"/>
      <c r="J14" s="16"/>
      <c r="P14" s="110"/>
      <c r="Q14" s="111"/>
      <c r="R14" s="114"/>
      <c r="S14" s="139"/>
      <c r="T14" s="116"/>
      <c r="U14" s="142"/>
      <c r="X14" s="134"/>
    </row>
    <row r="15" spans="2:24">
      <c r="B15" s="99" t="s">
        <v>610</v>
      </c>
      <c r="C15" s="96">
        <v>-272.75</v>
      </c>
      <c r="D15" s="97"/>
      <c r="E15" s="63">
        <v>0</v>
      </c>
      <c r="F15" s="64"/>
      <c r="G15" s="64" t="s">
        <v>58</v>
      </c>
      <c r="I15" s="10"/>
      <c r="J15" s="16"/>
      <c r="P15" s="110"/>
      <c r="Q15" s="111"/>
      <c r="R15" s="114"/>
      <c r="S15" s="139"/>
      <c r="T15" s="116"/>
      <c r="U15" s="142"/>
    </row>
    <row r="16" spans="2:24">
      <c r="B16" s="99" t="s">
        <v>103</v>
      </c>
      <c r="C16" s="96">
        <v>-872.44</v>
      </c>
      <c r="D16" s="97"/>
      <c r="E16" s="63">
        <v>0</v>
      </c>
      <c r="F16" s="64"/>
      <c r="G16" s="64" t="s">
        <v>58</v>
      </c>
      <c r="I16" s="10"/>
      <c r="J16" s="16"/>
      <c r="P16" s="110"/>
      <c r="Q16" s="111"/>
      <c r="R16" s="114"/>
      <c r="S16" s="139"/>
      <c r="T16" s="116"/>
      <c r="U16" s="142"/>
      <c r="X16" s="134"/>
    </row>
    <row r="17" spans="2:31">
      <c r="B17" s="99" t="s">
        <v>102</v>
      </c>
      <c r="C17" s="96">
        <v>-4000</v>
      </c>
      <c r="D17" s="97"/>
      <c r="E17" s="63">
        <v>0</v>
      </c>
      <c r="F17" s="64"/>
      <c r="G17" s="64" t="s">
        <v>58</v>
      </c>
      <c r="I17" s="10"/>
      <c r="J17" s="16"/>
      <c r="P17" s="119" t="s">
        <v>45</v>
      </c>
      <c r="Q17" s="120">
        <f>SUM(Q5:Q16)</f>
        <v>0</v>
      </c>
      <c r="R17" s="121"/>
      <c r="S17" s="119" t="s">
        <v>45</v>
      </c>
      <c r="T17" s="135"/>
      <c r="U17" s="135">
        <f>SUM(U5:U16)</f>
        <v>0</v>
      </c>
    </row>
    <row r="18" spans="2:31">
      <c r="B18" s="99" t="s">
        <v>611</v>
      </c>
      <c r="C18" s="96">
        <v>-1000</v>
      </c>
      <c r="D18" s="97"/>
      <c r="E18" s="63">
        <v>0</v>
      </c>
      <c r="F18" s="64"/>
      <c r="G18" s="64" t="s">
        <v>58</v>
      </c>
      <c r="H18" s="143"/>
      <c r="I18" s="10"/>
      <c r="J18" s="16"/>
      <c r="X18" s="134"/>
    </row>
    <row r="19" spans="2:31">
      <c r="B19" s="99" t="s">
        <v>73</v>
      </c>
      <c r="C19" s="96">
        <v>-346.78</v>
      </c>
      <c r="D19" s="97"/>
      <c r="E19" s="63">
        <v>0</v>
      </c>
      <c r="F19" s="64"/>
      <c r="G19" s="64" t="s">
        <v>58</v>
      </c>
      <c r="I19" s="60">
        <f>SUM(I12:I18)</f>
        <v>1</v>
      </c>
      <c r="J19" s="160" t="s">
        <v>21</v>
      </c>
    </row>
    <row r="20" spans="2:31">
      <c r="B20" s="99" t="s">
        <v>29</v>
      </c>
      <c r="C20" s="96">
        <v>-300.05</v>
      </c>
      <c r="D20" s="97"/>
      <c r="E20" s="63">
        <v>0</v>
      </c>
      <c r="F20" s="64"/>
      <c r="G20" s="64" t="s">
        <v>58</v>
      </c>
      <c r="I20" s="1"/>
      <c r="S20" s="146"/>
      <c r="T20" s="147"/>
      <c r="U20" s="148"/>
    </row>
    <row r="21" spans="2:31">
      <c r="B21" s="99" t="s">
        <v>584</v>
      </c>
      <c r="C21" s="96">
        <v>-34.42</v>
      </c>
      <c r="D21" s="97"/>
      <c r="E21" s="63">
        <v>0</v>
      </c>
      <c r="F21" s="64"/>
      <c r="G21" s="64" t="s">
        <v>58</v>
      </c>
      <c r="I21" s="52"/>
      <c r="S21" s="152"/>
      <c r="X21" s="134"/>
    </row>
    <row r="22" spans="2:31">
      <c r="B22" s="99" t="s">
        <v>607</v>
      </c>
      <c r="C22" s="96">
        <v>-32</v>
      </c>
      <c r="D22" s="97"/>
      <c r="E22" s="163">
        <f>C22</f>
        <v>-32</v>
      </c>
      <c r="F22" s="164">
        <v>40170</v>
      </c>
      <c r="G22" s="164"/>
      <c r="S22" s="149"/>
      <c r="T22" s="157"/>
      <c r="U22" s="157"/>
    </row>
    <row r="23" spans="2:31">
      <c r="B23" s="99" t="s">
        <v>312</v>
      </c>
      <c r="C23" s="96">
        <v>-50</v>
      </c>
      <c r="D23" s="97"/>
      <c r="E23" s="63">
        <v>0</v>
      </c>
      <c r="F23" s="64"/>
      <c r="G23" s="64" t="s">
        <v>58</v>
      </c>
      <c r="S23" s="149"/>
      <c r="T23" s="157"/>
      <c r="U23" s="157"/>
      <c r="X23" s="134"/>
    </row>
    <row r="24" spans="2:31">
      <c r="B24" s="99" t="s">
        <v>612</v>
      </c>
      <c r="C24" s="96">
        <v>-20</v>
      </c>
      <c r="D24" s="97"/>
      <c r="E24" s="63">
        <v>0</v>
      </c>
      <c r="F24" s="64"/>
      <c r="G24" s="64" t="s">
        <v>58</v>
      </c>
      <c r="S24" s="152"/>
    </row>
    <row r="25" spans="2:31">
      <c r="B25" s="99" t="s">
        <v>41</v>
      </c>
      <c r="C25" s="96">
        <v>-88.84</v>
      </c>
      <c r="D25" s="97"/>
      <c r="E25" s="63">
        <v>0</v>
      </c>
      <c r="F25" s="64"/>
      <c r="G25" s="64" t="s">
        <v>58</v>
      </c>
      <c r="S25" s="152"/>
    </row>
    <row r="26" spans="2:31">
      <c r="B26" s="99" t="s">
        <v>574</v>
      </c>
      <c r="C26" s="96">
        <v>-130</v>
      </c>
      <c r="D26" s="97"/>
      <c r="E26" s="63">
        <v>0</v>
      </c>
      <c r="F26" s="64"/>
      <c r="G26" s="64" t="s">
        <v>58</v>
      </c>
      <c r="K26" s="1"/>
      <c r="S26" s="149"/>
      <c r="T26" s="157"/>
      <c r="U26" s="157"/>
      <c r="V26" s="146"/>
      <c r="Y26" s="149"/>
      <c r="Z26" s="146"/>
      <c r="AA26" s="147"/>
      <c r="AB26" s="148"/>
      <c r="AD26" s="150"/>
      <c r="AE26" s="151"/>
    </row>
    <row r="27" spans="2:31">
      <c r="B27" s="99" t="s">
        <v>77</v>
      </c>
      <c r="C27" s="96">
        <v>-205.43</v>
      </c>
      <c r="D27" s="97"/>
      <c r="E27" s="63">
        <v>0</v>
      </c>
      <c r="F27" s="64"/>
      <c r="G27" s="64" t="s">
        <v>58</v>
      </c>
      <c r="S27" s="152"/>
      <c r="V27" s="153"/>
      <c r="W27" s="154"/>
      <c r="X27" s="134"/>
      <c r="Y27" s="152"/>
      <c r="Z27" s="153"/>
      <c r="AA27" s="154"/>
      <c r="AB27" s="134"/>
      <c r="AD27" s="155"/>
      <c r="AE27" s="156"/>
    </row>
    <row r="28" spans="2:31" ht="18">
      <c r="B28" s="74" t="s">
        <v>45</v>
      </c>
      <c r="C28" s="101"/>
      <c r="D28" s="98"/>
      <c r="E28" s="129">
        <f>SUM(E3:E27)</f>
        <v>642.03</v>
      </c>
      <c r="F28" s="75"/>
      <c r="G28" s="75"/>
      <c r="S28" s="149"/>
      <c r="T28" s="157"/>
      <c r="U28" s="157"/>
      <c r="V28" s="146"/>
      <c r="W28" s="147"/>
      <c r="X28" s="148"/>
      <c r="Y28" s="149"/>
      <c r="Z28" s="146"/>
      <c r="AA28" s="147"/>
      <c r="AB28" s="148"/>
      <c r="AD28" s="150"/>
      <c r="AE28" s="151"/>
    </row>
    <row r="29" spans="2:31">
      <c r="C29" s="1"/>
      <c r="D29" s="1"/>
      <c r="E29" s="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7:31">
      <c r="G33" s="16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sheetPr>
    <pageSetUpPr autoPageBreaks="0"/>
  </sheetPr>
  <dimension ref="B1:AE34"/>
  <sheetViews>
    <sheetView showGridLines="0" zoomScale="75" zoomScaleNormal="75" zoomScalePageLayoutView="75" workbookViewId="0">
      <selection activeCell="E11" activeCellId="1" sqref="G13 E1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7.7109375" customWidth="1"/>
    <col min="13" max="13" width="1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-100.44</v>
      </c>
      <c r="F3" s="61"/>
      <c r="G3" s="61"/>
      <c r="I3" s="10">
        <f>53*48</f>
        <v>2544</v>
      </c>
      <c r="J3" s="16">
        <v>39972</v>
      </c>
      <c r="L3" s="10">
        <v>66078.62</v>
      </c>
      <c r="M3" s="10" t="s">
        <v>608</v>
      </c>
      <c r="N3" s="16"/>
      <c r="P3" s="581" t="s">
        <v>216</v>
      </c>
      <c r="Q3" s="581"/>
      <c r="R3" s="581"/>
      <c r="S3" s="582" t="s">
        <v>217</v>
      </c>
      <c r="T3" s="582"/>
      <c r="U3" s="582"/>
    </row>
    <row r="4" spans="2:24" ht="12" customHeight="1">
      <c r="B4" s="71" t="s">
        <v>56</v>
      </c>
      <c r="C4" s="91">
        <v>0</v>
      </c>
      <c r="D4" s="92"/>
      <c r="E4" s="95">
        <v>-533.72</v>
      </c>
      <c r="F4" s="72"/>
      <c r="G4" s="72"/>
      <c r="I4" s="10"/>
      <c r="J4" s="16"/>
      <c r="L4" s="10">
        <v>-17000</v>
      </c>
      <c r="M4" s="10" t="s">
        <v>38</v>
      </c>
      <c r="N4" s="16"/>
      <c r="P4" s="107" t="s">
        <v>218</v>
      </c>
      <c r="Q4" s="108" t="s">
        <v>219</v>
      </c>
      <c r="R4" s="109" t="s">
        <v>1</v>
      </c>
      <c r="S4" s="107" t="s">
        <v>1</v>
      </c>
      <c r="T4" s="108" t="s">
        <v>218</v>
      </c>
      <c r="U4" s="109" t="s">
        <v>219</v>
      </c>
    </row>
    <row r="5" spans="2:24" ht="12" customHeight="1">
      <c r="B5" s="71" t="s">
        <v>5</v>
      </c>
      <c r="C5" s="91">
        <v>3127.88</v>
      </c>
      <c r="D5" s="92"/>
      <c r="E5" s="95">
        <v>0</v>
      </c>
      <c r="F5" s="72"/>
      <c r="G5" s="72"/>
      <c r="I5" s="10"/>
      <c r="J5" s="16"/>
      <c r="L5" s="10">
        <f>I3</f>
        <v>2544</v>
      </c>
      <c r="M5" s="10" t="s">
        <v>604</v>
      </c>
      <c r="N5" s="16"/>
      <c r="P5" s="110"/>
      <c r="Q5" s="111"/>
      <c r="R5" s="112"/>
      <c r="S5" s="139"/>
      <c r="T5" s="116"/>
      <c r="U5" s="142"/>
    </row>
    <row r="6" spans="2:24">
      <c r="B6" s="71" t="s">
        <v>46</v>
      </c>
      <c r="C6" s="91">
        <v>3004.4</v>
      </c>
      <c r="D6" s="92"/>
      <c r="E6" s="95">
        <v>0</v>
      </c>
      <c r="F6" s="72"/>
      <c r="G6" s="72"/>
      <c r="I6" s="10"/>
      <c r="J6" s="16"/>
      <c r="L6" s="10">
        <v>399.8</v>
      </c>
      <c r="M6" s="10" t="s">
        <v>613</v>
      </c>
      <c r="N6" s="16"/>
      <c r="P6" s="110"/>
      <c r="Q6" s="111"/>
      <c r="R6" s="112"/>
      <c r="S6" s="139"/>
      <c r="T6" s="116"/>
      <c r="U6" s="142"/>
    </row>
    <row r="7" spans="2:24">
      <c r="B7" s="71" t="s">
        <v>614</v>
      </c>
      <c r="C7" s="91">
        <v>3161.44</v>
      </c>
      <c r="D7" s="92"/>
      <c r="E7" s="95">
        <v>0</v>
      </c>
      <c r="F7" s="72"/>
      <c r="G7" s="72"/>
      <c r="I7" s="10"/>
      <c r="J7" s="16"/>
      <c r="L7" s="10">
        <v>0</v>
      </c>
      <c r="M7" s="10"/>
      <c r="N7" s="16"/>
      <c r="P7" s="110"/>
      <c r="Q7" s="111"/>
      <c r="R7" s="133"/>
      <c r="S7" s="139"/>
      <c r="T7" s="116"/>
      <c r="U7" s="142"/>
    </row>
    <row r="8" spans="2:24">
      <c r="B8" s="99" t="s">
        <v>81</v>
      </c>
      <c r="C8" s="96">
        <v>179</v>
      </c>
      <c r="D8" s="97"/>
      <c r="E8" s="63">
        <v>0</v>
      </c>
      <c r="F8" s="64"/>
      <c r="G8" s="64" t="s">
        <v>58</v>
      </c>
      <c r="I8" s="10"/>
      <c r="J8" s="16"/>
      <c r="L8" s="10">
        <v>0</v>
      </c>
      <c r="M8" s="10"/>
      <c r="N8" s="16"/>
      <c r="P8" s="110"/>
      <c r="Q8" s="111"/>
      <c r="R8" s="114"/>
      <c r="S8" s="139"/>
      <c r="T8" s="116"/>
      <c r="U8" s="142"/>
      <c r="X8" s="134"/>
    </row>
    <row r="9" spans="2:24">
      <c r="B9" s="99" t="s">
        <v>418</v>
      </c>
      <c r="C9" s="96">
        <v>-1101</v>
      </c>
      <c r="D9" s="97"/>
      <c r="E9" s="63">
        <v>0</v>
      </c>
      <c r="F9" s="64"/>
      <c r="G9" s="64" t="s">
        <v>58</v>
      </c>
      <c r="L9" s="10">
        <v>0</v>
      </c>
      <c r="M9" s="10"/>
      <c r="N9" s="16"/>
      <c r="P9" s="110"/>
      <c r="Q9" s="111"/>
      <c r="R9" s="114"/>
      <c r="S9" s="139"/>
      <c r="T9" s="116"/>
      <c r="U9" s="142"/>
    </row>
    <row r="10" spans="2:24">
      <c r="B10" s="99" t="s">
        <v>590</v>
      </c>
      <c r="C10" s="96">
        <v>770.7</v>
      </c>
      <c r="D10" s="97"/>
      <c r="E10" s="63">
        <v>0</v>
      </c>
      <c r="F10" s="64"/>
      <c r="G10" s="64" t="s">
        <v>58</v>
      </c>
      <c r="L10" s="10">
        <v>0</v>
      </c>
      <c r="M10" s="10"/>
      <c r="N10" s="16"/>
      <c r="P10" s="110"/>
      <c r="Q10" s="111"/>
      <c r="R10" s="114"/>
      <c r="S10" s="139"/>
      <c r="T10" s="116"/>
      <c r="U10" s="142"/>
      <c r="X10" s="134"/>
    </row>
    <row r="11" spans="2:24" ht="15.75">
      <c r="B11" s="99" t="s">
        <v>65</v>
      </c>
      <c r="C11" s="96">
        <v>-50</v>
      </c>
      <c r="D11" s="97"/>
      <c r="E11" s="63">
        <v>0</v>
      </c>
      <c r="F11" s="64"/>
      <c r="G11" s="64" t="s">
        <v>58</v>
      </c>
      <c r="I11" s="221" t="s">
        <v>48</v>
      </c>
      <c r="J11" s="221" t="s">
        <v>1</v>
      </c>
      <c r="L11" s="10">
        <v>0</v>
      </c>
      <c r="M11" s="10"/>
      <c r="N11" s="16"/>
      <c r="P11" s="110"/>
      <c r="Q11" s="111"/>
      <c r="R11" s="114"/>
      <c r="S11" s="139"/>
      <c r="T11" s="116"/>
      <c r="U11" s="142"/>
    </row>
    <row r="12" spans="2:24">
      <c r="B12" s="99" t="s">
        <v>38</v>
      </c>
      <c r="C12" s="96">
        <v>-500.59</v>
      </c>
      <c r="D12" s="97"/>
      <c r="E12" s="63">
        <v>0</v>
      </c>
      <c r="F12" s="64"/>
      <c r="G12" s="64" t="s">
        <v>58</v>
      </c>
      <c r="I12" s="10">
        <v>1</v>
      </c>
      <c r="J12" s="16"/>
      <c r="L12" s="10">
        <v>0</v>
      </c>
      <c r="M12" s="10"/>
      <c r="N12" s="16"/>
      <c r="P12" s="110"/>
      <c r="Q12" s="111"/>
      <c r="R12" s="114"/>
      <c r="S12" s="139"/>
      <c r="T12" s="116"/>
      <c r="U12" s="142"/>
      <c r="X12" s="134"/>
    </row>
    <row r="13" spans="2:24">
      <c r="B13" s="99" t="s">
        <v>14</v>
      </c>
      <c r="C13" s="96">
        <v>-9.61</v>
      </c>
      <c r="D13" s="97"/>
      <c r="E13" s="63">
        <v>0</v>
      </c>
      <c r="F13" s="64"/>
      <c r="G13" s="64" t="s">
        <v>58</v>
      </c>
      <c r="I13" s="162"/>
      <c r="J13" s="16"/>
      <c r="L13" s="10">
        <v>0</v>
      </c>
      <c r="M13" s="10"/>
      <c r="N13" s="16"/>
      <c r="P13" s="110"/>
      <c r="Q13" s="111"/>
      <c r="R13" s="114"/>
      <c r="S13" s="139"/>
      <c r="T13" s="116"/>
      <c r="U13" s="142"/>
    </row>
    <row r="14" spans="2:24">
      <c r="B14" s="99" t="s">
        <v>93</v>
      </c>
      <c r="C14" s="96">
        <v>0</v>
      </c>
      <c r="D14" s="97"/>
      <c r="E14" s="63">
        <f>C14</f>
        <v>0</v>
      </c>
      <c r="F14" s="64"/>
      <c r="G14" s="64" t="s">
        <v>58</v>
      </c>
      <c r="I14" s="10"/>
      <c r="J14" s="16"/>
      <c r="L14" s="10">
        <v>0</v>
      </c>
      <c r="M14" s="10"/>
      <c r="N14" s="16"/>
      <c r="P14" s="110"/>
      <c r="Q14" s="111"/>
      <c r="R14" s="114"/>
      <c r="S14" s="139"/>
      <c r="T14" s="116"/>
      <c r="U14" s="142"/>
      <c r="X14" s="134"/>
    </row>
    <row r="15" spans="2:24">
      <c r="B15" s="99" t="s">
        <v>610</v>
      </c>
      <c r="C15" s="96">
        <v>-701.54</v>
      </c>
      <c r="D15" s="97"/>
      <c r="E15" s="63">
        <v>0</v>
      </c>
      <c r="F15" s="64"/>
      <c r="G15" s="64" t="s">
        <v>58</v>
      </c>
      <c r="I15" s="10"/>
      <c r="J15" s="16"/>
      <c r="L15" s="10">
        <v>0</v>
      </c>
      <c r="M15" s="10"/>
      <c r="N15" s="16"/>
      <c r="P15" s="110"/>
      <c r="Q15" s="111"/>
      <c r="R15" s="114"/>
      <c r="S15" s="139"/>
      <c r="T15" s="116"/>
      <c r="U15" s="142"/>
    </row>
    <row r="16" spans="2:24">
      <c r="B16" s="99" t="s">
        <v>103</v>
      </c>
      <c r="C16" s="96">
        <v>-223.77</v>
      </c>
      <c r="D16" s="97"/>
      <c r="E16" s="63">
        <v>0</v>
      </c>
      <c r="F16" s="64"/>
      <c r="G16" s="64" t="s">
        <v>58</v>
      </c>
      <c r="I16" s="10"/>
      <c r="J16" s="16"/>
      <c r="L16" s="10">
        <v>0</v>
      </c>
      <c r="M16" s="10"/>
      <c r="N16" s="16"/>
      <c r="P16" s="110"/>
      <c r="Q16" s="111"/>
      <c r="R16" s="114"/>
      <c r="S16" s="139"/>
      <c r="T16" s="116"/>
      <c r="U16" s="142"/>
      <c r="X16" s="134"/>
    </row>
    <row r="17" spans="2:31">
      <c r="B17" s="99" t="s">
        <v>73</v>
      </c>
      <c r="C17" s="96">
        <v>-375.3</v>
      </c>
      <c r="D17" s="97"/>
      <c r="E17" s="63">
        <v>0</v>
      </c>
      <c r="F17" s="64"/>
      <c r="G17" s="64" t="s">
        <v>58</v>
      </c>
      <c r="I17" s="10"/>
      <c r="J17" s="16"/>
      <c r="L17" s="10">
        <v>0</v>
      </c>
      <c r="M17" s="10"/>
      <c r="N17" s="16"/>
      <c r="P17" s="119" t="s">
        <v>45</v>
      </c>
      <c r="Q17" s="120">
        <f>SUM(Q5:Q16)</f>
        <v>0</v>
      </c>
      <c r="R17" s="121"/>
      <c r="S17" s="119" t="s">
        <v>45</v>
      </c>
      <c r="T17" s="135"/>
      <c r="U17" s="135">
        <f>SUM(U5:U16)</f>
        <v>0</v>
      </c>
    </row>
    <row r="18" spans="2:31">
      <c r="B18" s="99" t="s">
        <v>29</v>
      </c>
      <c r="C18" s="96">
        <v>-300.05</v>
      </c>
      <c r="D18" s="97"/>
      <c r="E18" s="63">
        <v>0</v>
      </c>
      <c r="F18" s="64"/>
      <c r="G18" s="64" t="s">
        <v>58</v>
      </c>
      <c r="H18" s="143"/>
      <c r="I18" s="10"/>
      <c r="J18" s="16"/>
      <c r="L18" s="10">
        <v>0</v>
      </c>
      <c r="M18" s="10"/>
      <c r="N18" s="16"/>
      <c r="X18" s="134"/>
    </row>
    <row r="19" spans="2:31">
      <c r="B19" s="99" t="s">
        <v>584</v>
      </c>
      <c r="C19" s="96">
        <v>-34.42</v>
      </c>
      <c r="D19" s="97"/>
      <c r="E19" s="63">
        <v>0</v>
      </c>
      <c r="F19" s="64"/>
      <c r="G19" s="64" t="s">
        <v>58</v>
      </c>
      <c r="I19" s="60">
        <f>SUM(I12:I18)</f>
        <v>1</v>
      </c>
      <c r="J19" s="160" t="s">
        <v>21</v>
      </c>
      <c r="L19" s="10">
        <v>0</v>
      </c>
      <c r="M19" s="10"/>
      <c r="N19" s="16"/>
    </row>
    <row r="20" spans="2:31">
      <c r="B20" s="99" t="s">
        <v>607</v>
      </c>
      <c r="C20" s="96">
        <v>-32</v>
      </c>
      <c r="D20" s="97"/>
      <c r="E20" s="63">
        <v>0</v>
      </c>
      <c r="F20" s="64"/>
      <c r="G20" s="64" t="s">
        <v>58</v>
      </c>
      <c r="I20" s="1"/>
      <c r="L20" s="144">
        <f>SUM(L3:L19)</f>
        <v>52022.42</v>
      </c>
      <c r="M20" s="144" t="s">
        <v>21</v>
      </c>
      <c r="N20" s="145"/>
      <c r="S20" s="146"/>
      <c r="T20" s="147"/>
      <c r="U20" s="148"/>
    </row>
    <row r="21" spans="2:31">
      <c r="B21" s="99" t="s">
        <v>607</v>
      </c>
      <c r="C21" s="96">
        <v>-32</v>
      </c>
      <c r="D21" s="97"/>
      <c r="E21" s="63">
        <v>0</v>
      </c>
      <c r="F21" s="64"/>
      <c r="G21" s="64" t="s">
        <v>58</v>
      </c>
      <c r="I21" s="52"/>
      <c r="S21" s="152"/>
      <c r="X21" s="134"/>
    </row>
    <row r="22" spans="2:31">
      <c r="B22" s="99" t="s">
        <v>312</v>
      </c>
      <c r="C22" s="96">
        <v>-50</v>
      </c>
      <c r="D22" s="97"/>
      <c r="E22" s="63">
        <v>0</v>
      </c>
      <c r="F22" s="64"/>
      <c r="G22" s="64" t="s">
        <v>58</v>
      </c>
      <c r="S22" s="149"/>
      <c r="T22" s="157"/>
      <c r="U22" s="157"/>
    </row>
    <row r="23" spans="2:31">
      <c r="B23" s="99" t="s">
        <v>612</v>
      </c>
      <c r="C23" s="96">
        <v>-50</v>
      </c>
      <c r="D23" s="97"/>
      <c r="E23" s="63">
        <v>0</v>
      </c>
      <c r="F23" s="64"/>
      <c r="G23" s="64" t="s">
        <v>58</v>
      </c>
      <c r="S23" s="149"/>
      <c r="T23" s="157"/>
      <c r="U23" s="157"/>
      <c r="X23" s="134"/>
    </row>
    <row r="24" spans="2:31">
      <c r="B24" s="99" t="s">
        <v>41</v>
      </c>
      <c r="C24" s="96">
        <v>-109.97</v>
      </c>
      <c r="D24" s="97"/>
      <c r="E24" s="63">
        <v>0</v>
      </c>
      <c r="F24" s="64"/>
      <c r="G24" s="64" t="s">
        <v>58</v>
      </c>
      <c r="S24" s="152"/>
    </row>
    <row r="25" spans="2:31">
      <c r="B25" s="99" t="s">
        <v>574</v>
      </c>
      <c r="C25" s="96">
        <v>-130</v>
      </c>
      <c r="D25" s="97"/>
      <c r="E25" s="63">
        <v>0</v>
      </c>
      <c r="F25" s="64"/>
      <c r="G25" s="64" t="s">
        <v>58</v>
      </c>
      <c r="S25" s="152"/>
    </row>
    <row r="26" spans="2:31">
      <c r="B26" s="99" t="s">
        <v>77</v>
      </c>
      <c r="C26" s="96">
        <v>-246.17</v>
      </c>
      <c r="D26" s="97"/>
      <c r="E26" s="63">
        <v>0</v>
      </c>
      <c r="F26" s="64"/>
      <c r="G26" s="64" t="s">
        <v>58</v>
      </c>
      <c r="K26" s="1"/>
      <c r="S26" s="149"/>
      <c r="T26" s="157"/>
      <c r="U26" s="157"/>
      <c r="V26" s="146"/>
      <c r="Y26" s="149"/>
      <c r="Z26" s="146"/>
      <c r="AA26" s="147"/>
      <c r="AB26" s="148"/>
      <c r="AD26" s="150"/>
      <c r="AE26" s="151"/>
    </row>
    <row r="27" spans="2:31">
      <c r="B27" s="99" t="s">
        <v>615</v>
      </c>
      <c r="C27" s="96">
        <v>290.63</v>
      </c>
      <c r="D27" s="97"/>
      <c r="E27" s="63">
        <v>0</v>
      </c>
      <c r="F27" s="64"/>
      <c r="G27" s="64" t="s">
        <v>58</v>
      </c>
      <c r="S27" s="152"/>
      <c r="V27" s="153"/>
      <c r="W27" s="154"/>
      <c r="X27" s="134"/>
      <c r="Y27" s="152"/>
      <c r="Z27" s="153"/>
      <c r="AA27" s="154"/>
      <c r="AB27" s="134"/>
      <c r="AD27" s="155"/>
      <c r="AE27" s="156"/>
    </row>
    <row r="28" spans="2:31">
      <c r="B28" s="99" t="s">
        <v>616</v>
      </c>
      <c r="C28" s="96">
        <v>-120</v>
      </c>
      <c r="D28" s="97"/>
      <c r="E28" s="63">
        <v>0</v>
      </c>
      <c r="F28" s="64"/>
      <c r="G28" s="64" t="s">
        <v>58</v>
      </c>
      <c r="S28" s="149"/>
      <c r="T28" s="157"/>
      <c r="U28" s="157"/>
      <c r="V28" s="146"/>
      <c r="W28" s="147"/>
      <c r="X28" s="148"/>
      <c r="Y28" s="149"/>
      <c r="Z28" s="146"/>
      <c r="AA28" s="147"/>
      <c r="AB28" s="148"/>
      <c r="AD28" s="150"/>
      <c r="AE28" s="151"/>
    </row>
    <row r="29" spans="2:31">
      <c r="B29" s="99" t="s">
        <v>617</v>
      </c>
      <c r="C29" s="96">
        <v>-37</v>
      </c>
      <c r="D29" s="97"/>
      <c r="E29" s="63">
        <v>0</v>
      </c>
      <c r="F29" s="64"/>
      <c r="G29" s="64" t="s">
        <v>58</v>
      </c>
      <c r="S29" s="152"/>
      <c r="V29" s="146"/>
      <c r="W29" s="147"/>
      <c r="X29" s="148"/>
      <c r="Y29" s="149"/>
      <c r="Z29" s="146"/>
      <c r="AA29" s="147"/>
      <c r="AB29" s="148"/>
      <c r="AD29" s="150"/>
      <c r="AE29" s="151"/>
    </row>
    <row r="30" spans="2:31">
      <c r="B30" s="99" t="s">
        <v>618</v>
      </c>
      <c r="C30" s="96">
        <f>-250-350</f>
        <v>-600</v>
      </c>
      <c r="D30" s="97"/>
      <c r="E30" s="63">
        <v>0</v>
      </c>
      <c r="F30" s="64"/>
      <c r="G30" s="64" t="s">
        <v>58</v>
      </c>
      <c r="S30" s="152"/>
      <c r="V30" s="153"/>
      <c r="W30" s="154"/>
      <c r="X30" s="134"/>
      <c r="Y30" s="152"/>
      <c r="Z30" s="153"/>
      <c r="AA30" s="154"/>
      <c r="AB30" s="134"/>
      <c r="AD30" s="155"/>
      <c r="AE30" s="156"/>
    </row>
    <row r="31" spans="2:31">
      <c r="B31" s="99" t="s">
        <v>619</v>
      </c>
      <c r="C31" s="96">
        <v>-445.66</v>
      </c>
      <c r="D31" s="97"/>
      <c r="E31" s="63">
        <v>0</v>
      </c>
      <c r="F31" s="64"/>
      <c r="G31" s="64" t="s">
        <v>58</v>
      </c>
      <c r="V31" s="146"/>
      <c r="W31" s="147"/>
      <c r="X31" s="148"/>
      <c r="Y31" s="149"/>
      <c r="Z31" s="146"/>
      <c r="AA31" s="147"/>
      <c r="AB31" s="148"/>
      <c r="AD31" s="150"/>
      <c r="AE31" s="151"/>
    </row>
    <row r="32" spans="2:31">
      <c r="B32" s="99" t="s">
        <v>374</v>
      </c>
      <c r="C32" s="96">
        <v>-4000</v>
      </c>
      <c r="D32" s="97"/>
      <c r="E32" s="63">
        <v>0</v>
      </c>
      <c r="F32" s="64"/>
      <c r="G32" s="64" t="s">
        <v>58</v>
      </c>
      <c r="H32" s="89"/>
      <c r="V32" s="153"/>
      <c r="W32" s="154"/>
      <c r="X32" s="134"/>
      <c r="Y32" s="152"/>
      <c r="Z32" s="153"/>
      <c r="AA32" s="154"/>
      <c r="AB32" s="134"/>
      <c r="AD32" s="155"/>
      <c r="AE32" s="156"/>
    </row>
    <row r="33" spans="2:31">
      <c r="B33" s="99" t="s">
        <v>511</v>
      </c>
      <c r="C33" s="96">
        <f>-1026.22-93.87-11-56.1</f>
        <v>-1187.19</v>
      </c>
      <c r="D33" s="97"/>
      <c r="E33" s="63">
        <v>0</v>
      </c>
      <c r="F33" s="64"/>
      <c r="G33" s="64" t="s">
        <v>58</v>
      </c>
      <c r="V33" s="146"/>
      <c r="W33" s="147"/>
      <c r="X33" s="148"/>
      <c r="Y33" s="149"/>
      <c r="Z33" s="146"/>
      <c r="AA33" s="147"/>
      <c r="AB33" s="148"/>
      <c r="AD33" s="150"/>
      <c r="AE33" s="151"/>
    </row>
    <row r="34" spans="2:31" ht="18">
      <c r="B34" s="74" t="s">
        <v>45</v>
      </c>
      <c r="C34" s="101"/>
      <c r="D34" s="98"/>
      <c r="E34" s="129">
        <f>SUM(E3:E33)</f>
        <v>-634.16000000000008</v>
      </c>
      <c r="F34" s="75"/>
      <c r="G34" s="75"/>
      <c r="V34" s="153"/>
      <c r="W34" s="154"/>
      <c r="X34" s="134"/>
      <c r="Y34" s="152"/>
      <c r="Z34" s="153"/>
      <c r="AA34" s="154"/>
      <c r="AB34" s="134"/>
      <c r="AD34" s="155"/>
      <c r="AE34" s="156"/>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Id="1" sqref="G13 A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4.85546875" customWidth="1"/>
    <col min="10" max="10" width="14.28515625" customWidth="1"/>
    <col min="11" max="11" width="1.42578125" customWidth="1"/>
    <col min="12" max="12" width="17.7109375" customWidth="1"/>
    <col min="13" max="13" width="15"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17.22</v>
      </c>
      <c r="F3" s="61"/>
      <c r="G3" s="61"/>
      <c r="I3" s="10">
        <f>53*45.5</f>
        <v>2411.5</v>
      </c>
      <c r="J3" s="16">
        <v>39972</v>
      </c>
      <c r="L3" s="10">
        <v>66701.350000000006</v>
      </c>
      <c r="M3" s="10" t="s">
        <v>608</v>
      </c>
      <c r="N3" s="16"/>
      <c r="P3" s="581" t="s">
        <v>216</v>
      </c>
      <c r="Q3" s="581"/>
      <c r="R3" s="581"/>
      <c r="S3" s="582" t="s">
        <v>217</v>
      </c>
      <c r="T3" s="582"/>
      <c r="U3" s="582"/>
    </row>
    <row r="4" spans="2:24" ht="12" customHeight="1">
      <c r="B4" s="71" t="s">
        <v>56</v>
      </c>
      <c r="C4" s="91">
        <v>0</v>
      </c>
      <c r="D4" s="92"/>
      <c r="E4" s="95">
        <v>5163.6400000000003</v>
      </c>
      <c r="F4" s="72"/>
      <c r="G4" s="72"/>
      <c r="I4" s="10"/>
      <c r="J4" s="16"/>
      <c r="L4" s="10">
        <f>-15146.09+750</f>
        <v>-14396.09</v>
      </c>
      <c r="M4" s="10" t="s">
        <v>38</v>
      </c>
      <c r="N4" s="16"/>
      <c r="P4" s="107" t="s">
        <v>218</v>
      </c>
      <c r="Q4" s="108" t="s">
        <v>219</v>
      </c>
      <c r="R4" s="109" t="s">
        <v>1</v>
      </c>
      <c r="S4" s="107" t="s">
        <v>1</v>
      </c>
      <c r="T4" s="108" t="s">
        <v>218</v>
      </c>
      <c r="U4" s="109" t="s">
        <v>219</v>
      </c>
    </row>
    <row r="5" spans="2:24" ht="12" customHeight="1">
      <c r="B5" s="71" t="s">
        <v>5</v>
      </c>
      <c r="C5" s="91">
        <v>4000</v>
      </c>
      <c r="D5" s="92"/>
      <c r="E5" s="95">
        <v>0</v>
      </c>
      <c r="F5" s="72"/>
      <c r="G5" s="72"/>
      <c r="I5" s="10"/>
      <c r="J5" s="16"/>
      <c r="L5" s="10">
        <f>I3</f>
        <v>2411.5</v>
      </c>
      <c r="M5" s="10" t="s">
        <v>604</v>
      </c>
      <c r="N5" s="16"/>
      <c r="P5" s="110"/>
      <c r="Q5" s="111"/>
      <c r="R5" s="112"/>
      <c r="S5" s="139"/>
      <c r="T5" s="116"/>
      <c r="U5" s="142"/>
    </row>
    <row r="6" spans="2:24">
      <c r="B6" s="71" t="s">
        <v>614</v>
      </c>
      <c r="C6" s="91">
        <f>7283.2-4000</f>
        <v>3283.2</v>
      </c>
      <c r="D6" s="92"/>
      <c r="E6" s="95">
        <v>0</v>
      </c>
      <c r="F6" s="72"/>
      <c r="G6" s="72"/>
      <c r="I6" s="10"/>
      <c r="J6" s="16"/>
      <c r="L6" s="10">
        <v>4005.23</v>
      </c>
      <c r="M6" s="10" t="s">
        <v>613</v>
      </c>
      <c r="N6" s="16"/>
      <c r="P6" s="110"/>
      <c r="Q6" s="111"/>
      <c r="R6" s="112"/>
      <c r="S6" s="139"/>
      <c r="T6" s="116"/>
      <c r="U6" s="142"/>
    </row>
    <row r="7" spans="2:24">
      <c r="B7" s="71" t="s">
        <v>620</v>
      </c>
      <c r="C7" s="91">
        <f>6000*(1-27.5%)</f>
        <v>4350</v>
      </c>
      <c r="D7" s="92"/>
      <c r="E7" s="95">
        <v>0</v>
      </c>
      <c r="F7" s="72"/>
      <c r="G7" s="72"/>
      <c r="I7" s="10"/>
      <c r="J7" s="16"/>
      <c r="L7" s="10">
        <v>-960</v>
      </c>
      <c r="M7" s="10" t="s">
        <v>621</v>
      </c>
      <c r="N7" s="16"/>
      <c r="P7" s="110"/>
      <c r="Q7" s="111"/>
      <c r="R7" s="133"/>
      <c r="S7" s="139"/>
      <c r="T7" s="116"/>
      <c r="U7" s="142"/>
    </row>
    <row r="8" spans="2:24">
      <c r="B8" s="71" t="s">
        <v>166</v>
      </c>
      <c r="C8" s="91">
        <v>42</v>
      </c>
      <c r="D8" s="92"/>
      <c r="E8" s="95">
        <v>0</v>
      </c>
      <c r="F8" s="72"/>
      <c r="G8" s="72"/>
      <c r="I8" s="10"/>
      <c r="J8" s="16"/>
      <c r="L8" s="10">
        <v>-711</v>
      </c>
      <c r="M8" s="10" t="s">
        <v>622</v>
      </c>
      <c r="N8" s="16"/>
      <c r="P8" s="110"/>
      <c r="Q8" s="111"/>
      <c r="R8" s="114"/>
      <c r="S8" s="139"/>
      <c r="T8" s="116"/>
      <c r="U8" s="142"/>
      <c r="X8" s="134"/>
    </row>
    <row r="9" spans="2:24">
      <c r="B9" s="99" t="s">
        <v>418</v>
      </c>
      <c r="C9" s="96">
        <v>-1101</v>
      </c>
      <c r="D9" s="97"/>
      <c r="E9" s="63">
        <v>0</v>
      </c>
      <c r="F9" s="64"/>
      <c r="G9" s="64" t="s">
        <v>58</v>
      </c>
      <c r="L9" s="10">
        <v>0</v>
      </c>
      <c r="M9" s="10"/>
      <c r="N9" s="16"/>
      <c r="P9" s="110"/>
      <c r="Q9" s="111"/>
      <c r="R9" s="114"/>
      <c r="S9" s="139"/>
      <c r="T9" s="116"/>
      <c r="U9" s="142"/>
    </row>
    <row r="10" spans="2:24">
      <c r="B10" s="99" t="s">
        <v>590</v>
      </c>
      <c r="C10" s="96">
        <v>770.7</v>
      </c>
      <c r="D10" s="97"/>
      <c r="E10" s="63">
        <v>0</v>
      </c>
      <c r="F10" s="64"/>
      <c r="G10" s="64" t="s">
        <v>58</v>
      </c>
      <c r="L10" s="10">
        <v>0</v>
      </c>
      <c r="M10" s="10"/>
      <c r="N10" s="16"/>
      <c r="P10" s="110"/>
      <c r="Q10" s="111"/>
      <c r="R10" s="114"/>
      <c r="S10" s="139"/>
      <c r="T10" s="116"/>
      <c r="U10" s="142"/>
      <c r="X10" s="134"/>
    </row>
    <row r="11" spans="2:24" ht="15.75">
      <c r="B11" s="99" t="s">
        <v>65</v>
      </c>
      <c r="C11" s="96">
        <v>-100</v>
      </c>
      <c r="D11" s="97"/>
      <c r="E11" s="63">
        <v>0</v>
      </c>
      <c r="F11" s="64"/>
      <c r="G11" s="64" t="s">
        <v>58</v>
      </c>
      <c r="I11" s="221" t="s">
        <v>48</v>
      </c>
      <c r="J11" s="221" t="s">
        <v>1</v>
      </c>
      <c r="L11" s="10">
        <v>0</v>
      </c>
      <c r="M11" s="10"/>
      <c r="N11" s="16"/>
      <c r="P11" s="110"/>
      <c r="Q11" s="111"/>
      <c r="R11" s="114"/>
      <c r="S11" s="139"/>
      <c r="T11" s="116"/>
      <c r="U11" s="142"/>
    </row>
    <row r="12" spans="2:24">
      <c r="B12" s="99" t="s">
        <v>38</v>
      </c>
      <c r="C12" s="96">
        <v>-500.59</v>
      </c>
      <c r="D12" s="97"/>
      <c r="E12" s="63">
        <v>0</v>
      </c>
      <c r="F12" s="64"/>
      <c r="G12" s="64" t="s">
        <v>58</v>
      </c>
      <c r="I12" s="10">
        <f>-573.57+550</f>
        <v>-23.57000000000005</v>
      </c>
      <c r="J12" s="16"/>
      <c r="L12" s="10">
        <v>0</v>
      </c>
      <c r="M12" s="10"/>
      <c r="N12" s="16"/>
      <c r="P12" s="110"/>
      <c r="Q12" s="111"/>
      <c r="R12" s="114"/>
      <c r="S12" s="139"/>
      <c r="T12" s="116"/>
      <c r="U12" s="142"/>
      <c r="X12" s="134"/>
    </row>
    <row r="13" spans="2:24">
      <c r="B13" s="99" t="s">
        <v>14</v>
      </c>
      <c r="C13" s="96">
        <v>-9.61</v>
      </c>
      <c r="D13" s="97"/>
      <c r="E13" s="63">
        <v>0</v>
      </c>
      <c r="F13" s="64"/>
      <c r="G13" s="64" t="s">
        <v>58</v>
      </c>
      <c r="I13" s="162">
        <v>0</v>
      </c>
      <c r="J13" s="16"/>
      <c r="L13" s="10">
        <v>0</v>
      </c>
      <c r="M13" s="10"/>
      <c r="N13" s="16"/>
      <c r="P13" s="110"/>
      <c r="Q13" s="111"/>
      <c r="R13" s="114"/>
      <c r="S13" s="139"/>
      <c r="T13" s="116"/>
      <c r="U13" s="142"/>
    </row>
    <row r="14" spans="2:24">
      <c r="B14" s="99" t="s">
        <v>93</v>
      </c>
      <c r="C14" s="96">
        <v>-34.79</v>
      </c>
      <c r="D14" s="97"/>
      <c r="E14" s="63">
        <v>0</v>
      </c>
      <c r="F14" s="64"/>
      <c r="G14" s="64" t="s">
        <v>58</v>
      </c>
      <c r="I14" s="10">
        <v>0</v>
      </c>
      <c r="J14" s="16"/>
      <c r="L14" s="10">
        <v>0</v>
      </c>
      <c r="M14" s="10"/>
      <c r="N14" s="16"/>
      <c r="P14" s="110"/>
      <c r="Q14" s="111"/>
      <c r="R14" s="114"/>
      <c r="S14" s="139"/>
      <c r="T14" s="116"/>
      <c r="U14" s="142"/>
      <c r="X14" s="134"/>
    </row>
    <row r="15" spans="2:24">
      <c r="B15" s="99" t="s">
        <v>610</v>
      </c>
      <c r="C15" s="96">
        <v>-2021.32</v>
      </c>
      <c r="D15" s="97"/>
      <c r="E15" s="63">
        <v>0</v>
      </c>
      <c r="F15" s="64"/>
      <c r="G15" s="64" t="s">
        <v>58</v>
      </c>
      <c r="I15" s="10">
        <v>0</v>
      </c>
      <c r="J15" s="16"/>
      <c r="L15" s="10">
        <v>0</v>
      </c>
      <c r="M15" s="10"/>
      <c r="N15" s="16"/>
      <c r="P15" s="110"/>
      <c r="Q15" s="111"/>
      <c r="R15" s="114"/>
      <c r="S15" s="139"/>
      <c r="T15" s="116"/>
      <c r="U15" s="142"/>
    </row>
    <row r="16" spans="2:24">
      <c r="B16" s="99" t="s">
        <v>103</v>
      </c>
      <c r="C16" s="96">
        <v>-73.5</v>
      </c>
      <c r="D16" s="97"/>
      <c r="E16" s="63">
        <v>0</v>
      </c>
      <c r="F16" s="64"/>
      <c r="G16" s="64" t="s">
        <v>58</v>
      </c>
      <c r="I16" s="10"/>
      <c r="J16" s="16"/>
      <c r="L16" s="10">
        <v>0</v>
      </c>
      <c r="M16" s="10"/>
      <c r="N16" s="16"/>
      <c r="P16" s="110"/>
      <c r="Q16" s="111"/>
      <c r="R16" s="114"/>
      <c r="S16" s="139"/>
      <c r="T16" s="116"/>
      <c r="U16" s="142"/>
      <c r="X16" s="134"/>
    </row>
    <row r="17" spans="2:31">
      <c r="B17" s="99" t="s">
        <v>73</v>
      </c>
      <c r="C17" s="96">
        <v>-373.4</v>
      </c>
      <c r="D17" s="97"/>
      <c r="E17" s="63">
        <v>0</v>
      </c>
      <c r="F17" s="64"/>
      <c r="G17" s="64" t="s">
        <v>58</v>
      </c>
      <c r="I17" s="10"/>
      <c r="J17" s="16"/>
      <c r="L17" s="10">
        <v>0</v>
      </c>
      <c r="M17" s="10"/>
      <c r="N17" s="16"/>
      <c r="P17" s="119" t="s">
        <v>45</v>
      </c>
      <c r="Q17" s="120">
        <f>SUM(Q5:Q16)</f>
        <v>0</v>
      </c>
      <c r="R17" s="121"/>
      <c r="S17" s="119" t="s">
        <v>45</v>
      </c>
      <c r="T17" s="135"/>
      <c r="U17" s="135">
        <f>SUM(U5:U16)</f>
        <v>0</v>
      </c>
    </row>
    <row r="18" spans="2:31">
      <c r="B18" s="99" t="s">
        <v>29</v>
      </c>
      <c r="C18" s="96">
        <v>-300.05</v>
      </c>
      <c r="D18" s="97"/>
      <c r="E18" s="63">
        <v>0</v>
      </c>
      <c r="F18" s="64"/>
      <c r="G18" s="64" t="s">
        <v>58</v>
      </c>
      <c r="H18" s="143"/>
      <c r="I18" s="10"/>
      <c r="J18" s="16"/>
      <c r="L18" s="144">
        <f>SUM(L3:L17)</f>
        <v>57050.990000000013</v>
      </c>
      <c r="M18" s="144" t="s">
        <v>21</v>
      </c>
      <c r="N18" s="145"/>
      <c r="X18" s="134"/>
    </row>
    <row r="19" spans="2:31">
      <c r="B19" s="99" t="s">
        <v>584</v>
      </c>
      <c r="C19" s="96">
        <v>-34.42</v>
      </c>
      <c r="D19" s="97"/>
      <c r="E19" s="63">
        <v>0</v>
      </c>
      <c r="F19" s="64"/>
      <c r="G19" s="64" t="s">
        <v>58</v>
      </c>
      <c r="I19" s="60">
        <f>SUM(I12:I18)</f>
        <v>-23.57000000000005</v>
      </c>
      <c r="J19" s="160" t="s">
        <v>21</v>
      </c>
    </row>
    <row r="20" spans="2:31">
      <c r="B20" s="99" t="s">
        <v>607</v>
      </c>
      <c r="C20" s="96">
        <v>-32</v>
      </c>
      <c r="D20" s="97"/>
      <c r="E20" s="163">
        <f>C20</f>
        <v>-32</v>
      </c>
      <c r="F20" s="164"/>
      <c r="G20" s="164"/>
      <c r="I20" s="1"/>
      <c r="S20" s="146"/>
      <c r="T20" s="147"/>
      <c r="U20" s="148"/>
    </row>
    <row r="21" spans="2:31">
      <c r="B21" s="99" t="s">
        <v>312</v>
      </c>
      <c r="C21" s="96">
        <v>-100</v>
      </c>
      <c r="D21" s="97"/>
      <c r="E21" s="63">
        <v>0</v>
      </c>
      <c r="F21" s="64"/>
      <c r="G21" s="64" t="s">
        <v>58</v>
      </c>
      <c r="I21" s="52"/>
      <c r="S21" s="152"/>
      <c r="X21" s="134"/>
    </row>
    <row r="22" spans="2:31">
      <c r="B22" s="99" t="s">
        <v>612</v>
      </c>
      <c r="C22" s="96">
        <v>-50</v>
      </c>
      <c r="D22" s="97"/>
      <c r="E22" s="63">
        <v>0</v>
      </c>
      <c r="F22" s="64"/>
      <c r="G22" s="64" t="s">
        <v>58</v>
      </c>
      <c r="S22" s="149"/>
      <c r="T22" s="157"/>
      <c r="U22" s="157"/>
    </row>
    <row r="23" spans="2:31">
      <c r="B23" s="99" t="s">
        <v>41</v>
      </c>
      <c r="C23" s="96">
        <v>-72.739999999999995</v>
      </c>
      <c r="D23" s="97"/>
      <c r="E23" s="63">
        <v>0</v>
      </c>
      <c r="F23" s="64"/>
      <c r="G23" s="64" t="s">
        <v>58</v>
      </c>
      <c r="S23" s="149"/>
      <c r="T23" s="157"/>
      <c r="U23" s="157"/>
      <c r="X23" s="134"/>
    </row>
    <row r="24" spans="2:31">
      <c r="B24" s="99" t="s">
        <v>623</v>
      </c>
      <c r="C24" s="96">
        <v>-4000</v>
      </c>
      <c r="D24" s="97"/>
      <c r="E24" s="63">
        <v>0</v>
      </c>
      <c r="F24" s="64"/>
      <c r="G24" s="64" t="s">
        <v>58</v>
      </c>
      <c r="S24" s="152"/>
    </row>
    <row r="25" spans="2:31">
      <c r="B25" s="99" t="s">
        <v>624</v>
      </c>
      <c r="C25" s="96">
        <v>-54</v>
      </c>
      <c r="D25" s="97"/>
      <c r="E25" s="63">
        <v>0</v>
      </c>
      <c r="F25" s="64"/>
      <c r="G25" s="64" t="s">
        <v>58</v>
      </c>
      <c r="S25" s="152"/>
    </row>
    <row r="26" spans="2:31">
      <c r="B26" s="99" t="s">
        <v>574</v>
      </c>
      <c r="C26" s="96">
        <v>-130</v>
      </c>
      <c r="D26" s="97"/>
      <c r="E26" s="63">
        <v>0</v>
      </c>
      <c r="F26" s="64"/>
      <c r="G26" s="64" t="s">
        <v>58</v>
      </c>
      <c r="K26" s="1"/>
      <c r="S26" s="149"/>
      <c r="T26" s="157"/>
      <c r="U26" s="157"/>
      <c r="V26" s="146"/>
      <c r="Y26" s="149"/>
      <c r="Z26" s="146"/>
      <c r="AA26" s="147"/>
      <c r="AB26" s="148"/>
      <c r="AD26" s="150"/>
      <c r="AE26" s="151"/>
    </row>
    <row r="27" spans="2:31">
      <c r="B27" s="99" t="s">
        <v>77</v>
      </c>
      <c r="C27" s="96">
        <v>-256.18</v>
      </c>
      <c r="D27" s="97"/>
      <c r="E27" s="63">
        <v>0</v>
      </c>
      <c r="F27" s="64"/>
      <c r="G27" s="64" t="s">
        <v>58</v>
      </c>
      <c r="S27" s="152"/>
      <c r="V27" s="153"/>
      <c r="W27" s="154"/>
      <c r="X27" s="134"/>
      <c r="Y27" s="152"/>
      <c r="Z27" s="153"/>
      <c r="AA27" s="154"/>
      <c r="AB27" s="134"/>
      <c r="AD27" s="155"/>
      <c r="AE27" s="156"/>
    </row>
    <row r="28" spans="2:31" ht="18">
      <c r="B28" s="74" t="s">
        <v>45</v>
      </c>
      <c r="C28" s="101"/>
      <c r="D28" s="98"/>
      <c r="E28" s="129">
        <f>SUM(E3:E27)</f>
        <v>5148.8600000000006</v>
      </c>
      <c r="F28" s="75"/>
      <c r="G28" s="75"/>
      <c r="S28" s="149"/>
      <c r="T28" s="157"/>
      <c r="U28" s="157"/>
      <c r="V28" s="146"/>
      <c r="W28" s="147"/>
      <c r="X28" s="148"/>
      <c r="Y28" s="149"/>
      <c r="Z28" s="146"/>
      <c r="AA28" s="147"/>
      <c r="AB28" s="148"/>
      <c r="AD28" s="150"/>
      <c r="AE28" s="151"/>
    </row>
    <row r="29" spans="2:31">
      <c r="C29" s="1"/>
      <c r="D29" s="1"/>
      <c r="E29" s="1"/>
      <c r="S29" s="152"/>
      <c r="V29" s="146"/>
      <c r="W29" s="147"/>
      <c r="X29" s="148"/>
      <c r="Y29" s="149"/>
      <c r="Z29" s="146"/>
      <c r="AA29" s="147"/>
      <c r="AB29" s="148"/>
      <c r="AD29" s="150"/>
      <c r="AE29" s="151"/>
    </row>
    <row r="30" spans="2:3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7:31">
      <c r="G33" s="16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sheetPr>
    <pageSetUpPr autoPageBreaks="0"/>
  </sheetPr>
  <dimension ref="A2:I26"/>
  <sheetViews>
    <sheetView showGridLines="0" zoomScaleSheetLayoutView="100" workbookViewId="0">
      <selection activeCell="C3" activeCellId="1" sqref="G13 C3"/>
    </sheetView>
  </sheetViews>
  <sheetFormatPr defaultColWidth="8.85546875" defaultRowHeight="12.75"/>
  <cols>
    <col min="1" max="1" width="1" customWidth="1"/>
    <col min="2" max="2" width="19.42578125" customWidth="1"/>
    <col min="3" max="3" width="16.7109375" style="1" customWidth="1"/>
    <col min="4" max="5" width="10.28515625" style="32" customWidth="1"/>
    <col min="6" max="6" width="3" customWidth="1"/>
    <col min="7" max="7" width="12.42578125" customWidth="1"/>
    <col min="8" max="8" width="14.42578125" customWidth="1"/>
    <col min="9" max="9" width="2.140625" customWidth="1"/>
  </cols>
  <sheetData>
    <row r="2" spans="1:9" ht="18">
      <c r="B2" s="575" t="s">
        <v>0</v>
      </c>
      <c r="C2" s="575"/>
      <c r="D2" s="33" t="s">
        <v>1</v>
      </c>
      <c r="E2" s="33" t="s">
        <v>57</v>
      </c>
    </row>
    <row r="3" spans="1:9">
      <c r="B3" s="34" t="s">
        <v>48</v>
      </c>
      <c r="C3" s="34">
        <v>300.95</v>
      </c>
      <c r="D3" s="35"/>
      <c r="E3" s="35"/>
      <c r="G3" s="8" t="s">
        <v>15</v>
      </c>
      <c r="H3" s="1">
        <v>300</v>
      </c>
    </row>
    <row r="4" spans="1:9">
      <c r="B4" s="34" t="s">
        <v>7</v>
      </c>
      <c r="C4" s="34">
        <v>1396.89</v>
      </c>
      <c r="D4" s="35"/>
      <c r="E4" s="35"/>
      <c r="G4" s="8" t="s">
        <v>18</v>
      </c>
      <c r="H4" s="1">
        <v>50</v>
      </c>
    </row>
    <row r="5" spans="1:9">
      <c r="B5" s="34" t="s">
        <v>11</v>
      </c>
      <c r="C5" s="45">
        <v>-4.09</v>
      </c>
      <c r="D5" s="46"/>
      <c r="E5" s="46"/>
      <c r="G5" s="8" t="s">
        <v>20</v>
      </c>
      <c r="H5" s="1">
        <v>15</v>
      </c>
    </row>
    <row r="6" spans="1:9">
      <c r="B6" s="34" t="s">
        <v>56</v>
      </c>
      <c r="C6" s="34">
        <v>2388.58</v>
      </c>
      <c r="D6" s="41"/>
      <c r="E6" s="41"/>
      <c r="G6" s="8" t="s">
        <v>22</v>
      </c>
      <c r="H6" s="1">
        <f>27</f>
        <v>27</v>
      </c>
    </row>
    <row r="7" spans="1:9">
      <c r="A7" s="8"/>
      <c r="B7" s="47" t="s">
        <v>27</v>
      </c>
      <c r="C7" s="47">
        <v>0</v>
      </c>
      <c r="D7" s="48">
        <v>38869</v>
      </c>
      <c r="E7" s="49" t="s">
        <v>58</v>
      </c>
      <c r="G7" s="8" t="s">
        <v>24</v>
      </c>
      <c r="H7" s="1">
        <v>60</v>
      </c>
    </row>
    <row r="8" spans="1:9" s="8" customFormat="1">
      <c r="B8" s="15" t="s">
        <v>52</v>
      </c>
      <c r="C8" s="15">
        <v>-99.99</v>
      </c>
      <c r="D8" s="37"/>
      <c r="E8" s="37"/>
      <c r="G8" s="8" t="s">
        <v>25</v>
      </c>
      <c r="H8" s="1">
        <f>(50-35.7)*2</f>
        <v>28.599999999999994</v>
      </c>
      <c r="I8"/>
    </row>
    <row r="9" spans="1:9" s="8" customFormat="1">
      <c r="B9" s="47" t="s">
        <v>39</v>
      </c>
      <c r="C9" s="47">
        <v>0</v>
      </c>
      <c r="D9" s="48">
        <v>38882</v>
      </c>
      <c r="E9" s="49" t="s">
        <v>58</v>
      </c>
      <c r="G9" s="25">
        <v>0.1</v>
      </c>
      <c r="H9" s="1">
        <f>SUM(H3:H8)*10%</f>
        <v>48.06</v>
      </c>
      <c r="I9"/>
    </row>
    <row r="10" spans="1:9" s="8" customFormat="1">
      <c r="B10" s="47" t="s">
        <v>28</v>
      </c>
      <c r="C10" s="47">
        <v>0</v>
      </c>
      <c r="D10" s="48">
        <v>38873</v>
      </c>
      <c r="E10" s="49" t="s">
        <v>58</v>
      </c>
      <c r="F10"/>
      <c r="G10" s="25"/>
      <c r="H10" s="1"/>
      <c r="I10"/>
    </row>
    <row r="11" spans="1:9" s="8" customFormat="1">
      <c r="B11" s="47" t="s">
        <v>29</v>
      </c>
      <c r="C11" s="47">
        <v>0</v>
      </c>
      <c r="D11" s="48">
        <v>38875</v>
      </c>
      <c r="E11" s="49" t="s">
        <v>58</v>
      </c>
      <c r="G11" s="574" t="s">
        <v>30</v>
      </c>
      <c r="H11" s="574"/>
      <c r="I11"/>
    </row>
    <row r="12" spans="1:9" s="8" customFormat="1">
      <c r="B12" s="47" t="s">
        <v>32</v>
      </c>
      <c r="C12" s="47">
        <v>0</v>
      </c>
      <c r="D12" s="48">
        <v>38875</v>
      </c>
      <c r="E12" s="49" t="s">
        <v>58</v>
      </c>
      <c r="G12" s="9" t="s">
        <v>36</v>
      </c>
      <c r="H12" s="26">
        <v>0</v>
      </c>
      <c r="I12"/>
    </row>
    <row r="13" spans="1:9" s="8" customFormat="1">
      <c r="B13" s="15" t="s">
        <v>54</v>
      </c>
      <c r="C13" s="15">
        <v>-95.97</v>
      </c>
      <c r="D13" s="37">
        <v>38871</v>
      </c>
      <c r="E13" s="37"/>
      <c r="G13" s="9" t="s">
        <v>39</v>
      </c>
      <c r="H13" s="26">
        <v>0</v>
      </c>
      <c r="I13"/>
    </row>
    <row r="14" spans="1:9" s="8" customFormat="1">
      <c r="B14" s="47" t="s">
        <v>55</v>
      </c>
      <c r="C14" s="47">
        <v>0</v>
      </c>
      <c r="D14" s="48">
        <v>38880</v>
      </c>
      <c r="E14" s="49" t="s">
        <v>58</v>
      </c>
      <c r="G14" s="9" t="s">
        <v>42</v>
      </c>
      <c r="H14" s="26">
        <f>-275</f>
        <v>-275</v>
      </c>
      <c r="I14"/>
    </row>
    <row r="15" spans="1:9" s="8" customFormat="1">
      <c r="B15" s="47" t="s">
        <v>44</v>
      </c>
      <c r="C15" s="47">
        <v>0</v>
      </c>
      <c r="D15" s="48">
        <v>38880</v>
      </c>
      <c r="E15" s="49" t="s">
        <v>58</v>
      </c>
      <c r="G15" s="27" t="s">
        <v>21</v>
      </c>
      <c r="H15" s="28">
        <f>SUM(H12:H14)</f>
        <v>-275</v>
      </c>
      <c r="I15"/>
    </row>
    <row r="16" spans="1:9" s="8" customFormat="1">
      <c r="B16" s="47" t="s">
        <v>59</v>
      </c>
      <c r="C16" s="47">
        <v>0</v>
      </c>
      <c r="D16" s="48"/>
      <c r="E16" s="49" t="s">
        <v>58</v>
      </c>
      <c r="G16"/>
      <c r="I16"/>
    </row>
    <row r="17" spans="1:9" s="8" customFormat="1">
      <c r="B17" s="47" t="s">
        <v>60</v>
      </c>
      <c r="C17" s="47">
        <v>0</v>
      </c>
      <c r="D17" s="48"/>
      <c r="E17" s="49" t="s">
        <v>58</v>
      </c>
      <c r="G17"/>
      <c r="H17"/>
      <c r="I17"/>
    </row>
    <row r="18" spans="1:9" s="8" customFormat="1">
      <c r="B18" s="15" t="s">
        <v>49</v>
      </c>
      <c r="C18" s="15">
        <v>-17.5</v>
      </c>
      <c r="D18" s="37"/>
      <c r="E18" s="37"/>
      <c r="G18"/>
      <c r="H18"/>
    </row>
    <row r="19" spans="1:9" s="8" customFormat="1">
      <c r="B19" s="34" t="s">
        <v>9</v>
      </c>
      <c r="C19" s="34">
        <v>95.97</v>
      </c>
      <c r="D19" s="40"/>
      <c r="E19" s="40"/>
      <c r="G19" s="32"/>
      <c r="H19"/>
    </row>
    <row r="20" spans="1:9" s="8" customFormat="1" ht="15.75">
      <c r="A20"/>
      <c r="B20" s="42" t="s">
        <v>45</v>
      </c>
      <c r="C20" s="43">
        <f>SUM(C3:C19)</f>
        <v>3964.84</v>
      </c>
      <c r="D20" s="44"/>
      <c r="E20" s="44"/>
      <c r="G20" s="32"/>
      <c r="H20"/>
      <c r="I20"/>
    </row>
    <row r="21" spans="1:9">
      <c r="B21" s="47" t="s">
        <v>61</v>
      </c>
      <c r="C21" s="47">
        <v>0</v>
      </c>
      <c r="D21" s="48">
        <v>38883</v>
      </c>
      <c r="E21" s="49" t="s">
        <v>58</v>
      </c>
      <c r="G21" s="32"/>
    </row>
    <row r="22" spans="1:9">
      <c r="B22" s="47" t="s">
        <v>62</v>
      </c>
      <c r="C22" s="47">
        <v>0</v>
      </c>
      <c r="D22" s="48"/>
      <c r="E22" s="49" t="s">
        <v>58</v>
      </c>
      <c r="F22" s="1"/>
      <c r="G22" s="32"/>
    </row>
    <row r="23" spans="1:9">
      <c r="A23" s="52"/>
      <c r="B23" s="47" t="s">
        <v>63</v>
      </c>
      <c r="C23" s="47">
        <v>0</v>
      </c>
      <c r="D23" s="48"/>
      <c r="E23" s="49" t="s">
        <v>58</v>
      </c>
      <c r="F23" s="1"/>
    </row>
    <row r="24" spans="1:9">
      <c r="B24" s="47" t="s">
        <v>42</v>
      </c>
      <c r="C24" s="47">
        <v>0</v>
      </c>
      <c r="D24" s="48">
        <v>38883</v>
      </c>
      <c r="E24" s="49" t="s">
        <v>58</v>
      </c>
      <c r="F24" s="1"/>
      <c r="G24" s="8"/>
    </row>
    <row r="25" spans="1:9">
      <c r="B25" s="50" t="s">
        <v>14</v>
      </c>
      <c r="C25" s="15">
        <v>-20</v>
      </c>
      <c r="D25" s="51"/>
      <c r="E25" s="51"/>
      <c r="F25" s="1"/>
      <c r="G25" s="8"/>
    </row>
    <row r="26" spans="1:9" ht="15.75">
      <c r="B26" s="42" t="s">
        <v>45</v>
      </c>
      <c r="C26" s="43">
        <f>SUM(C20:C25)</f>
        <v>3944.84</v>
      </c>
      <c r="D26" s="44"/>
      <c r="E26" s="44"/>
      <c r="F26" s="32"/>
    </row>
  </sheetData>
  <sheetProtection selectLockedCells="1" selectUnlockedCells="1"/>
  <mergeCells count="2">
    <mergeCell ref="B2:C2"/>
    <mergeCell ref="G11:H11"/>
  </mergeCells>
  <pageMargins left="0.75" right="0.75" top="1" bottom="1" header="0.51180555555555551" footer="0.51180555555555551"/>
  <pageSetup firstPageNumber="0" orientation="portrait" horizontalDpi="300" verticalDpi="300"/>
  <headerFooter alignWithMargins="0"/>
</worksheet>
</file>

<file path=xl/worksheets/sheet50.xml><?xml version="1.0" encoding="utf-8"?>
<worksheet xmlns="http://schemas.openxmlformats.org/spreadsheetml/2006/main" xmlns:r="http://schemas.openxmlformats.org/officeDocument/2006/relationships">
  <sheetPr>
    <pageSetUpPr autoPageBreaks="0"/>
  </sheetPr>
  <dimension ref="B1:AE33"/>
  <sheetViews>
    <sheetView showGridLines="0" zoomScale="75" zoomScaleNormal="75" zoomScalePageLayoutView="75" workbookViewId="0">
      <selection activeCell="E21" activeCellId="1" sqref="G13 E2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13.4</v>
      </c>
      <c r="F3" s="61"/>
      <c r="G3" s="61"/>
      <c r="I3" s="10">
        <f>53*44.25</f>
        <v>2345.25</v>
      </c>
      <c r="J3" s="16">
        <v>39972</v>
      </c>
      <c r="L3" s="10">
        <v>187222.61</v>
      </c>
      <c r="M3" s="10" t="s">
        <v>608</v>
      </c>
      <c r="N3" s="16"/>
      <c r="P3" s="581" t="s">
        <v>216</v>
      </c>
      <c r="Q3" s="581"/>
      <c r="R3" s="581"/>
      <c r="S3" s="582" t="s">
        <v>217</v>
      </c>
      <c r="T3" s="582"/>
      <c r="U3" s="582"/>
    </row>
    <row r="4" spans="2:24" ht="12" customHeight="1">
      <c r="B4" s="71" t="s">
        <v>56</v>
      </c>
      <c r="C4" s="91">
        <v>0</v>
      </c>
      <c r="D4" s="92"/>
      <c r="E4" s="95">
        <v>-1841.51</v>
      </c>
      <c r="F4" s="72"/>
      <c r="G4" s="72"/>
      <c r="I4" s="10"/>
      <c r="J4" s="16"/>
      <c r="L4" s="10">
        <f>I3</f>
        <v>2345.25</v>
      </c>
      <c r="M4" s="10" t="s">
        <v>604</v>
      </c>
      <c r="N4" s="16"/>
      <c r="P4" s="107" t="s">
        <v>218</v>
      </c>
      <c r="Q4" s="108" t="s">
        <v>219</v>
      </c>
      <c r="R4" s="109" t="s">
        <v>1</v>
      </c>
      <c r="S4" s="107" t="s">
        <v>1</v>
      </c>
      <c r="T4" s="108" t="s">
        <v>218</v>
      </c>
      <c r="U4" s="109" t="s">
        <v>219</v>
      </c>
    </row>
    <row r="5" spans="2:24" ht="12" customHeight="1">
      <c r="B5" s="71" t="s">
        <v>5</v>
      </c>
      <c r="C5" s="91">
        <v>4000</v>
      </c>
      <c r="D5" s="92"/>
      <c r="E5" s="95">
        <v>0</v>
      </c>
      <c r="F5" s="72"/>
      <c r="G5" s="72"/>
      <c r="I5" s="10"/>
      <c r="J5" s="16"/>
      <c r="L5" s="10">
        <f>4021.84-400</f>
        <v>3621.84</v>
      </c>
      <c r="M5" s="10" t="s">
        <v>613</v>
      </c>
      <c r="N5" s="16"/>
      <c r="P5" s="110"/>
      <c r="Q5" s="111"/>
      <c r="R5" s="112"/>
      <c r="S5" s="139"/>
      <c r="T5" s="116"/>
      <c r="U5" s="142"/>
    </row>
    <row r="6" spans="2:24">
      <c r="B6" s="99" t="s">
        <v>418</v>
      </c>
      <c r="C6" s="96">
        <v>-1380.94</v>
      </c>
      <c r="D6" s="97"/>
      <c r="E6" s="63">
        <v>0</v>
      </c>
      <c r="F6" s="64"/>
      <c r="G6" s="64" t="s">
        <v>58</v>
      </c>
      <c r="I6" s="10"/>
      <c r="J6" s="16"/>
      <c r="L6" s="10">
        <v>11600</v>
      </c>
      <c r="M6" s="10" t="s">
        <v>625</v>
      </c>
      <c r="N6" s="16"/>
      <c r="P6" s="110"/>
      <c r="Q6" s="111"/>
      <c r="R6" s="112"/>
      <c r="S6" s="139"/>
      <c r="T6" s="116"/>
      <c r="U6" s="142"/>
    </row>
    <row r="7" spans="2:24">
      <c r="B7" s="99" t="s">
        <v>590</v>
      </c>
      <c r="C7" s="96">
        <f>-C6*70%</f>
        <v>966.65800000000002</v>
      </c>
      <c r="D7" s="97"/>
      <c r="E7" s="63">
        <v>0</v>
      </c>
      <c r="F7" s="64"/>
      <c r="G7" s="64" t="s">
        <v>58</v>
      </c>
      <c r="I7" s="10"/>
      <c r="J7" s="16"/>
      <c r="L7" s="10">
        <v>65000</v>
      </c>
      <c r="M7" s="10" t="s">
        <v>626</v>
      </c>
      <c r="N7" s="16"/>
      <c r="P7" s="110"/>
      <c r="Q7" s="111"/>
      <c r="R7" s="133"/>
      <c r="S7" s="139"/>
      <c r="T7" s="116"/>
      <c r="U7" s="142"/>
    </row>
    <row r="8" spans="2:24">
      <c r="B8" s="99" t="s">
        <v>65</v>
      </c>
      <c r="C8" s="96">
        <v>-100</v>
      </c>
      <c r="D8" s="97"/>
      <c r="E8" s="63">
        <v>0</v>
      </c>
      <c r="F8" s="64"/>
      <c r="G8" s="64" t="s">
        <v>58</v>
      </c>
      <c r="I8" s="10"/>
      <c r="J8" s="16"/>
      <c r="L8" s="10">
        <v>-1000</v>
      </c>
      <c r="M8" s="10" t="s">
        <v>627</v>
      </c>
      <c r="N8" s="16"/>
      <c r="P8" s="110"/>
      <c r="Q8" s="111"/>
      <c r="R8" s="114"/>
      <c r="S8" s="139"/>
      <c r="T8" s="116"/>
      <c r="U8" s="142"/>
      <c r="X8" s="134"/>
    </row>
    <row r="9" spans="2:24">
      <c r="B9" s="99" t="s">
        <v>523</v>
      </c>
      <c r="C9" s="96">
        <v>-960</v>
      </c>
      <c r="D9" s="97"/>
      <c r="E9" s="63">
        <v>0</v>
      </c>
      <c r="F9" s="64"/>
      <c r="G9" s="64" t="s">
        <v>58</v>
      </c>
      <c r="L9" s="10">
        <v>-25000</v>
      </c>
      <c r="M9" s="10" t="s">
        <v>628</v>
      </c>
      <c r="N9" s="16"/>
      <c r="P9" s="110"/>
      <c r="Q9" s="111"/>
      <c r="R9" s="114"/>
      <c r="S9" s="139"/>
      <c r="T9" s="116"/>
      <c r="U9" s="142"/>
    </row>
    <row r="10" spans="2:24" ht="12.75" customHeight="1">
      <c r="B10" s="99" t="s">
        <v>38</v>
      </c>
      <c r="C10" s="96">
        <v>-500.59</v>
      </c>
      <c r="D10" s="97"/>
      <c r="E10" s="63">
        <v>0</v>
      </c>
      <c r="F10" s="64"/>
      <c r="G10" s="64" t="s">
        <v>58</v>
      </c>
      <c r="L10" s="10">
        <v>-160000</v>
      </c>
      <c r="M10" s="10" t="s">
        <v>629</v>
      </c>
      <c r="N10" s="16"/>
      <c r="P10" s="110"/>
      <c r="Q10" s="111"/>
      <c r="R10" s="114"/>
      <c r="S10" s="139"/>
      <c r="T10" s="116"/>
      <c r="U10" s="142"/>
      <c r="X10" s="134"/>
    </row>
    <row r="11" spans="2:24" ht="15.75">
      <c r="B11" s="99" t="s">
        <v>14</v>
      </c>
      <c r="C11" s="96">
        <v>-9.61</v>
      </c>
      <c r="D11" s="97"/>
      <c r="E11" s="63">
        <v>0</v>
      </c>
      <c r="F11" s="64"/>
      <c r="G11" s="64" t="s">
        <v>58</v>
      </c>
      <c r="I11" s="221" t="s">
        <v>48</v>
      </c>
      <c r="J11" s="221" t="s">
        <v>1</v>
      </c>
      <c r="L11" s="10">
        <v>-65000</v>
      </c>
      <c r="M11" s="10" t="s">
        <v>630</v>
      </c>
      <c r="N11" s="16"/>
      <c r="P11" s="110"/>
      <c r="Q11" s="111"/>
      <c r="R11" s="114"/>
      <c r="S11" s="139"/>
      <c r="T11" s="116"/>
      <c r="U11" s="142"/>
    </row>
    <row r="12" spans="2:24">
      <c r="B12" s="99" t="s">
        <v>93</v>
      </c>
      <c r="C12" s="96">
        <v>-70</v>
      </c>
      <c r="D12" s="97"/>
      <c r="E12" s="63">
        <v>0</v>
      </c>
      <c r="F12" s="64"/>
      <c r="G12" s="64" t="s">
        <v>58</v>
      </c>
      <c r="I12" s="10">
        <v>397.6</v>
      </c>
      <c r="J12" s="16" t="s">
        <v>592</v>
      </c>
      <c r="L12" s="10">
        <v>0</v>
      </c>
      <c r="M12" s="10"/>
      <c r="N12" s="16"/>
      <c r="P12" s="110"/>
      <c r="Q12" s="111"/>
      <c r="R12" s="114"/>
      <c r="S12" s="139"/>
      <c r="T12" s="116"/>
      <c r="U12" s="142"/>
      <c r="X12" s="134"/>
    </row>
    <row r="13" spans="2:24">
      <c r="B13" s="99" t="s">
        <v>610</v>
      </c>
      <c r="C13" s="96">
        <v>-997.23</v>
      </c>
      <c r="D13" s="97"/>
      <c r="E13" s="63">
        <v>0</v>
      </c>
      <c r="F13" s="64"/>
      <c r="G13" s="64" t="s">
        <v>58</v>
      </c>
      <c r="I13" s="10"/>
      <c r="J13" s="16"/>
      <c r="L13" s="10">
        <v>0</v>
      </c>
      <c r="M13" s="10"/>
      <c r="N13" s="16"/>
      <c r="P13" s="110"/>
      <c r="Q13" s="111"/>
      <c r="R13" s="114"/>
      <c r="S13" s="139"/>
      <c r="T13" s="116"/>
      <c r="U13" s="142"/>
    </row>
    <row r="14" spans="2:24">
      <c r="B14" s="99" t="s">
        <v>103</v>
      </c>
      <c r="C14" s="96">
        <v>0</v>
      </c>
      <c r="D14" s="97"/>
      <c r="E14" s="63">
        <v>0</v>
      </c>
      <c r="F14" s="64"/>
      <c r="G14" s="64" t="s">
        <v>58</v>
      </c>
      <c r="I14" s="10"/>
      <c r="J14" s="16"/>
      <c r="L14" s="10">
        <v>0</v>
      </c>
      <c r="M14" s="10"/>
      <c r="N14" s="16"/>
      <c r="P14" s="110"/>
      <c r="Q14" s="111"/>
      <c r="R14" s="114"/>
      <c r="S14" s="139"/>
      <c r="T14" s="116"/>
      <c r="U14" s="142"/>
      <c r="X14" s="134"/>
    </row>
    <row r="15" spans="2:24">
      <c r="B15" s="99" t="s">
        <v>73</v>
      </c>
      <c r="C15" s="96">
        <v>-432.98</v>
      </c>
      <c r="D15" s="97"/>
      <c r="E15" s="63">
        <v>0</v>
      </c>
      <c r="F15" s="64"/>
      <c r="G15" s="64" t="s">
        <v>58</v>
      </c>
      <c r="I15" s="10"/>
      <c r="J15" s="16"/>
      <c r="L15" s="10">
        <v>0</v>
      </c>
      <c r="M15" s="10"/>
      <c r="N15" s="16"/>
      <c r="P15" s="110"/>
      <c r="Q15" s="111"/>
      <c r="R15" s="114"/>
      <c r="S15" s="139"/>
      <c r="T15" s="116"/>
      <c r="U15" s="142"/>
    </row>
    <row r="16" spans="2:24">
      <c r="B16" s="99" t="s">
        <v>29</v>
      </c>
      <c r="C16" s="96">
        <v>-300.05</v>
      </c>
      <c r="D16" s="97"/>
      <c r="E16" s="63">
        <v>0</v>
      </c>
      <c r="F16" s="64"/>
      <c r="G16" s="64" t="s">
        <v>58</v>
      </c>
      <c r="I16" s="10"/>
      <c r="J16" s="16"/>
      <c r="L16" s="10">
        <v>0</v>
      </c>
      <c r="M16" s="10"/>
      <c r="N16" s="16"/>
      <c r="P16" s="110"/>
      <c r="Q16" s="111"/>
      <c r="R16" s="114"/>
      <c r="S16" s="139"/>
      <c r="T16" s="116"/>
      <c r="U16" s="142"/>
      <c r="X16" s="134"/>
    </row>
    <row r="17" spans="2:31">
      <c r="B17" s="99" t="s">
        <v>584</v>
      </c>
      <c r="C17" s="96">
        <v>-34.42</v>
      </c>
      <c r="D17" s="97"/>
      <c r="E17" s="63">
        <v>0</v>
      </c>
      <c r="F17" s="64"/>
      <c r="G17" s="64" t="s">
        <v>58</v>
      </c>
      <c r="I17" s="10"/>
      <c r="J17" s="16"/>
      <c r="L17" s="10">
        <v>0</v>
      </c>
      <c r="M17" s="10"/>
      <c r="N17" s="16"/>
      <c r="P17" s="119" t="s">
        <v>45</v>
      </c>
      <c r="Q17" s="120">
        <f>SUM(Q5:Q16)</f>
        <v>0</v>
      </c>
      <c r="R17" s="121"/>
      <c r="S17" s="119" t="s">
        <v>45</v>
      </c>
      <c r="T17" s="135"/>
      <c r="U17" s="135">
        <f>SUM(U5:U16)</f>
        <v>0</v>
      </c>
    </row>
    <row r="18" spans="2:31">
      <c r="B18" s="99" t="s">
        <v>607</v>
      </c>
      <c r="C18" s="96">
        <v>-32</v>
      </c>
      <c r="D18" s="97"/>
      <c r="E18" s="63">
        <v>0</v>
      </c>
      <c r="F18" s="64"/>
      <c r="G18" s="64" t="s">
        <v>58</v>
      </c>
      <c r="H18" s="143"/>
      <c r="I18" s="10"/>
      <c r="J18" s="16"/>
      <c r="L18" s="10">
        <v>0</v>
      </c>
      <c r="M18" s="10"/>
      <c r="N18" s="16"/>
      <c r="X18" s="134"/>
    </row>
    <row r="19" spans="2:31">
      <c r="B19" s="99" t="s">
        <v>312</v>
      </c>
      <c r="C19" s="96">
        <v>-100</v>
      </c>
      <c r="D19" s="97"/>
      <c r="E19" s="63">
        <v>0</v>
      </c>
      <c r="F19" s="64"/>
      <c r="G19" s="64" t="s">
        <v>58</v>
      </c>
      <c r="I19" s="60">
        <f>SUM(I12:I18)</f>
        <v>397.6</v>
      </c>
      <c r="J19" s="160" t="s">
        <v>21</v>
      </c>
      <c r="L19" s="10">
        <v>0</v>
      </c>
      <c r="M19" s="10"/>
      <c r="N19" s="16"/>
    </row>
    <row r="20" spans="2:31">
      <c r="B20" s="165" t="s">
        <v>631</v>
      </c>
      <c r="C20" s="165">
        <v>-360</v>
      </c>
      <c r="D20" s="97"/>
      <c r="E20" s="63">
        <v>0</v>
      </c>
      <c r="F20" s="64"/>
      <c r="G20" s="64" t="s">
        <v>58</v>
      </c>
      <c r="I20" s="1"/>
      <c r="L20" s="10">
        <v>0</v>
      </c>
      <c r="M20" s="10"/>
      <c r="N20" s="16"/>
      <c r="S20" s="146"/>
      <c r="T20" s="147"/>
      <c r="U20" s="148"/>
    </row>
    <row r="21" spans="2:31">
      <c r="B21" s="99" t="s">
        <v>632</v>
      </c>
      <c r="C21" s="96">
        <v>-240</v>
      </c>
      <c r="D21" s="97"/>
      <c r="E21" s="63">
        <v>0</v>
      </c>
      <c r="F21" s="64"/>
      <c r="G21" s="64" t="s">
        <v>58</v>
      </c>
      <c r="I21" s="52"/>
      <c r="L21" s="10">
        <v>0</v>
      </c>
      <c r="M21" s="10"/>
      <c r="N21" s="16"/>
      <c r="S21" s="152"/>
      <c r="X21" s="134"/>
    </row>
    <row r="22" spans="2:31">
      <c r="B22" s="99" t="s">
        <v>83</v>
      </c>
      <c r="C22" s="96">
        <v>-85</v>
      </c>
      <c r="D22" s="97"/>
      <c r="E22" s="63">
        <v>0</v>
      </c>
      <c r="F22" s="64"/>
      <c r="G22" s="64" t="s">
        <v>58</v>
      </c>
      <c r="L22" s="144">
        <f>SUM(L3:L21)</f>
        <v>18789.699999999953</v>
      </c>
      <c r="M22" s="144" t="s">
        <v>21</v>
      </c>
      <c r="N22" s="145"/>
      <c r="S22" s="149"/>
      <c r="T22" s="157"/>
      <c r="U22" s="157"/>
    </row>
    <row r="23" spans="2:31">
      <c r="B23" s="99" t="s">
        <v>633</v>
      </c>
      <c r="C23" s="96">
        <v>-1853.56</v>
      </c>
      <c r="D23" s="97"/>
      <c r="E23" s="63">
        <v>0</v>
      </c>
      <c r="F23" s="64"/>
      <c r="G23" s="64" t="s">
        <v>58</v>
      </c>
      <c r="S23" s="149"/>
      <c r="T23" s="157"/>
      <c r="U23" s="157"/>
      <c r="X23" s="134"/>
    </row>
    <row r="24" spans="2:31">
      <c r="B24" s="99" t="s">
        <v>41</v>
      </c>
      <c r="C24" s="96">
        <v>-89.41</v>
      </c>
      <c r="D24" s="97"/>
      <c r="E24" s="63">
        <v>0</v>
      </c>
      <c r="F24" s="64"/>
      <c r="G24" s="64" t="s">
        <v>58</v>
      </c>
      <c r="S24" s="152"/>
    </row>
    <row r="25" spans="2:31">
      <c r="B25" s="99" t="s">
        <v>634</v>
      </c>
      <c r="C25" s="96">
        <f>1863.56*70%</f>
        <v>1304.492</v>
      </c>
      <c r="D25" s="97"/>
      <c r="E25" s="163">
        <f>C25</f>
        <v>1304.492</v>
      </c>
      <c r="F25" s="164"/>
      <c r="G25" s="164"/>
      <c r="S25" s="152"/>
    </row>
    <row r="26" spans="2:31">
      <c r="B26" s="99" t="s">
        <v>635</v>
      </c>
      <c r="C26" s="96">
        <v>600</v>
      </c>
      <c r="D26" s="97"/>
      <c r="E26" s="163">
        <f>C26</f>
        <v>600</v>
      </c>
      <c r="F26" s="164"/>
      <c r="G26" s="164"/>
      <c r="K26" s="1"/>
      <c r="S26" s="149"/>
      <c r="T26" s="157"/>
      <c r="U26" s="157"/>
      <c r="V26" s="146"/>
      <c r="Y26" s="149"/>
      <c r="Z26" s="146"/>
      <c r="AA26" s="147"/>
      <c r="AB26" s="148"/>
      <c r="AD26" s="150"/>
      <c r="AE26" s="151"/>
    </row>
    <row r="27" spans="2:31">
      <c r="B27" s="99" t="s">
        <v>574</v>
      </c>
      <c r="C27" s="96">
        <v>-130</v>
      </c>
      <c r="D27" s="97"/>
      <c r="E27" s="63">
        <v>0</v>
      </c>
      <c r="F27" s="64"/>
      <c r="G27" s="64" t="s">
        <v>58</v>
      </c>
      <c r="S27" s="152"/>
      <c r="V27" s="153"/>
      <c r="W27" s="154"/>
      <c r="X27" s="134"/>
      <c r="Y27" s="152"/>
      <c r="Z27" s="153"/>
      <c r="AA27" s="154"/>
      <c r="AB27" s="134"/>
      <c r="AD27" s="155"/>
      <c r="AE27" s="156"/>
    </row>
    <row r="28" spans="2:31">
      <c r="B28" s="99" t="s">
        <v>77</v>
      </c>
      <c r="C28" s="96">
        <v>-239.6</v>
      </c>
      <c r="D28" s="97"/>
      <c r="E28" s="63">
        <v>0</v>
      </c>
      <c r="F28" s="64"/>
      <c r="G28" s="64" t="s">
        <v>58</v>
      </c>
      <c r="S28" s="149"/>
      <c r="T28" s="157"/>
      <c r="U28" s="157"/>
      <c r="V28" s="146"/>
      <c r="W28" s="147"/>
      <c r="X28" s="148"/>
      <c r="Y28" s="149"/>
      <c r="Z28" s="146"/>
      <c r="AA28" s="147"/>
      <c r="AB28" s="148"/>
      <c r="AD28" s="150"/>
      <c r="AE28" s="151"/>
    </row>
    <row r="29" spans="2:31" ht="18">
      <c r="B29" s="74" t="s">
        <v>45</v>
      </c>
      <c r="C29" s="101"/>
      <c r="D29" s="98"/>
      <c r="E29" s="129">
        <f>SUM(E3:E28)</f>
        <v>76.382000000000062</v>
      </c>
      <c r="F29" s="75"/>
      <c r="G29" s="75"/>
      <c r="S29" s="152"/>
      <c r="V29" s="146"/>
      <c r="W29" s="147"/>
      <c r="X29" s="148"/>
      <c r="Y29" s="149"/>
      <c r="Z29" s="146"/>
      <c r="AA29" s="147"/>
      <c r="AB29" s="148"/>
      <c r="AD29" s="150"/>
      <c r="AE29" s="151"/>
    </row>
    <row r="30" spans="2:31">
      <c r="C30" s="1"/>
      <c r="D30" s="1"/>
      <c r="E30" s="1"/>
      <c r="S30" s="152"/>
      <c r="V30" s="153"/>
      <c r="W30" s="154"/>
      <c r="X30" s="134"/>
      <c r="Y30" s="152"/>
      <c r="Z30" s="153"/>
      <c r="AA30" s="154"/>
      <c r="AB30" s="134"/>
      <c r="AD30" s="155"/>
      <c r="AE30" s="156"/>
    </row>
    <row r="31" spans="2:31">
      <c r="V31" s="146"/>
      <c r="W31" s="147"/>
      <c r="X31" s="148"/>
      <c r="Y31" s="149"/>
      <c r="Z31" s="146"/>
      <c r="AA31" s="147"/>
      <c r="AB31" s="148"/>
      <c r="AD31" s="150"/>
      <c r="AE31" s="151"/>
    </row>
    <row r="32" spans="2:31">
      <c r="H32" s="89"/>
      <c r="V32" s="153"/>
      <c r="W32" s="154"/>
      <c r="X32" s="134"/>
      <c r="Y32" s="152"/>
      <c r="Z32" s="153"/>
      <c r="AA32" s="154"/>
      <c r="AB32" s="134"/>
      <c r="AD32" s="155"/>
      <c r="AE32" s="156"/>
    </row>
    <row r="33" spans="22:31">
      <c r="V33" s="146"/>
      <c r="W33" s="147"/>
      <c r="X33" s="148"/>
      <c r="Y33" s="149"/>
      <c r="Z33" s="146"/>
      <c r="AA33" s="147"/>
      <c r="AB33" s="148"/>
      <c r="AD33" s="150"/>
      <c r="AE33"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1.xml><?xml version="1.0" encoding="utf-8"?>
<worksheet xmlns="http://schemas.openxmlformats.org/spreadsheetml/2006/main" xmlns:r="http://schemas.openxmlformats.org/officeDocument/2006/relationships">
  <sheetPr>
    <pageSetUpPr autoPageBreaks="0"/>
  </sheetPr>
  <dimension ref="B1:AE28"/>
  <sheetViews>
    <sheetView showGridLines="0" zoomScale="75" zoomScaleNormal="75" zoomScalePageLayoutView="75" workbookViewId="0">
      <selection activeCell="C7" activeCellId="1" sqref="G13 C7"/>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-320.04000000000002</v>
      </c>
      <c r="F3" s="61"/>
      <c r="G3" s="61"/>
      <c r="I3" s="10">
        <f>106*23.5</f>
        <v>2491</v>
      </c>
      <c r="J3" s="16">
        <v>39972</v>
      </c>
      <c r="L3" s="10">
        <v>163303.89000000001</v>
      </c>
      <c r="M3" s="10" t="s">
        <v>608</v>
      </c>
      <c r="N3" s="16"/>
      <c r="P3" s="581" t="s">
        <v>216</v>
      </c>
      <c r="Q3" s="581"/>
      <c r="R3" s="581"/>
      <c r="S3" s="582" t="s">
        <v>217</v>
      </c>
      <c r="T3" s="582"/>
      <c r="U3" s="582"/>
    </row>
    <row r="4" spans="2:24" ht="12" customHeight="1">
      <c r="B4" s="71" t="s">
        <v>56</v>
      </c>
      <c r="C4" s="91">
        <v>0</v>
      </c>
      <c r="D4" s="92"/>
      <c r="E4" s="95">
        <v>101.75</v>
      </c>
      <c r="F4" s="72"/>
      <c r="G4" s="72"/>
      <c r="I4" s="10"/>
      <c r="J4" s="16"/>
      <c r="L4" s="10">
        <f>I3</f>
        <v>2491</v>
      </c>
      <c r="M4" s="10" t="s">
        <v>604</v>
      </c>
      <c r="N4" s="16"/>
      <c r="P4" s="107" t="s">
        <v>218</v>
      </c>
      <c r="Q4" s="108" t="s">
        <v>219</v>
      </c>
      <c r="R4" s="109" t="s">
        <v>1</v>
      </c>
      <c r="S4" s="107" t="s">
        <v>1</v>
      </c>
      <c r="T4" s="108" t="s">
        <v>218</v>
      </c>
      <c r="U4" s="109" t="s">
        <v>219</v>
      </c>
    </row>
    <row r="5" spans="2:24" ht="12" customHeight="1">
      <c r="B5" s="71" t="s">
        <v>5</v>
      </c>
      <c r="C5" s="91">
        <v>4552.43</v>
      </c>
      <c r="D5" s="92"/>
      <c r="E5" s="95">
        <v>0</v>
      </c>
      <c r="F5" s="72"/>
      <c r="G5" s="72"/>
      <c r="I5" s="10"/>
      <c r="J5" s="16"/>
      <c r="L5" s="10">
        <v>3232.71</v>
      </c>
      <c r="M5" s="10" t="s">
        <v>613</v>
      </c>
      <c r="N5" s="16"/>
      <c r="P5" s="110"/>
      <c r="Q5" s="111"/>
      <c r="R5" s="112"/>
      <c r="S5" s="139"/>
      <c r="T5" s="116"/>
      <c r="U5" s="142"/>
    </row>
    <row r="6" spans="2:24">
      <c r="B6" s="99" t="s">
        <v>418</v>
      </c>
      <c r="C6" s="96">
        <v>-1380.94</v>
      </c>
      <c r="D6" s="97"/>
      <c r="E6" s="63">
        <v>0</v>
      </c>
      <c r="F6" s="64"/>
      <c r="G6" s="64" t="s">
        <v>58</v>
      </c>
      <c r="I6" s="10"/>
      <c r="J6" s="16"/>
      <c r="L6" s="10">
        <v>3000.41</v>
      </c>
      <c r="M6" s="10" t="s">
        <v>636</v>
      </c>
      <c r="N6" s="16"/>
      <c r="P6" s="110"/>
      <c r="Q6" s="111"/>
      <c r="R6" s="112"/>
      <c r="S6" s="139"/>
      <c r="T6" s="116"/>
      <c r="U6" s="142"/>
    </row>
    <row r="7" spans="2:24">
      <c r="B7" s="99" t="s">
        <v>637</v>
      </c>
      <c r="C7" s="96">
        <v>-1853.56</v>
      </c>
      <c r="D7" s="97"/>
      <c r="E7" s="63">
        <v>0</v>
      </c>
      <c r="F7" s="64"/>
      <c r="G7" s="64" t="s">
        <v>58</v>
      </c>
      <c r="I7" s="10"/>
      <c r="J7" s="16"/>
      <c r="L7" s="10">
        <v>65000</v>
      </c>
      <c r="M7" s="10" t="s">
        <v>626</v>
      </c>
      <c r="N7" s="16"/>
      <c r="P7" s="110"/>
      <c r="Q7" s="111"/>
      <c r="R7" s="133"/>
      <c r="S7" s="139"/>
      <c r="T7" s="116"/>
      <c r="U7" s="142"/>
    </row>
    <row r="8" spans="2:24">
      <c r="B8" s="99" t="s">
        <v>590</v>
      </c>
      <c r="C8" s="96">
        <v>966.66</v>
      </c>
      <c r="D8" s="97"/>
      <c r="E8" s="63">
        <v>0</v>
      </c>
      <c r="F8" s="64"/>
      <c r="G8" s="64" t="s">
        <v>58</v>
      </c>
      <c r="I8" s="10"/>
      <c r="J8" s="16"/>
      <c r="L8" s="10">
        <v>-180000</v>
      </c>
      <c r="M8" s="10" t="s">
        <v>629</v>
      </c>
      <c r="N8" s="16"/>
      <c r="P8" s="110"/>
      <c r="Q8" s="111"/>
      <c r="R8" s="114"/>
      <c r="S8" s="139"/>
      <c r="T8" s="116"/>
      <c r="U8" s="142"/>
      <c r="X8" s="134"/>
    </row>
    <row r="9" spans="2:24">
      <c r="B9" s="99" t="s">
        <v>638</v>
      </c>
      <c r="C9" s="96">
        <f>-C7*70%</f>
        <v>1297.492</v>
      </c>
      <c r="D9" s="97"/>
      <c r="E9" s="63">
        <v>0</v>
      </c>
      <c r="F9" s="64"/>
      <c r="G9" s="64" t="s">
        <v>58</v>
      </c>
      <c r="L9" s="10">
        <v>-85000</v>
      </c>
      <c r="M9" s="10" t="s">
        <v>630</v>
      </c>
      <c r="N9" s="16"/>
      <c r="P9" s="110"/>
      <c r="Q9" s="111"/>
      <c r="R9" s="114"/>
      <c r="S9" s="139"/>
      <c r="T9" s="116"/>
      <c r="U9" s="142"/>
    </row>
    <row r="10" spans="2:24" ht="12.75" customHeight="1">
      <c r="B10" s="99" t="s">
        <v>102</v>
      </c>
      <c r="C10" s="96">
        <v>-400</v>
      </c>
      <c r="D10" s="97"/>
      <c r="E10" s="63">
        <v>0</v>
      </c>
      <c r="F10" s="64"/>
      <c r="G10" s="64" t="s">
        <v>58</v>
      </c>
      <c r="L10" s="10">
        <v>3000</v>
      </c>
      <c r="M10" s="10" t="s">
        <v>639</v>
      </c>
      <c r="N10" s="16"/>
      <c r="P10" s="110"/>
      <c r="Q10" s="111"/>
      <c r="R10" s="114"/>
      <c r="S10" s="139"/>
      <c r="T10" s="116"/>
      <c r="U10" s="142"/>
      <c r="X10" s="134"/>
    </row>
    <row r="11" spans="2:24" ht="15.75">
      <c r="B11" s="99" t="s">
        <v>65</v>
      </c>
      <c r="C11" s="96">
        <v>-200</v>
      </c>
      <c r="D11" s="97"/>
      <c r="E11" s="63">
        <v>0</v>
      </c>
      <c r="F11" s="64"/>
      <c r="G11" s="64" t="s">
        <v>58</v>
      </c>
      <c r="I11" s="221" t="s">
        <v>48</v>
      </c>
      <c r="J11" s="221" t="s">
        <v>1</v>
      </c>
      <c r="L11" s="10">
        <v>3000</v>
      </c>
      <c r="M11" s="10" t="s">
        <v>640</v>
      </c>
      <c r="N11" s="16"/>
      <c r="P11" s="110"/>
      <c r="Q11" s="111"/>
      <c r="R11" s="114"/>
      <c r="S11" s="139"/>
      <c r="T11" s="116"/>
      <c r="U11" s="142"/>
    </row>
    <row r="12" spans="2:24">
      <c r="B12" s="99" t="s">
        <v>14</v>
      </c>
      <c r="C12" s="96">
        <v>-13.38</v>
      </c>
      <c r="D12" s="97"/>
      <c r="E12" s="63">
        <v>0</v>
      </c>
      <c r="F12" s="64"/>
      <c r="G12" s="64" t="s">
        <v>58</v>
      </c>
      <c r="I12" s="10">
        <v>105.33</v>
      </c>
      <c r="J12" s="16"/>
      <c r="L12" s="10">
        <v>30000</v>
      </c>
      <c r="M12" s="10" t="s">
        <v>9</v>
      </c>
      <c r="N12" s="16"/>
      <c r="P12" s="110"/>
      <c r="Q12" s="111"/>
      <c r="R12" s="114"/>
      <c r="S12" s="139"/>
      <c r="T12" s="116"/>
      <c r="U12" s="142"/>
      <c r="X12" s="134"/>
    </row>
    <row r="13" spans="2:24">
      <c r="B13" s="99" t="s">
        <v>93</v>
      </c>
      <c r="C13" s="96">
        <v>-60.79</v>
      </c>
      <c r="D13" s="97"/>
      <c r="E13" s="63">
        <v>0</v>
      </c>
      <c r="F13" s="64"/>
      <c r="G13" s="64" t="s">
        <v>58</v>
      </c>
      <c r="I13" s="10"/>
      <c r="J13" s="16"/>
      <c r="L13" s="10">
        <v>0</v>
      </c>
      <c r="M13" s="10"/>
      <c r="N13" s="16"/>
      <c r="P13" s="110"/>
      <c r="Q13" s="111"/>
      <c r="R13" s="114"/>
      <c r="S13" s="139"/>
      <c r="T13" s="116"/>
      <c r="U13" s="142"/>
    </row>
    <row r="14" spans="2:24">
      <c r="B14" s="99" t="s">
        <v>610</v>
      </c>
      <c r="C14" s="96">
        <v>-1602.66</v>
      </c>
      <c r="D14" s="97"/>
      <c r="E14" s="63">
        <v>0</v>
      </c>
      <c r="F14" s="64"/>
      <c r="G14" s="64" t="s">
        <v>58</v>
      </c>
      <c r="I14" s="10"/>
      <c r="J14" s="16"/>
      <c r="L14" s="10">
        <v>3000</v>
      </c>
      <c r="M14" s="10" t="s">
        <v>641</v>
      </c>
      <c r="N14" s="16"/>
      <c r="P14" s="110"/>
      <c r="Q14" s="111"/>
      <c r="R14" s="114"/>
      <c r="S14" s="139"/>
      <c r="T14" s="116"/>
      <c r="U14" s="142"/>
      <c r="X14" s="134"/>
    </row>
    <row r="15" spans="2:24">
      <c r="B15" s="99" t="s">
        <v>103</v>
      </c>
      <c r="C15" s="96">
        <v>0</v>
      </c>
      <c r="D15" s="97"/>
      <c r="E15" s="63">
        <f>C15</f>
        <v>0</v>
      </c>
      <c r="F15" s="64"/>
      <c r="G15" s="64" t="s">
        <v>58</v>
      </c>
      <c r="I15" s="10"/>
      <c r="J15" s="16"/>
      <c r="L15" s="10">
        <v>3000</v>
      </c>
      <c r="M15" s="10" t="s">
        <v>642</v>
      </c>
      <c r="N15" s="16"/>
      <c r="P15" s="110"/>
      <c r="Q15" s="111"/>
      <c r="R15" s="114"/>
      <c r="S15" s="139"/>
      <c r="T15" s="116"/>
      <c r="U15" s="142"/>
    </row>
    <row r="16" spans="2:24">
      <c r="B16" s="99" t="s">
        <v>73</v>
      </c>
      <c r="C16" s="96">
        <v>-530.51</v>
      </c>
      <c r="D16" s="97"/>
      <c r="E16" s="63">
        <v>0</v>
      </c>
      <c r="F16" s="64"/>
      <c r="G16" s="64" t="s">
        <v>58</v>
      </c>
      <c r="I16" s="10"/>
      <c r="J16" s="16"/>
      <c r="L16" s="10">
        <v>3000</v>
      </c>
      <c r="M16" s="10" t="s">
        <v>643</v>
      </c>
      <c r="N16" s="16"/>
      <c r="P16" s="110"/>
      <c r="Q16" s="111"/>
      <c r="R16" s="114"/>
      <c r="S16" s="139"/>
      <c r="T16" s="116"/>
      <c r="U16" s="142"/>
      <c r="X16" s="134"/>
    </row>
    <row r="17" spans="2:31">
      <c r="B17" s="99" t="s">
        <v>29</v>
      </c>
      <c r="C17" s="96">
        <v>-313.58999999999997</v>
      </c>
      <c r="D17" s="97"/>
      <c r="E17" s="63">
        <v>0</v>
      </c>
      <c r="F17" s="64"/>
      <c r="G17" s="64" t="s">
        <v>58</v>
      </c>
      <c r="I17" s="10"/>
      <c r="J17" s="16"/>
      <c r="L17" s="10">
        <v>0</v>
      </c>
      <c r="M17" s="10"/>
      <c r="N17" s="16"/>
      <c r="P17" s="119" t="s">
        <v>45</v>
      </c>
      <c r="Q17" s="120">
        <f>SUM(Q5:Q16)</f>
        <v>0</v>
      </c>
      <c r="R17" s="121"/>
      <c r="S17" s="119" t="s">
        <v>45</v>
      </c>
      <c r="T17" s="135"/>
      <c r="U17" s="135">
        <f>SUM(U5:U16)</f>
        <v>0</v>
      </c>
    </row>
    <row r="18" spans="2:31">
      <c r="B18" s="99" t="s">
        <v>584</v>
      </c>
      <c r="C18" s="96">
        <v>-34.42</v>
      </c>
      <c r="D18" s="97"/>
      <c r="E18" s="63">
        <v>0</v>
      </c>
      <c r="F18" s="64"/>
      <c r="G18" s="64" t="s">
        <v>58</v>
      </c>
      <c r="H18" s="143"/>
      <c r="I18" s="60">
        <f>SUM(I12:I17)</f>
        <v>105.33</v>
      </c>
      <c r="J18" s="160" t="s">
        <v>21</v>
      </c>
      <c r="L18" s="10">
        <v>0</v>
      </c>
      <c r="M18" s="10"/>
      <c r="N18" s="16"/>
      <c r="X18" s="134"/>
    </row>
    <row r="19" spans="2:31">
      <c r="B19" s="99" t="s">
        <v>312</v>
      </c>
      <c r="C19" s="96">
        <v>-100</v>
      </c>
      <c r="D19" s="97"/>
      <c r="E19" s="63">
        <v>0</v>
      </c>
      <c r="F19" s="64"/>
      <c r="G19" s="64" t="s">
        <v>58</v>
      </c>
      <c r="I19" s="1"/>
      <c r="L19" s="10">
        <v>0</v>
      </c>
      <c r="M19" s="10"/>
      <c r="N19" s="16"/>
    </row>
    <row r="20" spans="2:31">
      <c r="B20" s="99" t="s">
        <v>644</v>
      </c>
      <c r="C20" s="96">
        <f>-220-350</f>
        <v>-570</v>
      </c>
      <c r="D20" s="97"/>
      <c r="E20" s="63">
        <v>0</v>
      </c>
      <c r="F20" s="64"/>
      <c r="G20" s="64" t="s">
        <v>58</v>
      </c>
      <c r="I20" s="52"/>
      <c r="L20" s="144">
        <f>SUM(L3:L19)</f>
        <v>17028.010000000009</v>
      </c>
      <c r="M20" s="144" t="s">
        <v>21</v>
      </c>
      <c r="N20" s="145"/>
      <c r="S20" s="146"/>
      <c r="T20" s="147"/>
      <c r="U20" s="148"/>
    </row>
    <row r="21" spans="2:31">
      <c r="B21" s="99" t="s">
        <v>83</v>
      </c>
      <c r="C21" s="96">
        <v>-85</v>
      </c>
      <c r="D21" s="97"/>
      <c r="E21" s="63">
        <v>0</v>
      </c>
      <c r="F21" s="64"/>
      <c r="G21" s="64" t="s">
        <v>58</v>
      </c>
      <c r="S21" s="152"/>
      <c r="X21" s="134"/>
    </row>
    <row r="22" spans="2:31">
      <c r="B22" s="99" t="s">
        <v>645</v>
      </c>
      <c r="C22" s="96">
        <v>600</v>
      </c>
      <c r="D22" s="97"/>
      <c r="E22" s="63">
        <v>0</v>
      </c>
      <c r="F22" s="64"/>
      <c r="G22" s="64" t="s">
        <v>58</v>
      </c>
      <c r="S22" s="149"/>
      <c r="T22" s="157"/>
      <c r="U22" s="157"/>
    </row>
    <row r="23" spans="2:31">
      <c r="B23" s="99" t="s">
        <v>41</v>
      </c>
      <c r="C23" s="96">
        <v>-110.09</v>
      </c>
      <c r="D23" s="97"/>
      <c r="E23" s="63">
        <v>0</v>
      </c>
      <c r="F23" s="64"/>
      <c r="G23" s="64" t="s">
        <v>58</v>
      </c>
      <c r="S23" s="149"/>
      <c r="T23" s="157"/>
      <c r="U23" s="157"/>
      <c r="X23" s="134"/>
    </row>
    <row r="24" spans="2:31">
      <c r="B24" s="99" t="s">
        <v>574</v>
      </c>
      <c r="C24" s="96">
        <v>-130</v>
      </c>
      <c r="D24" s="97"/>
      <c r="E24" s="63">
        <v>0</v>
      </c>
      <c r="F24" s="64"/>
      <c r="G24" s="64" t="s">
        <v>58</v>
      </c>
      <c r="S24" s="152"/>
    </row>
    <row r="25" spans="2:31">
      <c r="B25" s="99" t="s">
        <v>77</v>
      </c>
      <c r="C25" s="96">
        <v>-245.26</v>
      </c>
      <c r="D25" s="97"/>
      <c r="E25" s="63">
        <v>0</v>
      </c>
      <c r="F25" s="64"/>
      <c r="G25" s="64" t="s">
        <v>58</v>
      </c>
      <c r="S25" s="152"/>
    </row>
    <row r="26" spans="2:31" ht="18">
      <c r="B26" s="74" t="s">
        <v>45</v>
      </c>
      <c r="C26" s="101"/>
      <c r="D26" s="98"/>
      <c r="E26" s="129">
        <f>SUM(E3:E25)</f>
        <v>-218.29000000000002</v>
      </c>
      <c r="F26" s="75"/>
      <c r="G26" s="75"/>
      <c r="K26" s="1"/>
      <c r="S26" s="149"/>
      <c r="T26" s="157"/>
      <c r="U26" s="157"/>
      <c r="V26" s="146"/>
      <c r="Y26" s="149"/>
      <c r="Z26" s="146"/>
      <c r="AA26" s="147"/>
      <c r="AB26" s="148"/>
      <c r="AD26" s="150"/>
      <c r="AE26" s="151"/>
    </row>
    <row r="27" spans="2:31">
      <c r="C27" s="1"/>
      <c r="D27" s="1"/>
      <c r="E27" s="1"/>
      <c r="S27" s="152"/>
      <c r="V27" s="153"/>
      <c r="W27" s="154"/>
      <c r="X27" s="134"/>
      <c r="Y27" s="152"/>
      <c r="Z27" s="153"/>
      <c r="AA27" s="154"/>
      <c r="AB27" s="134"/>
      <c r="AD27" s="155"/>
      <c r="AE27" s="156"/>
    </row>
    <row r="28" spans="2:31">
      <c r="S28" s="149"/>
      <c r="T28" s="157"/>
      <c r="U28" s="157"/>
      <c r="V28" s="146"/>
      <c r="W28" s="147"/>
      <c r="X28" s="148"/>
      <c r="Y28" s="149"/>
      <c r="Z28" s="146"/>
      <c r="AA28" s="147"/>
      <c r="AB28" s="148"/>
      <c r="AD28" s="150"/>
      <c r="AE28"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2.xml><?xml version="1.0" encoding="utf-8"?>
<worksheet xmlns="http://schemas.openxmlformats.org/spreadsheetml/2006/main" xmlns:r="http://schemas.openxmlformats.org/officeDocument/2006/relationships">
  <sheetPr>
    <pageSetUpPr autoPageBreaks="0"/>
  </sheetPr>
  <dimension ref="B1:AE28"/>
  <sheetViews>
    <sheetView showGridLines="0" zoomScale="75" zoomScaleNormal="75" zoomScalePageLayoutView="75" workbookViewId="0">
      <selection activeCell="C10" activeCellId="1" sqref="G13 C10"/>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7" width="7.7109375" customWidth="1"/>
    <col min="18" max="18" width="5.140625" customWidth="1"/>
    <col min="19" max="19" width="5.42578125" customWidth="1"/>
    <col min="20" max="20" width="7.7109375" customWidth="1"/>
    <col min="21" max="21" width="8" customWidth="1"/>
  </cols>
  <sheetData>
    <row r="1" spans="2:24">
      <c r="E1" s="106"/>
    </row>
    <row r="2" spans="2:24" ht="18">
      <c r="B2" s="220" t="s">
        <v>135</v>
      </c>
      <c r="C2" s="220" t="s">
        <v>136</v>
      </c>
      <c r="D2" s="90"/>
      <c r="E2" s="220" t="s">
        <v>0</v>
      </c>
      <c r="F2" s="82" t="s">
        <v>1</v>
      </c>
      <c r="G2" s="82" t="s">
        <v>57</v>
      </c>
      <c r="I2" s="221" t="s">
        <v>295</v>
      </c>
      <c r="J2" s="221" t="s">
        <v>1</v>
      </c>
      <c r="L2" s="221" t="s">
        <v>102</v>
      </c>
      <c r="M2" s="221" t="s">
        <v>408</v>
      </c>
      <c r="N2" s="221" t="s">
        <v>1</v>
      </c>
      <c r="P2" s="584" t="s">
        <v>215</v>
      </c>
      <c r="Q2" s="584"/>
      <c r="R2" s="584"/>
      <c r="S2" s="584"/>
      <c r="T2" s="584"/>
      <c r="U2" s="584"/>
    </row>
    <row r="3" spans="2:24">
      <c r="B3" s="71" t="s">
        <v>11</v>
      </c>
      <c r="C3" s="91">
        <v>0</v>
      </c>
      <c r="D3" s="92"/>
      <c r="E3" s="95">
        <v>-0.83</v>
      </c>
      <c r="F3" s="61"/>
      <c r="G3" s="61"/>
      <c r="I3" s="10">
        <f>106*22.7</f>
        <v>2406.1999999999998</v>
      </c>
      <c r="J3" s="16">
        <v>39972</v>
      </c>
      <c r="L3" s="10">
        <v>262962.24</v>
      </c>
      <c r="M3" s="10" t="s">
        <v>646</v>
      </c>
      <c r="N3" s="16"/>
      <c r="P3" s="581" t="s">
        <v>216</v>
      </c>
      <c r="Q3" s="581"/>
      <c r="R3" s="581"/>
      <c r="S3" s="582" t="s">
        <v>217</v>
      </c>
      <c r="T3" s="582"/>
      <c r="U3" s="582"/>
    </row>
    <row r="4" spans="2:24" ht="12" customHeight="1">
      <c r="B4" s="71" t="s">
        <v>56</v>
      </c>
      <c r="C4" s="91">
        <v>0</v>
      </c>
      <c r="D4" s="92"/>
      <c r="E4" s="95">
        <v>411.69</v>
      </c>
      <c r="F4" s="72"/>
      <c r="G4" s="72"/>
      <c r="I4" s="10"/>
      <c r="J4" s="16"/>
      <c r="L4" s="10">
        <f>I3</f>
        <v>2406.1999999999998</v>
      </c>
      <c r="M4" s="10" t="s">
        <v>647</v>
      </c>
      <c r="N4" s="16"/>
      <c r="P4" s="107" t="s">
        <v>218</v>
      </c>
      <c r="Q4" s="108" t="s">
        <v>219</v>
      </c>
      <c r="R4" s="109" t="s">
        <v>1</v>
      </c>
      <c r="S4" s="107" t="s">
        <v>1</v>
      </c>
      <c r="T4" s="108" t="s">
        <v>218</v>
      </c>
      <c r="U4" s="109" t="s">
        <v>219</v>
      </c>
    </row>
    <row r="5" spans="2:24" ht="12" customHeight="1">
      <c r="B5" s="71" t="s">
        <v>5</v>
      </c>
      <c r="C5" s="91">
        <v>4525.72</v>
      </c>
      <c r="D5" s="92"/>
      <c r="E5" s="95">
        <v>0</v>
      </c>
      <c r="F5" s="72"/>
      <c r="G5" s="72"/>
      <c r="I5" s="10"/>
      <c r="J5" s="16"/>
      <c r="L5" s="10">
        <v>-180000</v>
      </c>
      <c r="M5" s="10" t="s">
        <v>629</v>
      </c>
      <c r="N5" s="16"/>
      <c r="P5" s="110"/>
      <c r="Q5" s="111"/>
      <c r="R5" s="112"/>
      <c r="S5" s="139"/>
      <c r="T5" s="116"/>
      <c r="U5" s="142"/>
    </row>
    <row r="6" spans="2:24">
      <c r="B6" s="71" t="s">
        <v>107</v>
      </c>
      <c r="C6" s="91">
        <v>85</v>
      </c>
      <c r="D6" s="92"/>
      <c r="E6" s="95">
        <f>C6</f>
        <v>85</v>
      </c>
      <c r="F6" s="72"/>
      <c r="G6" s="72"/>
      <c r="I6" s="10"/>
      <c r="J6" s="16"/>
      <c r="L6" s="10">
        <v>-85000</v>
      </c>
      <c r="M6" s="10" t="s">
        <v>630</v>
      </c>
      <c r="N6" s="16"/>
      <c r="P6" s="110"/>
      <c r="Q6" s="111"/>
      <c r="R6" s="112"/>
      <c r="S6" s="139"/>
      <c r="T6" s="116"/>
      <c r="U6" s="142"/>
    </row>
    <row r="7" spans="2:24">
      <c r="B7" s="99" t="s">
        <v>418</v>
      </c>
      <c r="C7" s="96">
        <v>-1380.94</v>
      </c>
      <c r="D7" s="97"/>
      <c r="E7" s="63">
        <v>0</v>
      </c>
      <c r="F7" s="64"/>
      <c r="G7" s="64" t="s">
        <v>58</v>
      </c>
      <c r="I7" s="10"/>
      <c r="J7" s="16"/>
      <c r="L7" s="15">
        <v>3000</v>
      </c>
      <c r="M7" s="15" t="s">
        <v>648</v>
      </c>
      <c r="N7" s="16"/>
      <c r="P7" s="110"/>
      <c r="Q7" s="111"/>
      <c r="R7" s="133"/>
      <c r="S7" s="139"/>
      <c r="T7" s="116"/>
      <c r="U7" s="142"/>
    </row>
    <row r="8" spans="2:24">
      <c r="B8" s="99" t="s">
        <v>637</v>
      </c>
      <c r="C8" s="96">
        <v>-1853.56</v>
      </c>
      <c r="D8" s="97"/>
      <c r="E8" s="63">
        <v>0</v>
      </c>
      <c r="F8" s="64"/>
      <c r="G8" s="64" t="s">
        <v>58</v>
      </c>
      <c r="I8" s="10"/>
      <c r="J8" s="16"/>
      <c r="L8" s="15">
        <v>3000</v>
      </c>
      <c r="M8" s="15" t="s">
        <v>641</v>
      </c>
      <c r="N8" s="166"/>
      <c r="P8" s="110"/>
      <c r="Q8" s="111"/>
      <c r="R8" s="114"/>
      <c r="S8" s="139"/>
      <c r="T8" s="116"/>
      <c r="U8" s="142"/>
      <c r="X8" s="134"/>
    </row>
    <row r="9" spans="2:24">
      <c r="B9" s="99" t="s">
        <v>590</v>
      </c>
      <c r="C9" s="96">
        <v>966.66</v>
      </c>
      <c r="D9" s="97"/>
      <c r="E9" s="63">
        <v>0</v>
      </c>
      <c r="F9" s="64"/>
      <c r="G9" s="64" t="s">
        <v>58</v>
      </c>
      <c r="L9" s="15">
        <v>3000</v>
      </c>
      <c r="M9" s="15" t="s">
        <v>642</v>
      </c>
      <c r="N9" s="166"/>
      <c r="P9" s="110"/>
      <c r="Q9" s="111"/>
      <c r="R9" s="114"/>
      <c r="S9" s="139"/>
      <c r="T9" s="116"/>
      <c r="U9" s="142"/>
    </row>
    <row r="10" spans="2:24" ht="12.75" customHeight="1">
      <c r="B10" s="99" t="s">
        <v>638</v>
      </c>
      <c r="C10" s="96">
        <f>-C8*70%</f>
        <v>1297.492</v>
      </c>
      <c r="D10" s="97"/>
      <c r="E10" s="63">
        <v>0</v>
      </c>
      <c r="F10" s="64"/>
      <c r="G10" s="64" t="s">
        <v>58</v>
      </c>
      <c r="L10" s="15">
        <v>3000</v>
      </c>
      <c r="M10" s="15" t="s">
        <v>643</v>
      </c>
      <c r="N10" s="166"/>
      <c r="P10" s="110"/>
      <c r="Q10" s="111"/>
      <c r="R10" s="114"/>
      <c r="S10" s="139"/>
      <c r="T10" s="116"/>
      <c r="U10" s="142"/>
      <c r="X10" s="134"/>
    </row>
    <row r="11" spans="2:24" ht="15.75">
      <c r="B11" s="99" t="s">
        <v>81</v>
      </c>
      <c r="C11" s="96">
        <v>70</v>
      </c>
      <c r="D11" s="97"/>
      <c r="E11" s="63">
        <v>0</v>
      </c>
      <c r="F11" s="64"/>
      <c r="G11" s="64" t="s">
        <v>58</v>
      </c>
      <c r="I11" s="221" t="s">
        <v>48</v>
      </c>
      <c r="J11" s="221" t="s">
        <v>1</v>
      </c>
      <c r="L11" s="10">
        <v>0</v>
      </c>
      <c r="M11" s="10"/>
      <c r="N11" s="16"/>
      <c r="P11" s="110"/>
      <c r="Q11" s="111"/>
      <c r="R11" s="114"/>
      <c r="S11" s="139"/>
      <c r="T11" s="116"/>
      <c r="U11" s="142"/>
    </row>
    <row r="12" spans="2:24">
      <c r="B12" s="99" t="s">
        <v>65</v>
      </c>
      <c r="C12" s="96">
        <v>-100</v>
      </c>
      <c r="D12" s="97"/>
      <c r="E12" s="163">
        <f>C12</f>
        <v>-100</v>
      </c>
      <c r="F12" s="164"/>
      <c r="G12" s="164"/>
      <c r="I12" s="10"/>
      <c r="J12" s="16"/>
      <c r="L12" s="10">
        <v>4500</v>
      </c>
      <c r="M12" s="10" t="s">
        <v>649</v>
      </c>
      <c r="N12" s="16"/>
      <c r="P12" s="110"/>
      <c r="Q12" s="111"/>
      <c r="R12" s="114"/>
      <c r="S12" s="139"/>
      <c r="T12" s="116"/>
      <c r="U12" s="142"/>
      <c r="X12" s="134"/>
    </row>
    <row r="13" spans="2:24">
      <c r="B13" s="99" t="s">
        <v>14</v>
      </c>
      <c r="C13" s="96">
        <v>-13.38</v>
      </c>
      <c r="D13" s="97"/>
      <c r="E13" s="63">
        <v>0</v>
      </c>
      <c r="F13" s="64"/>
      <c r="G13" s="64" t="s">
        <v>58</v>
      </c>
      <c r="I13" s="10"/>
      <c r="J13" s="16"/>
      <c r="L13" s="10">
        <v>0</v>
      </c>
      <c r="M13" s="10"/>
      <c r="N13" s="16"/>
      <c r="P13" s="110"/>
      <c r="Q13" s="111"/>
      <c r="R13" s="114"/>
      <c r="S13" s="139"/>
      <c r="T13" s="116"/>
      <c r="U13" s="142"/>
    </row>
    <row r="14" spans="2:24">
      <c r="B14" s="99" t="s">
        <v>93</v>
      </c>
      <c r="C14" s="96">
        <v>-3.6</v>
      </c>
      <c r="D14" s="97"/>
      <c r="E14" s="63">
        <v>0</v>
      </c>
      <c r="F14" s="64"/>
      <c r="G14" s="64" t="s">
        <v>58</v>
      </c>
      <c r="I14" s="10"/>
      <c r="J14" s="16"/>
      <c r="L14" s="144">
        <f>SUM(L3:L13)</f>
        <v>16868.440000000002</v>
      </c>
      <c r="M14" s="144" t="s">
        <v>21</v>
      </c>
      <c r="N14" s="145"/>
      <c r="P14" s="110"/>
      <c r="Q14" s="111"/>
      <c r="R14" s="114"/>
      <c r="S14" s="139"/>
      <c r="T14" s="116"/>
      <c r="U14" s="142"/>
      <c r="X14" s="134"/>
    </row>
    <row r="15" spans="2:24">
      <c r="B15" s="99" t="s">
        <v>610</v>
      </c>
      <c r="C15" s="96">
        <v>-929.46</v>
      </c>
      <c r="D15" s="97"/>
      <c r="E15" s="63">
        <v>0</v>
      </c>
      <c r="F15" s="64"/>
      <c r="G15" s="64" t="s">
        <v>58</v>
      </c>
      <c r="I15" s="10"/>
      <c r="J15" s="16"/>
      <c r="P15" s="110"/>
      <c r="Q15" s="111"/>
      <c r="R15" s="114"/>
      <c r="S15" s="139"/>
      <c r="T15" s="116"/>
      <c r="U15" s="142"/>
    </row>
    <row r="16" spans="2:24">
      <c r="B16" s="99" t="s">
        <v>103</v>
      </c>
      <c r="C16" s="96">
        <v>-215.52</v>
      </c>
      <c r="D16" s="97"/>
      <c r="E16" s="63">
        <v>0</v>
      </c>
      <c r="F16" s="64"/>
      <c r="G16" s="64" t="s">
        <v>58</v>
      </c>
      <c r="I16" s="10"/>
      <c r="J16" s="16"/>
      <c r="P16" s="110"/>
      <c r="Q16" s="111"/>
      <c r="R16" s="114"/>
      <c r="S16" s="139"/>
      <c r="T16" s="116"/>
      <c r="U16" s="142"/>
      <c r="X16" s="134"/>
    </row>
    <row r="17" spans="2:31">
      <c r="B17" s="99" t="s">
        <v>73</v>
      </c>
      <c r="C17" s="96">
        <v>-424.6</v>
      </c>
      <c r="D17" s="97"/>
      <c r="E17" s="63">
        <v>0</v>
      </c>
      <c r="F17" s="64"/>
      <c r="G17" s="64" t="s">
        <v>58</v>
      </c>
      <c r="I17" s="10"/>
      <c r="J17" s="16"/>
      <c r="P17" s="119" t="s">
        <v>45</v>
      </c>
      <c r="Q17" s="120">
        <f>SUM(Q5:Q16)</f>
        <v>0</v>
      </c>
      <c r="R17" s="121"/>
      <c r="S17" s="119" t="s">
        <v>45</v>
      </c>
      <c r="T17" s="135"/>
      <c r="U17" s="135">
        <f>SUM(U5:U16)</f>
        <v>0</v>
      </c>
    </row>
    <row r="18" spans="2:31">
      <c r="B18" s="99" t="s">
        <v>29</v>
      </c>
      <c r="C18" s="96">
        <v>-300.06</v>
      </c>
      <c r="D18" s="97"/>
      <c r="E18" s="63">
        <v>0</v>
      </c>
      <c r="F18" s="64"/>
      <c r="G18" s="64" t="s">
        <v>58</v>
      </c>
      <c r="H18" s="143"/>
      <c r="I18" s="60">
        <f>SUM(I12:I17)</f>
        <v>0</v>
      </c>
      <c r="J18" s="160" t="s">
        <v>21</v>
      </c>
      <c r="X18" s="134"/>
    </row>
    <row r="19" spans="2:31">
      <c r="B19" s="99" t="s">
        <v>584</v>
      </c>
      <c r="C19" s="96">
        <v>-34.42</v>
      </c>
      <c r="D19" s="97"/>
      <c r="E19" s="63">
        <v>0</v>
      </c>
      <c r="F19" s="64"/>
      <c r="G19" s="64" t="s">
        <v>58</v>
      </c>
      <c r="I19" s="1"/>
    </row>
    <row r="20" spans="2:31">
      <c r="B20" s="99" t="s">
        <v>650</v>
      </c>
      <c r="C20" s="96">
        <v>0</v>
      </c>
      <c r="D20" s="97"/>
      <c r="E20" s="63">
        <v>0</v>
      </c>
      <c r="F20" s="64"/>
      <c r="G20" s="64" t="s">
        <v>58</v>
      </c>
      <c r="I20" s="52"/>
      <c r="S20" s="146"/>
      <c r="T20" s="147"/>
      <c r="U20" s="148"/>
    </row>
    <row r="21" spans="2:31">
      <c r="B21" s="99" t="s">
        <v>650</v>
      </c>
      <c r="C21" s="96">
        <v>-50</v>
      </c>
      <c r="D21" s="97"/>
      <c r="E21" s="63">
        <v>0</v>
      </c>
      <c r="F21" s="64"/>
      <c r="G21" s="64" t="s">
        <v>58</v>
      </c>
      <c r="S21" s="152"/>
      <c r="X21" s="134"/>
    </row>
    <row r="22" spans="2:31">
      <c r="B22" s="99" t="s">
        <v>572</v>
      </c>
      <c r="C22" s="96">
        <v>-85</v>
      </c>
      <c r="D22" s="97"/>
      <c r="E22" s="63">
        <v>0</v>
      </c>
      <c r="F22" s="64"/>
      <c r="G22" s="64" t="s">
        <v>58</v>
      </c>
      <c r="S22" s="149"/>
      <c r="T22" s="157"/>
      <c r="U22" s="157"/>
    </row>
    <row r="23" spans="2:31">
      <c r="B23" s="99" t="s">
        <v>573</v>
      </c>
      <c r="C23" s="96">
        <v>-68.099999999999994</v>
      </c>
      <c r="D23" s="97"/>
      <c r="E23" s="63">
        <v>0</v>
      </c>
      <c r="F23" s="64"/>
      <c r="G23" s="64" t="s">
        <v>58</v>
      </c>
      <c r="S23" s="149"/>
      <c r="T23" s="157"/>
      <c r="U23" s="157"/>
      <c r="X23" s="134"/>
    </row>
    <row r="24" spans="2:31">
      <c r="B24" s="99" t="s">
        <v>41</v>
      </c>
      <c r="C24" s="96">
        <v>-114.44</v>
      </c>
      <c r="D24" s="97"/>
      <c r="E24" s="63">
        <v>0</v>
      </c>
      <c r="F24" s="64"/>
      <c r="G24" s="64" t="s">
        <v>58</v>
      </c>
      <c r="S24" s="152"/>
    </row>
    <row r="25" spans="2:31">
      <c r="B25" s="99" t="s">
        <v>574</v>
      </c>
      <c r="C25" s="96">
        <v>-130</v>
      </c>
      <c r="D25" s="97"/>
      <c r="E25" s="63">
        <v>0</v>
      </c>
      <c r="F25" s="64"/>
      <c r="G25" s="64" t="s">
        <v>58</v>
      </c>
      <c r="S25" s="152"/>
    </row>
    <row r="26" spans="2:31">
      <c r="B26" s="99" t="s">
        <v>77</v>
      </c>
      <c r="C26" s="96">
        <v>-247.89</v>
      </c>
      <c r="D26" s="97"/>
      <c r="E26" s="63">
        <v>0</v>
      </c>
      <c r="F26" s="64"/>
      <c r="G26" s="64" t="s">
        <v>58</v>
      </c>
      <c r="K26" s="1"/>
      <c r="S26" s="149"/>
      <c r="T26" s="157"/>
      <c r="U26" s="157"/>
      <c r="V26" s="146"/>
      <c r="Y26" s="149"/>
      <c r="Z26" s="146"/>
      <c r="AA26" s="147"/>
      <c r="AB26" s="148"/>
      <c r="AD26" s="150"/>
      <c r="AE26" s="151"/>
    </row>
    <row r="27" spans="2:31" ht="18">
      <c r="B27" s="74" t="s">
        <v>45</v>
      </c>
      <c r="C27" s="101"/>
      <c r="D27" s="98"/>
      <c r="E27" s="129">
        <f>SUM(E3:E26)</f>
        <v>395.86</v>
      </c>
      <c r="F27" s="75"/>
      <c r="G27" s="75"/>
      <c r="S27" s="152"/>
      <c r="V27" s="153"/>
      <c r="W27" s="154"/>
      <c r="X27" s="134"/>
      <c r="Y27" s="152"/>
      <c r="Z27" s="153"/>
      <c r="AA27" s="154"/>
      <c r="AB27" s="134"/>
      <c r="AD27" s="155"/>
      <c r="AE27" s="156"/>
    </row>
    <row r="28" spans="2:31">
      <c r="C28" s="1"/>
      <c r="D28" s="1"/>
      <c r="E28" s="1"/>
      <c r="S28" s="149"/>
      <c r="T28" s="157"/>
      <c r="U28" s="157"/>
      <c r="V28" s="146"/>
      <c r="W28" s="147"/>
      <c r="X28" s="148"/>
      <c r="Y28" s="149"/>
      <c r="Z28" s="146"/>
      <c r="AA28" s="147"/>
      <c r="AB28" s="148"/>
      <c r="AD28" s="150"/>
      <c r="AE28" s="151"/>
    </row>
  </sheetData>
  <sheetProtection selectLockedCells="1" selectUnlockedCells="1"/>
  <mergeCells count="3">
    <mergeCell ref="P2:U2"/>
    <mergeCell ref="P3:R3"/>
    <mergeCell ref="S3:U3"/>
  </mergeCell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3.xml><?xml version="1.0" encoding="utf-8"?>
<worksheet xmlns="http://schemas.openxmlformats.org/spreadsheetml/2006/main" xmlns:r="http://schemas.openxmlformats.org/officeDocument/2006/relationships">
  <sheetPr>
    <pageSetUpPr autoPageBreaks="0"/>
  </sheetPr>
  <dimension ref="B1:X34"/>
  <sheetViews>
    <sheetView zoomScale="86" zoomScaleNormal="86" zoomScalePageLayoutView="86" workbookViewId="0">
      <selection activeCell="B31" activeCellId="1" sqref="G13 B31"/>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6" width="30.140625" customWidth="1"/>
    <col min="17" max="17" width="18" customWidth="1"/>
  </cols>
  <sheetData>
    <row r="1" spans="2:17">
      <c r="E1" s="106"/>
    </row>
    <row r="2" spans="2:17" ht="18">
      <c r="B2" s="220" t="s">
        <v>135</v>
      </c>
      <c r="C2" s="220" t="s">
        <v>136</v>
      </c>
      <c r="D2" s="90"/>
      <c r="E2" s="220" t="s">
        <v>0</v>
      </c>
      <c r="F2" s="82" t="s">
        <v>1</v>
      </c>
      <c r="G2" s="82" t="s">
        <v>57</v>
      </c>
      <c r="I2" s="221" t="s">
        <v>48</v>
      </c>
      <c r="J2" s="221" t="s">
        <v>1</v>
      </c>
      <c r="L2" s="221" t="s">
        <v>651</v>
      </c>
      <c r="M2" s="221" t="s">
        <v>408</v>
      </c>
      <c r="N2" s="221" t="s">
        <v>1</v>
      </c>
      <c r="P2" s="167" t="s">
        <v>652</v>
      </c>
      <c r="Q2" s="167" t="s">
        <v>653</v>
      </c>
    </row>
    <row r="3" spans="2:17">
      <c r="B3" s="71" t="s">
        <v>11</v>
      </c>
      <c r="C3" s="91">
        <v>0</v>
      </c>
      <c r="D3" s="92"/>
      <c r="E3" s="95">
        <f>-371.48+400</f>
        <v>28.519999999999982</v>
      </c>
      <c r="F3" s="61"/>
      <c r="G3" s="61"/>
      <c r="I3" s="10">
        <v>-3490.67</v>
      </c>
      <c r="J3" s="16"/>
      <c r="L3" s="10">
        <f>I9</f>
        <v>-3490.67</v>
      </c>
      <c r="M3" s="10" t="s">
        <v>654</v>
      </c>
      <c r="N3" s="16"/>
      <c r="P3" s="10" t="s">
        <v>655</v>
      </c>
      <c r="Q3" s="10">
        <v>0</v>
      </c>
    </row>
    <row r="4" spans="2:17" ht="12" customHeight="1">
      <c r="B4" s="71" t="s">
        <v>56</v>
      </c>
      <c r="C4" s="91">
        <v>0</v>
      </c>
      <c r="D4" s="92"/>
      <c r="E4" s="95">
        <v>-367.49</v>
      </c>
      <c r="F4" s="72"/>
      <c r="G4" s="72"/>
      <c r="I4" s="10"/>
      <c r="J4" s="16"/>
      <c r="L4" s="10">
        <v>0</v>
      </c>
      <c r="M4" s="10" t="s">
        <v>656</v>
      </c>
      <c r="N4" s="16"/>
      <c r="P4" s="10" t="s">
        <v>657</v>
      </c>
      <c r="Q4" s="10">
        <v>0</v>
      </c>
    </row>
    <row r="5" spans="2:17" ht="12" customHeight="1">
      <c r="B5" s="71" t="s">
        <v>5</v>
      </c>
      <c r="C5" s="91">
        <v>4525.72</v>
      </c>
      <c r="D5" s="92"/>
      <c r="E5" s="95">
        <v>0</v>
      </c>
      <c r="F5" s="72"/>
      <c r="G5" s="72"/>
      <c r="I5" s="10"/>
      <c r="J5" s="16"/>
      <c r="L5" s="10">
        <v>0</v>
      </c>
      <c r="M5" s="10" t="s">
        <v>658</v>
      </c>
      <c r="N5" s="16"/>
      <c r="P5" s="10" t="s">
        <v>659</v>
      </c>
      <c r="Q5" s="10">
        <v>100</v>
      </c>
    </row>
    <row r="6" spans="2:17">
      <c r="B6" s="71" t="s">
        <v>641</v>
      </c>
      <c r="C6" s="91">
        <f>7929.67-C5</f>
        <v>3403.95</v>
      </c>
      <c r="D6" s="92"/>
      <c r="E6" s="95">
        <v>0</v>
      </c>
      <c r="F6" s="72"/>
      <c r="G6" s="72"/>
      <c r="I6" s="10"/>
      <c r="J6" s="16"/>
      <c r="L6" s="10">
        <v>-3300</v>
      </c>
      <c r="M6" s="10" t="s">
        <v>660</v>
      </c>
      <c r="N6" s="16"/>
      <c r="P6" s="10" t="s">
        <v>661</v>
      </c>
      <c r="Q6" s="10">
        <v>0</v>
      </c>
    </row>
    <row r="7" spans="2:17" ht="15">
      <c r="B7" s="71" t="s">
        <v>643</v>
      </c>
      <c r="C7" s="91">
        <v>3748.84</v>
      </c>
      <c r="D7" s="92"/>
      <c r="E7" s="95">
        <v>0</v>
      </c>
      <c r="F7" s="72"/>
      <c r="G7" s="72"/>
      <c r="I7" s="10"/>
      <c r="J7" s="16"/>
      <c r="L7" s="10">
        <v>0</v>
      </c>
      <c r="M7" s="10" t="s">
        <v>662</v>
      </c>
      <c r="N7" s="16"/>
      <c r="P7" s="10" t="s">
        <v>663</v>
      </c>
      <c r="Q7" s="168">
        <v>50</v>
      </c>
    </row>
    <row r="8" spans="2:17" ht="15">
      <c r="B8" s="71" t="s">
        <v>107</v>
      </c>
      <c r="C8" s="91">
        <v>85</v>
      </c>
      <c r="D8" s="92"/>
      <c r="E8" s="95">
        <f>C8</f>
        <v>85</v>
      </c>
      <c r="F8" s="72"/>
      <c r="G8" s="72"/>
      <c r="I8" s="10"/>
      <c r="J8" s="16"/>
      <c r="L8" s="10">
        <v>0</v>
      </c>
      <c r="M8" s="10" t="s">
        <v>662</v>
      </c>
      <c r="N8" s="16"/>
      <c r="P8" s="10" t="s">
        <v>664</v>
      </c>
      <c r="Q8" s="168">
        <v>0</v>
      </c>
    </row>
    <row r="9" spans="2:17">
      <c r="B9" s="99" t="s">
        <v>418</v>
      </c>
      <c r="C9" s="96">
        <v>-1380.94</v>
      </c>
      <c r="D9" s="97"/>
      <c r="E9" s="63">
        <v>0</v>
      </c>
      <c r="F9" s="64"/>
      <c r="G9" s="64" t="s">
        <v>58</v>
      </c>
      <c r="I9" s="60">
        <f>SUM(I3:I8)</f>
        <v>-3490.67</v>
      </c>
      <c r="J9" s="160" t="s">
        <v>21</v>
      </c>
      <c r="L9" s="10">
        <v>0</v>
      </c>
      <c r="M9" s="10" t="s">
        <v>665</v>
      </c>
      <c r="N9" s="16"/>
      <c r="P9" s="9" t="s">
        <v>666</v>
      </c>
      <c r="Q9" s="10">
        <v>0</v>
      </c>
    </row>
    <row r="10" spans="2:17" ht="12.75" customHeight="1">
      <c r="B10" s="99" t="s">
        <v>637</v>
      </c>
      <c r="C10" s="96">
        <v>-1853.56</v>
      </c>
      <c r="D10" s="97"/>
      <c r="E10" s="63">
        <v>0</v>
      </c>
      <c r="F10" s="64"/>
      <c r="G10" s="64" t="s">
        <v>58</v>
      </c>
      <c r="I10" s="1"/>
      <c r="L10" s="10">
        <v>0</v>
      </c>
      <c r="M10" s="10" t="s">
        <v>665</v>
      </c>
      <c r="N10" s="16"/>
      <c r="P10" s="9" t="s">
        <v>667</v>
      </c>
      <c r="Q10" s="10">
        <v>0</v>
      </c>
    </row>
    <row r="11" spans="2:17">
      <c r="B11" s="99" t="s">
        <v>590</v>
      </c>
      <c r="C11" s="96">
        <v>966.66</v>
      </c>
      <c r="D11" s="97"/>
      <c r="E11" s="63">
        <v>0</v>
      </c>
      <c r="F11" s="64"/>
      <c r="G11" s="64" t="s">
        <v>58</v>
      </c>
      <c r="I11" s="52"/>
      <c r="L11" s="10">
        <v>0</v>
      </c>
      <c r="M11" s="10" t="s">
        <v>668</v>
      </c>
      <c r="N11" s="16"/>
      <c r="P11" s="9" t="s">
        <v>669</v>
      </c>
      <c r="Q11" s="10">
        <v>0</v>
      </c>
    </row>
    <row r="12" spans="2:17">
      <c r="B12" s="99" t="s">
        <v>638</v>
      </c>
      <c r="C12" s="96">
        <v>1304.49</v>
      </c>
      <c r="D12" s="97"/>
      <c r="E12" s="63">
        <v>0</v>
      </c>
      <c r="F12" s="64"/>
      <c r="G12" s="64" t="s">
        <v>58</v>
      </c>
      <c r="L12" s="10">
        <v>0</v>
      </c>
      <c r="M12" s="10" t="s">
        <v>670</v>
      </c>
      <c r="N12" s="16"/>
      <c r="P12" s="9" t="s">
        <v>671</v>
      </c>
      <c r="Q12" s="10">
        <v>0</v>
      </c>
    </row>
    <row r="13" spans="2:17">
      <c r="B13" s="99" t="s">
        <v>672</v>
      </c>
      <c r="C13" s="96">
        <v>-6000</v>
      </c>
      <c r="D13" s="97"/>
      <c r="E13" s="63">
        <v>0</v>
      </c>
      <c r="F13" s="64"/>
      <c r="G13" s="64" t="s">
        <v>58</v>
      </c>
      <c r="L13" s="10">
        <v>-1421.02</v>
      </c>
      <c r="M13" s="10" t="s">
        <v>673</v>
      </c>
      <c r="N13" s="16"/>
      <c r="P13" s="9" t="s">
        <v>674</v>
      </c>
      <c r="Q13" s="10">
        <v>0</v>
      </c>
    </row>
    <row r="14" spans="2:17">
      <c r="B14" s="99" t="s">
        <v>102</v>
      </c>
      <c r="C14" s="96">
        <v>-600</v>
      </c>
      <c r="D14" s="97"/>
      <c r="E14" s="63">
        <v>0</v>
      </c>
      <c r="F14" s="64"/>
      <c r="G14" s="64" t="s">
        <v>58</v>
      </c>
      <c r="L14" s="10">
        <v>1500</v>
      </c>
      <c r="M14" s="10" t="s">
        <v>675</v>
      </c>
      <c r="N14" s="16"/>
      <c r="P14" s="9" t="s">
        <v>676</v>
      </c>
      <c r="Q14" s="10">
        <v>1000</v>
      </c>
    </row>
    <row r="15" spans="2:17" ht="15">
      <c r="B15" s="99" t="s">
        <v>65</v>
      </c>
      <c r="C15" s="96">
        <v>-100</v>
      </c>
      <c r="D15" s="97"/>
      <c r="E15" s="63">
        <v>0</v>
      </c>
      <c r="F15" s="64"/>
      <c r="G15" s="64" t="s">
        <v>58</v>
      </c>
      <c r="L15" s="10">
        <v>3000</v>
      </c>
      <c r="M15" s="10" t="s">
        <v>677</v>
      </c>
      <c r="N15" s="16"/>
      <c r="P15" s="20" t="s">
        <v>678</v>
      </c>
      <c r="Q15" s="168">
        <v>2200</v>
      </c>
    </row>
    <row r="16" spans="2:17">
      <c r="B16" s="99" t="s">
        <v>14</v>
      </c>
      <c r="C16" s="96">
        <v>-6.17</v>
      </c>
      <c r="D16" s="97"/>
      <c r="E16" s="63">
        <v>0</v>
      </c>
      <c r="F16" s="64"/>
      <c r="G16" s="64" t="s">
        <v>58</v>
      </c>
      <c r="L16" s="10">
        <v>3000</v>
      </c>
      <c r="M16" s="10" t="s">
        <v>679</v>
      </c>
      <c r="N16" s="16"/>
      <c r="P16" s="9" t="s">
        <v>680</v>
      </c>
      <c r="Q16" s="10">
        <v>2400</v>
      </c>
    </row>
    <row r="17" spans="2:24">
      <c r="B17" s="99" t="s">
        <v>93</v>
      </c>
      <c r="C17" s="96">
        <v>-3.6</v>
      </c>
      <c r="D17" s="97"/>
      <c r="E17" s="63">
        <v>0</v>
      </c>
      <c r="F17" s="64"/>
      <c r="G17" s="64" t="s">
        <v>58</v>
      </c>
      <c r="L17" s="144">
        <f>SUM(L3:L16)</f>
        <v>-711.69000000000051</v>
      </c>
      <c r="M17" s="144" t="s">
        <v>21</v>
      </c>
      <c r="N17" s="145"/>
      <c r="P17" s="169" t="s">
        <v>681</v>
      </c>
      <c r="Q17" s="170">
        <f>-SUM(Q3:Q16)</f>
        <v>-5750</v>
      </c>
    </row>
    <row r="18" spans="2:24">
      <c r="B18" s="99" t="s">
        <v>610</v>
      </c>
      <c r="C18" s="96">
        <v>-762.35</v>
      </c>
      <c r="D18" s="97"/>
      <c r="E18" s="63">
        <v>0</v>
      </c>
      <c r="F18" s="64"/>
      <c r="G18" s="64" t="s">
        <v>58</v>
      </c>
      <c r="H18" s="143"/>
      <c r="P18" s="9" t="s">
        <v>682</v>
      </c>
      <c r="Q18" s="10">
        <v>0</v>
      </c>
    </row>
    <row r="19" spans="2:24">
      <c r="B19" s="99" t="s">
        <v>103</v>
      </c>
      <c r="C19" s="96">
        <v>0</v>
      </c>
      <c r="D19" s="97"/>
      <c r="E19" s="63">
        <v>0</v>
      </c>
      <c r="F19" s="64"/>
      <c r="G19" s="64" t="s">
        <v>58</v>
      </c>
      <c r="P19" s="9" t="s">
        <v>683</v>
      </c>
      <c r="Q19" s="10">
        <f>L17</f>
        <v>-711.69000000000051</v>
      </c>
    </row>
    <row r="20" spans="2:24">
      <c r="B20" s="99" t="s">
        <v>73</v>
      </c>
      <c r="C20" s="96">
        <v>-509.51</v>
      </c>
      <c r="D20" s="97"/>
      <c r="E20" s="63">
        <v>0</v>
      </c>
      <c r="F20" s="64"/>
      <c r="G20" s="64" t="s">
        <v>58</v>
      </c>
      <c r="P20" s="171" t="s">
        <v>21</v>
      </c>
      <c r="Q20" s="172">
        <f>Q17+Q18+Q19</f>
        <v>-6461.6900000000005</v>
      </c>
    </row>
    <row r="21" spans="2:24">
      <c r="B21" s="173" t="s">
        <v>29</v>
      </c>
      <c r="C21" s="174">
        <v>-300.06</v>
      </c>
      <c r="D21" s="97"/>
      <c r="E21" s="63">
        <v>0</v>
      </c>
      <c r="F21" s="64"/>
      <c r="G21" s="64" t="s">
        <v>58</v>
      </c>
    </row>
    <row r="22" spans="2:24">
      <c r="B22" s="173" t="s">
        <v>584</v>
      </c>
      <c r="C22" s="174">
        <v>-34.42</v>
      </c>
      <c r="D22" s="97"/>
      <c r="E22" s="63">
        <v>0</v>
      </c>
      <c r="F22" s="64"/>
      <c r="G22" s="64" t="s">
        <v>58</v>
      </c>
    </row>
    <row r="23" spans="2:24">
      <c r="B23" s="99" t="s">
        <v>684</v>
      </c>
      <c r="C23" s="96">
        <v>-52.95</v>
      </c>
      <c r="D23" s="97"/>
      <c r="E23" s="63">
        <v>0</v>
      </c>
      <c r="F23" s="64"/>
      <c r="G23" s="64" t="s">
        <v>58</v>
      </c>
    </row>
    <row r="24" spans="2:24">
      <c r="B24" s="99" t="s">
        <v>650</v>
      </c>
      <c r="C24" s="96">
        <v>-50</v>
      </c>
      <c r="D24" s="97"/>
      <c r="E24" s="63">
        <v>0</v>
      </c>
      <c r="F24" s="64"/>
      <c r="G24" s="64" t="s">
        <v>58</v>
      </c>
    </row>
    <row r="25" spans="2:24">
      <c r="B25" s="99" t="s">
        <v>41</v>
      </c>
      <c r="C25" s="96">
        <v>-110.93</v>
      </c>
      <c r="D25" s="97"/>
      <c r="E25" s="63">
        <v>0</v>
      </c>
      <c r="F25" s="64"/>
      <c r="G25" s="64" t="s">
        <v>58</v>
      </c>
    </row>
    <row r="26" spans="2:24">
      <c r="B26" s="99" t="s">
        <v>685</v>
      </c>
      <c r="C26" s="96">
        <v>-50</v>
      </c>
      <c r="D26" s="97"/>
      <c r="E26" s="63">
        <v>0</v>
      </c>
      <c r="F26" s="64"/>
      <c r="G26" s="64" t="s">
        <v>58</v>
      </c>
      <c r="K26" s="1"/>
      <c r="R26" s="149"/>
      <c r="S26" s="146"/>
      <c r="T26" s="147"/>
      <c r="U26" s="148"/>
      <c r="W26" s="150"/>
      <c r="X26" s="151"/>
    </row>
    <row r="27" spans="2:24">
      <c r="B27" s="99" t="s">
        <v>374</v>
      </c>
      <c r="C27" s="96">
        <v>-130</v>
      </c>
      <c r="D27" s="97"/>
      <c r="E27" s="63">
        <v>0</v>
      </c>
      <c r="F27" s="64"/>
      <c r="G27" s="64" t="s">
        <v>58</v>
      </c>
      <c r="R27" s="152"/>
      <c r="S27" s="153"/>
      <c r="T27" s="154"/>
      <c r="U27" s="134"/>
      <c r="W27" s="155"/>
      <c r="X27" s="156"/>
    </row>
    <row r="28" spans="2:24">
      <c r="B28" s="99" t="s">
        <v>77</v>
      </c>
      <c r="C28" s="96">
        <v>-218.86</v>
      </c>
      <c r="D28" s="97"/>
      <c r="E28" s="63">
        <v>0</v>
      </c>
      <c r="F28" s="64"/>
      <c r="G28" s="64" t="s">
        <v>58</v>
      </c>
      <c r="R28" s="149"/>
      <c r="S28" s="146"/>
      <c r="T28" s="147"/>
      <c r="U28" s="148"/>
      <c r="W28" s="150"/>
      <c r="X28" s="151"/>
    </row>
    <row r="29" spans="2:24">
      <c r="B29" s="173" t="s">
        <v>686</v>
      </c>
      <c r="C29" s="174">
        <v>-385.07</v>
      </c>
      <c r="D29" s="97"/>
      <c r="E29" s="63">
        <v>0</v>
      </c>
      <c r="F29" s="64"/>
      <c r="G29" s="64" t="s">
        <v>58</v>
      </c>
    </row>
    <row r="30" spans="2:24">
      <c r="B30" s="99" t="s">
        <v>83</v>
      </c>
      <c r="C30" s="96">
        <v>-102.15</v>
      </c>
      <c r="D30" s="97"/>
      <c r="E30" s="63">
        <v>0</v>
      </c>
      <c r="F30" s="64"/>
      <c r="G30" s="64" t="s">
        <v>58</v>
      </c>
      <c r="R30" s="152"/>
      <c r="S30" s="153"/>
      <c r="T30" s="154"/>
      <c r="U30" s="134"/>
      <c r="W30" s="155"/>
      <c r="X30" s="156"/>
    </row>
    <row r="31" spans="2:24">
      <c r="B31" s="99" t="s">
        <v>573</v>
      </c>
      <c r="C31" s="96">
        <v>-68.099999999999994</v>
      </c>
      <c r="D31" s="97"/>
      <c r="E31" s="63">
        <v>0</v>
      </c>
      <c r="F31" s="64"/>
      <c r="G31" s="64" t="s">
        <v>58</v>
      </c>
      <c r="R31" s="152"/>
      <c r="S31" s="153"/>
      <c r="T31" s="154"/>
      <c r="U31" s="134"/>
      <c r="W31" s="155"/>
      <c r="X31" s="156"/>
    </row>
    <row r="32" spans="2:24">
      <c r="B32" s="173" t="s">
        <v>687</v>
      </c>
      <c r="C32" s="174">
        <v>0</v>
      </c>
      <c r="D32" s="97"/>
      <c r="E32" s="63">
        <v>0</v>
      </c>
      <c r="F32" s="64"/>
      <c r="G32" s="64" t="s">
        <v>58</v>
      </c>
    </row>
    <row r="33" spans="2:7">
      <c r="B33" s="173" t="s">
        <v>688</v>
      </c>
      <c r="C33" s="174">
        <v>0</v>
      </c>
      <c r="D33" s="97"/>
      <c r="E33" s="63">
        <v>0</v>
      </c>
      <c r="F33" s="64"/>
      <c r="G33" s="64" t="s">
        <v>58</v>
      </c>
    </row>
    <row r="34" spans="2:7" ht="18">
      <c r="B34" s="74" t="s">
        <v>45</v>
      </c>
      <c r="C34" s="101"/>
      <c r="D34" s="98"/>
      <c r="E34" s="129">
        <f>SUM(E3:E33)</f>
        <v>-253.97000000000003</v>
      </c>
      <c r="F34" s="75"/>
      <c r="G34"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4.xml><?xml version="1.0" encoding="utf-8"?>
<worksheet xmlns="http://schemas.openxmlformats.org/spreadsheetml/2006/main" xmlns:r="http://schemas.openxmlformats.org/officeDocument/2006/relationships">
  <sheetPr>
    <pageSetUpPr autoPageBreaks="0"/>
  </sheetPr>
  <dimension ref="B1:X29"/>
  <sheetViews>
    <sheetView topLeftCell="A3" zoomScale="86" zoomScaleNormal="86" zoomScalePageLayoutView="86" workbookViewId="0">
      <selection activeCell="C19" activeCellId="1" sqref="G13 C19"/>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6" width="30.140625" customWidth="1"/>
    <col min="17" max="17" width="18" customWidth="1"/>
  </cols>
  <sheetData>
    <row r="1" spans="2:17">
      <c r="E1" s="106"/>
    </row>
    <row r="2" spans="2:17" ht="18">
      <c r="B2" s="220" t="s">
        <v>135</v>
      </c>
      <c r="C2" s="220" t="s">
        <v>136</v>
      </c>
      <c r="D2" s="90"/>
      <c r="E2" s="220" t="s">
        <v>0</v>
      </c>
      <c r="F2" s="82" t="s">
        <v>1</v>
      </c>
      <c r="G2" s="82" t="s">
        <v>57</v>
      </c>
      <c r="I2" s="221" t="s">
        <v>48</v>
      </c>
      <c r="J2" s="221" t="s">
        <v>1</v>
      </c>
      <c r="L2" s="221" t="s">
        <v>651</v>
      </c>
      <c r="M2" s="221" t="s">
        <v>408</v>
      </c>
      <c r="N2" s="221" t="s">
        <v>1</v>
      </c>
      <c r="P2" s="167" t="s">
        <v>652</v>
      </c>
      <c r="Q2" s="167" t="s">
        <v>653</v>
      </c>
    </row>
    <row r="3" spans="2:17">
      <c r="B3" s="71" t="s">
        <v>11</v>
      </c>
      <c r="C3" s="91">
        <v>0</v>
      </c>
      <c r="D3" s="92"/>
      <c r="E3" s="95">
        <v>50.98</v>
      </c>
      <c r="F3" s="61"/>
      <c r="G3" s="61"/>
      <c r="I3" s="10">
        <v>-4475.87</v>
      </c>
      <c r="J3" s="16"/>
      <c r="L3" s="10">
        <f>I9</f>
        <v>-4475.87</v>
      </c>
      <c r="M3" s="10" t="s">
        <v>654</v>
      </c>
      <c r="N3" s="16"/>
      <c r="P3" s="10" t="s">
        <v>655</v>
      </c>
      <c r="Q3" s="10">
        <v>0</v>
      </c>
    </row>
    <row r="4" spans="2:17" ht="12" customHeight="1">
      <c r="B4" s="71" t="s">
        <v>56</v>
      </c>
      <c r="C4" s="91">
        <v>0</v>
      </c>
      <c r="D4" s="92"/>
      <c r="E4" s="95">
        <v>-3959.26</v>
      </c>
      <c r="F4" s="72"/>
      <c r="G4" s="72"/>
      <c r="I4" s="10">
        <v>0</v>
      </c>
      <c r="J4" s="16"/>
      <c r="L4" s="10">
        <v>0</v>
      </c>
      <c r="M4" s="10"/>
      <c r="N4" s="16"/>
      <c r="P4" s="10" t="s">
        <v>657</v>
      </c>
      <c r="Q4" s="10">
        <v>0</v>
      </c>
    </row>
    <row r="5" spans="2:17" ht="12" customHeight="1">
      <c r="B5" s="71" t="s">
        <v>689</v>
      </c>
      <c r="C5" s="91">
        <v>4525.72</v>
      </c>
      <c r="D5" s="92"/>
      <c r="E5" s="95">
        <v>0</v>
      </c>
      <c r="F5" s="72"/>
      <c r="G5" s="72"/>
      <c r="I5" s="10">
        <v>0</v>
      </c>
      <c r="J5" s="16"/>
      <c r="L5" s="10">
        <v>0</v>
      </c>
      <c r="M5" s="10"/>
      <c r="N5" s="16"/>
      <c r="P5" s="10" t="s">
        <v>659</v>
      </c>
      <c r="Q5" s="10">
        <v>100</v>
      </c>
    </row>
    <row r="6" spans="2:17">
      <c r="B6" s="71" t="s">
        <v>107</v>
      </c>
      <c r="C6" s="91">
        <v>87.9</v>
      </c>
      <c r="D6" s="92"/>
      <c r="E6" s="95">
        <v>0</v>
      </c>
      <c r="F6" s="72"/>
      <c r="G6" s="72"/>
      <c r="I6" s="10"/>
      <c r="J6" s="16"/>
      <c r="L6" s="10">
        <v>0</v>
      </c>
      <c r="M6" s="10"/>
      <c r="N6" s="16"/>
      <c r="P6" s="10" t="s">
        <v>661</v>
      </c>
      <c r="Q6" s="10">
        <v>0</v>
      </c>
    </row>
    <row r="7" spans="2:17" ht="15">
      <c r="B7" s="71" t="s">
        <v>690</v>
      </c>
      <c r="C7" s="91">
        <v>120</v>
      </c>
      <c r="D7" s="92"/>
      <c r="E7" s="95">
        <f>C7</f>
        <v>120</v>
      </c>
      <c r="F7" s="72"/>
      <c r="G7" s="72"/>
      <c r="I7" s="10"/>
      <c r="J7" s="16"/>
      <c r="L7" s="10">
        <v>0</v>
      </c>
      <c r="M7" s="10"/>
      <c r="N7" s="16"/>
      <c r="P7" s="10" t="s">
        <v>663</v>
      </c>
      <c r="Q7" s="168">
        <v>0</v>
      </c>
    </row>
    <row r="8" spans="2:17" ht="15">
      <c r="B8" s="71" t="s">
        <v>691</v>
      </c>
      <c r="C8" s="91">
        <v>339.4</v>
      </c>
      <c r="D8" s="92"/>
      <c r="E8" s="95">
        <v>0</v>
      </c>
      <c r="F8" s="72"/>
      <c r="G8" s="72"/>
      <c r="I8" s="10"/>
      <c r="J8" s="16"/>
      <c r="L8" s="10">
        <v>0</v>
      </c>
      <c r="M8" s="10" t="s">
        <v>692</v>
      </c>
      <c r="N8" s="16"/>
      <c r="P8" s="10" t="s">
        <v>664</v>
      </c>
      <c r="Q8" s="168">
        <v>0</v>
      </c>
    </row>
    <row r="9" spans="2:17">
      <c r="B9" s="71" t="s">
        <v>693</v>
      </c>
      <c r="C9" s="91">
        <f>150+220+560</f>
        <v>930</v>
      </c>
      <c r="D9" s="92"/>
      <c r="E9" s="95">
        <f>C9</f>
        <v>930</v>
      </c>
      <c r="F9" s="72"/>
      <c r="G9" s="72"/>
      <c r="I9" s="60">
        <f>SUM(I3:I8)</f>
        <v>-4475.87</v>
      </c>
      <c r="J9" s="160" t="s">
        <v>21</v>
      </c>
      <c r="L9" s="10">
        <v>0</v>
      </c>
      <c r="M9" s="10" t="s">
        <v>694</v>
      </c>
      <c r="N9" s="16"/>
      <c r="P9" s="9" t="s">
        <v>666</v>
      </c>
      <c r="Q9" s="10">
        <v>0</v>
      </c>
    </row>
    <row r="10" spans="2:17" ht="12.75" customHeight="1">
      <c r="B10" s="99" t="s">
        <v>418</v>
      </c>
      <c r="C10" s="96">
        <v>-1380.94</v>
      </c>
      <c r="D10" s="97"/>
      <c r="E10" s="63">
        <v>0</v>
      </c>
      <c r="F10" s="64"/>
      <c r="G10" s="64" t="s">
        <v>58</v>
      </c>
      <c r="I10" s="1"/>
      <c r="L10" s="10">
        <v>0</v>
      </c>
      <c r="M10" s="10" t="s">
        <v>695</v>
      </c>
      <c r="N10" s="16"/>
      <c r="P10" s="9" t="s">
        <v>667</v>
      </c>
      <c r="Q10" s="10">
        <v>0</v>
      </c>
    </row>
    <row r="11" spans="2:17">
      <c r="B11" s="99" t="s">
        <v>637</v>
      </c>
      <c r="C11" s="96">
        <v>-1853.56</v>
      </c>
      <c r="D11" s="97"/>
      <c r="E11" s="63">
        <v>0</v>
      </c>
      <c r="F11" s="64"/>
      <c r="G11" s="64" t="s">
        <v>58</v>
      </c>
      <c r="I11" s="52"/>
      <c r="L11" s="10">
        <v>4500</v>
      </c>
      <c r="M11" s="10" t="s">
        <v>679</v>
      </c>
      <c r="N11" s="16"/>
      <c r="P11" s="9" t="s">
        <v>669</v>
      </c>
      <c r="Q11" s="10">
        <v>0</v>
      </c>
    </row>
    <row r="12" spans="2:17">
      <c r="B12" s="99" t="s">
        <v>590</v>
      </c>
      <c r="C12" s="96">
        <v>966.66</v>
      </c>
      <c r="D12" s="97"/>
      <c r="E12" s="63">
        <v>0</v>
      </c>
      <c r="F12" s="64"/>
      <c r="G12" s="64" t="s">
        <v>58</v>
      </c>
      <c r="L12" s="10">
        <v>0</v>
      </c>
      <c r="M12" s="10"/>
      <c r="N12" s="16"/>
      <c r="P12" s="9" t="s">
        <v>671</v>
      </c>
      <c r="Q12" s="10">
        <v>0</v>
      </c>
    </row>
    <row r="13" spans="2:17">
      <c r="B13" s="99" t="s">
        <v>638</v>
      </c>
      <c r="C13" s="96">
        <v>1304.49</v>
      </c>
      <c r="D13" s="97"/>
      <c r="E13" s="63">
        <v>0</v>
      </c>
      <c r="F13" s="64"/>
      <c r="G13" s="64" t="s">
        <v>58</v>
      </c>
      <c r="L13" s="144">
        <f>SUM(L3:L12)</f>
        <v>24.130000000000109</v>
      </c>
      <c r="M13" s="144" t="s">
        <v>21</v>
      </c>
      <c r="N13" s="145"/>
      <c r="P13" s="9" t="s">
        <v>674</v>
      </c>
      <c r="Q13" s="10">
        <v>0</v>
      </c>
    </row>
    <row r="14" spans="2:17">
      <c r="B14" s="99" t="s">
        <v>65</v>
      </c>
      <c r="C14" s="96">
        <v>-200</v>
      </c>
      <c r="D14" s="97"/>
      <c r="E14" s="163">
        <f>C14</f>
        <v>-200</v>
      </c>
      <c r="F14" s="164"/>
      <c r="G14" s="164"/>
      <c r="P14" s="9" t="s">
        <v>676</v>
      </c>
      <c r="Q14" s="10">
        <v>1000</v>
      </c>
    </row>
    <row r="15" spans="2:17" ht="15">
      <c r="B15" s="99" t="s">
        <v>93</v>
      </c>
      <c r="C15" s="96">
        <v>-298.25</v>
      </c>
      <c r="D15" s="97"/>
      <c r="E15" s="63">
        <v>0</v>
      </c>
      <c r="F15" s="64"/>
      <c r="G15" s="64" t="s">
        <v>58</v>
      </c>
      <c r="P15" s="20" t="s">
        <v>678</v>
      </c>
      <c r="Q15" s="168">
        <v>2200</v>
      </c>
    </row>
    <row r="16" spans="2:17">
      <c r="B16" s="99" t="s">
        <v>610</v>
      </c>
      <c r="C16" s="96">
        <v>-4735.33</v>
      </c>
      <c r="D16" s="97"/>
      <c r="E16" s="63">
        <v>0</v>
      </c>
      <c r="F16" s="64"/>
      <c r="G16" s="64" t="s">
        <v>58</v>
      </c>
      <c r="P16" s="9" t="s">
        <v>680</v>
      </c>
      <c r="Q16" s="10">
        <v>2400</v>
      </c>
    </row>
    <row r="17" spans="2:24">
      <c r="B17" s="99" t="s">
        <v>103</v>
      </c>
      <c r="C17" s="96">
        <v>0</v>
      </c>
      <c r="D17" s="97"/>
      <c r="E17" s="63">
        <v>0</v>
      </c>
      <c r="F17" s="64"/>
      <c r="G17" s="64" t="s">
        <v>58</v>
      </c>
      <c r="P17" s="169" t="s">
        <v>681</v>
      </c>
      <c r="Q17" s="170">
        <f>-SUM(Q3:Q16)</f>
        <v>-5700</v>
      </c>
    </row>
    <row r="18" spans="2:24" ht="15.75">
      <c r="B18" s="99" t="s">
        <v>73</v>
      </c>
      <c r="C18" s="96">
        <v>-706.43</v>
      </c>
      <c r="D18" s="97"/>
      <c r="E18" s="63">
        <v>0</v>
      </c>
      <c r="F18" s="64"/>
      <c r="G18" s="64" t="s">
        <v>58</v>
      </c>
      <c r="H18" s="143"/>
      <c r="I18" s="221" t="s">
        <v>696</v>
      </c>
      <c r="J18" s="221" t="s">
        <v>1</v>
      </c>
      <c r="P18" s="9" t="s">
        <v>682</v>
      </c>
      <c r="Q18" s="10">
        <v>0</v>
      </c>
    </row>
    <row r="19" spans="2:24" ht="15">
      <c r="B19" s="99" t="s">
        <v>684</v>
      </c>
      <c r="C19" s="96">
        <v>-52.95</v>
      </c>
      <c r="D19" s="97"/>
      <c r="E19" s="63">
        <v>0</v>
      </c>
      <c r="F19" s="64"/>
      <c r="G19" s="64" t="s">
        <v>58</v>
      </c>
      <c r="I19" s="175" t="s">
        <v>697</v>
      </c>
      <c r="J19" s="95">
        <v>2271.15</v>
      </c>
      <c r="P19" s="9" t="s">
        <v>683</v>
      </c>
      <c r="Q19" s="10">
        <f>L13</f>
        <v>24.130000000000109</v>
      </c>
    </row>
    <row r="20" spans="2:24" ht="15">
      <c r="B20" s="99" t="s">
        <v>650</v>
      </c>
      <c r="C20" s="96">
        <v>-50</v>
      </c>
      <c r="D20" s="97"/>
      <c r="E20" s="63">
        <v>0</v>
      </c>
      <c r="F20" s="64"/>
      <c r="G20" s="64" t="s">
        <v>58</v>
      </c>
      <c r="I20" s="175" t="s">
        <v>698</v>
      </c>
      <c r="J20" s="95">
        <v>3666.34</v>
      </c>
      <c r="P20" s="171" t="s">
        <v>21</v>
      </c>
      <c r="Q20" s="172">
        <f>Q17+Q18+Q19</f>
        <v>-5675.87</v>
      </c>
    </row>
    <row r="21" spans="2:24" ht="15">
      <c r="B21" s="99" t="s">
        <v>41</v>
      </c>
      <c r="C21" s="96">
        <v>-67.87</v>
      </c>
      <c r="D21" s="97"/>
      <c r="E21" s="163">
        <f>C21</f>
        <v>-67.87</v>
      </c>
      <c r="F21" s="164"/>
      <c r="G21" s="164"/>
      <c r="I21" s="175" t="s">
        <v>699</v>
      </c>
      <c r="J21" s="95">
        <v>4000</v>
      </c>
    </row>
    <row r="22" spans="2:24" ht="15">
      <c r="B22" s="99" t="s">
        <v>685</v>
      </c>
      <c r="C22" s="96">
        <v>-56.2</v>
      </c>
      <c r="D22" s="97"/>
      <c r="E22" s="63">
        <v>0</v>
      </c>
      <c r="F22" s="64"/>
      <c r="G22" s="64" t="s">
        <v>58</v>
      </c>
      <c r="I22" s="175"/>
      <c r="J22" s="95"/>
    </row>
    <row r="23" spans="2:24" ht="15">
      <c r="B23" s="99" t="s">
        <v>77</v>
      </c>
      <c r="C23" s="96">
        <v>-86.29</v>
      </c>
      <c r="D23" s="97"/>
      <c r="E23" s="63">
        <v>0</v>
      </c>
      <c r="F23" s="64"/>
      <c r="G23" s="64" t="s">
        <v>58</v>
      </c>
      <c r="I23" s="175" t="s">
        <v>700</v>
      </c>
      <c r="J23" s="95">
        <v>-1790</v>
      </c>
    </row>
    <row r="24" spans="2:24" ht="15">
      <c r="B24" s="99" t="s">
        <v>374</v>
      </c>
      <c r="C24" s="96">
        <v>-250</v>
      </c>
      <c r="D24" s="97"/>
      <c r="E24" s="63">
        <v>0</v>
      </c>
      <c r="F24" s="64"/>
      <c r="G24" s="64" t="s">
        <v>58</v>
      </c>
      <c r="I24" s="175" t="s">
        <v>418</v>
      </c>
      <c r="J24" s="95">
        <v>-3244.5</v>
      </c>
      <c r="K24" s="1"/>
      <c r="R24" s="149"/>
      <c r="S24" s="146"/>
      <c r="T24" s="147"/>
      <c r="U24" s="148"/>
      <c r="W24" s="150"/>
      <c r="X24" s="151"/>
    </row>
    <row r="25" spans="2:24" ht="15">
      <c r="B25" s="99" t="s">
        <v>701</v>
      </c>
      <c r="C25" s="96">
        <v>-102</v>
      </c>
      <c r="D25" s="97"/>
      <c r="E25" s="163">
        <f>C25</f>
        <v>-102</v>
      </c>
      <c r="F25" s="164"/>
      <c r="G25" s="164"/>
      <c r="I25" s="175" t="s">
        <v>646</v>
      </c>
      <c r="J25" s="95">
        <f>E29</f>
        <v>-3257.15</v>
      </c>
      <c r="R25" s="152"/>
      <c r="S25" s="153"/>
      <c r="T25" s="154"/>
      <c r="U25" s="134"/>
      <c r="W25" s="155"/>
      <c r="X25" s="156"/>
    </row>
    <row r="26" spans="2:24" ht="15">
      <c r="B26" s="99" t="s">
        <v>702</v>
      </c>
      <c r="C26" s="96">
        <v>-29</v>
      </c>
      <c r="D26" s="97"/>
      <c r="E26" s="163">
        <f>C26</f>
        <v>-29</v>
      </c>
      <c r="F26" s="164"/>
      <c r="G26" s="164"/>
      <c r="I26" s="175"/>
      <c r="J26" s="95"/>
      <c r="R26" s="149"/>
      <c r="S26" s="146"/>
      <c r="T26" s="147"/>
      <c r="U26" s="148"/>
      <c r="W26" s="150"/>
      <c r="X26" s="151"/>
    </row>
    <row r="27" spans="2:24" ht="15">
      <c r="B27" s="99" t="s">
        <v>686</v>
      </c>
      <c r="C27" s="96">
        <v>-376.96</v>
      </c>
      <c r="D27" s="97"/>
      <c r="E27" s="63">
        <v>0</v>
      </c>
      <c r="F27" s="64"/>
      <c r="G27" s="64" t="s">
        <v>58</v>
      </c>
      <c r="I27" s="175" t="s">
        <v>45</v>
      </c>
      <c r="J27" s="95">
        <f>SUM(J19:J26)</f>
        <v>1645.8399999999997</v>
      </c>
    </row>
    <row r="28" spans="2:24">
      <c r="B28" s="176" t="s">
        <v>703</v>
      </c>
      <c r="C28" s="177">
        <v>-1180</v>
      </c>
      <c r="D28" s="178"/>
      <c r="E28" s="63">
        <v>0</v>
      </c>
      <c r="F28" s="64"/>
      <c r="G28" s="64" t="s">
        <v>58</v>
      </c>
      <c r="R28" s="152"/>
      <c r="S28" s="153"/>
      <c r="T28" s="154"/>
      <c r="U28" s="134"/>
      <c r="W28" s="155"/>
      <c r="X28" s="156"/>
    </row>
    <row r="29" spans="2:24" ht="18">
      <c r="B29" s="74" t="s">
        <v>45</v>
      </c>
      <c r="C29" s="101"/>
      <c r="D29" s="98"/>
      <c r="E29" s="129">
        <f>SUM(E3:E28)</f>
        <v>-3257.15</v>
      </c>
      <c r="F29" s="75"/>
      <c r="G29" s="75"/>
      <c r="R29" s="152"/>
      <c r="S29" s="153"/>
      <c r="T29" s="154"/>
      <c r="U29" s="134"/>
      <c r="W29" s="155"/>
      <c r="X29" s="156"/>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5.xml><?xml version="1.0" encoding="utf-8"?>
<worksheet xmlns="http://schemas.openxmlformats.org/spreadsheetml/2006/main" xmlns:r="http://schemas.openxmlformats.org/officeDocument/2006/relationships">
  <sheetPr>
    <pageSetUpPr autoPageBreaks="0"/>
  </sheetPr>
  <dimension ref="B1:X34"/>
  <sheetViews>
    <sheetView zoomScale="86" zoomScaleNormal="86" zoomScalePageLayoutView="86" workbookViewId="0">
      <selection activeCell="I18" activeCellId="1" sqref="G13 I18"/>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 min="16" max="16" width="30.140625" customWidth="1"/>
    <col min="17" max="17" width="18" customWidth="1"/>
  </cols>
  <sheetData>
    <row r="1" spans="2:17">
      <c r="E1" s="106"/>
    </row>
    <row r="2" spans="2:17" ht="18">
      <c r="B2" s="220" t="s">
        <v>135</v>
      </c>
      <c r="C2" s="220" t="s">
        <v>136</v>
      </c>
      <c r="D2" s="90"/>
      <c r="E2" s="220" t="s">
        <v>0</v>
      </c>
      <c r="F2" s="82" t="s">
        <v>1</v>
      </c>
      <c r="G2" s="82" t="s">
        <v>57</v>
      </c>
      <c r="I2" s="221" t="s">
        <v>48</v>
      </c>
      <c r="J2" s="221" t="s">
        <v>1</v>
      </c>
      <c r="L2" s="221" t="s">
        <v>651</v>
      </c>
      <c r="M2" s="221" t="s">
        <v>408</v>
      </c>
      <c r="N2" s="221" t="s">
        <v>1</v>
      </c>
      <c r="P2" s="167" t="s">
        <v>652</v>
      </c>
      <c r="Q2" s="167" t="s">
        <v>653</v>
      </c>
    </row>
    <row r="3" spans="2:17">
      <c r="B3" s="71" t="s">
        <v>11</v>
      </c>
      <c r="C3" s="91">
        <v>0</v>
      </c>
      <c r="D3" s="92"/>
      <c r="E3" s="95">
        <f>-100.62+105</f>
        <v>4.3799999999999955</v>
      </c>
      <c r="F3" s="61"/>
      <c r="G3" s="61"/>
      <c r="I3" s="10">
        <v>112.75</v>
      </c>
      <c r="J3" s="16"/>
      <c r="L3" s="10">
        <f>J27</f>
        <v>900.8</v>
      </c>
      <c r="M3" s="10" t="s">
        <v>654</v>
      </c>
      <c r="N3" s="16"/>
      <c r="P3" s="10" t="s">
        <v>655</v>
      </c>
      <c r="Q3" s="10">
        <v>0</v>
      </c>
    </row>
    <row r="4" spans="2:17" ht="12" customHeight="1">
      <c r="B4" s="71" t="s">
        <v>56</v>
      </c>
      <c r="C4" s="91">
        <v>0</v>
      </c>
      <c r="D4" s="92"/>
      <c r="E4" s="95">
        <v>-111.67</v>
      </c>
      <c r="F4" s="72"/>
      <c r="G4" s="72"/>
      <c r="I4" s="10">
        <v>0</v>
      </c>
      <c r="J4" s="16"/>
      <c r="L4" s="10">
        <v>0</v>
      </c>
      <c r="M4" s="10"/>
      <c r="N4" s="16"/>
      <c r="P4" s="10" t="s">
        <v>657</v>
      </c>
      <c r="Q4" s="10">
        <v>0</v>
      </c>
    </row>
    <row r="5" spans="2:17" ht="12" customHeight="1">
      <c r="B5" s="71" t="s">
        <v>5</v>
      </c>
      <c r="C5" s="91">
        <v>4000</v>
      </c>
      <c r="D5" s="92"/>
      <c r="E5" s="95">
        <v>0</v>
      </c>
      <c r="F5" s="72"/>
      <c r="G5" s="72"/>
      <c r="I5" s="10">
        <v>0</v>
      </c>
      <c r="J5" s="16"/>
      <c r="L5" s="10">
        <v>-1989.4628</v>
      </c>
      <c r="M5" s="10" t="s">
        <v>704</v>
      </c>
      <c r="N5" s="16"/>
      <c r="P5" s="10" t="s">
        <v>659</v>
      </c>
      <c r="Q5" s="10">
        <v>100</v>
      </c>
    </row>
    <row r="6" spans="2:17">
      <c r="B6" s="71" t="s">
        <v>705</v>
      </c>
      <c r="C6" s="91">
        <v>3666.34</v>
      </c>
      <c r="D6" s="92"/>
      <c r="E6" s="95">
        <v>0</v>
      </c>
      <c r="F6" s="72"/>
      <c r="G6" s="72"/>
      <c r="I6" s="10"/>
      <c r="J6" s="16"/>
      <c r="L6" s="10">
        <f>-403.56-41.8</f>
        <v>-445.36</v>
      </c>
      <c r="M6" s="10" t="s">
        <v>610</v>
      </c>
      <c r="N6" s="16"/>
      <c r="P6" s="10" t="s">
        <v>661</v>
      </c>
      <c r="Q6" s="10">
        <v>0</v>
      </c>
    </row>
    <row r="7" spans="2:17" ht="15">
      <c r="B7" s="71" t="s">
        <v>706</v>
      </c>
      <c r="C7" s="91">
        <v>120</v>
      </c>
      <c r="D7" s="92"/>
      <c r="E7" s="95">
        <v>0</v>
      </c>
      <c r="F7" s="72"/>
      <c r="G7" s="72"/>
      <c r="I7" s="10"/>
      <c r="J7" s="16"/>
      <c r="L7" s="10">
        <v>0</v>
      </c>
      <c r="M7" s="10"/>
      <c r="N7" s="16"/>
      <c r="P7" s="10" t="s">
        <v>663</v>
      </c>
      <c r="Q7" s="168">
        <v>0</v>
      </c>
    </row>
    <row r="8" spans="2:17" ht="15">
      <c r="B8" s="71" t="s">
        <v>691</v>
      </c>
      <c r="C8" s="91">
        <v>339.4</v>
      </c>
      <c r="D8" s="92"/>
      <c r="E8" s="95">
        <v>0</v>
      </c>
      <c r="F8" s="72"/>
      <c r="G8" s="72"/>
      <c r="I8" s="10"/>
      <c r="J8" s="16"/>
      <c r="L8" s="10">
        <v>0</v>
      </c>
      <c r="M8" s="10"/>
      <c r="N8" s="16"/>
      <c r="P8" s="10" t="s">
        <v>664</v>
      </c>
      <c r="Q8" s="168">
        <v>0</v>
      </c>
    </row>
    <row r="9" spans="2:17">
      <c r="B9" s="71" t="s">
        <v>693</v>
      </c>
      <c r="C9" s="91">
        <f>150+560</f>
        <v>710</v>
      </c>
      <c r="D9" s="92"/>
      <c r="E9" s="95">
        <v>0</v>
      </c>
      <c r="F9" s="72"/>
      <c r="G9" s="72"/>
      <c r="I9" s="60">
        <f>SUM(I3:I8)</f>
        <v>112.75</v>
      </c>
      <c r="J9" s="160" t="s">
        <v>21</v>
      </c>
      <c r="L9" s="10">
        <v>0</v>
      </c>
      <c r="M9" s="10"/>
      <c r="N9" s="16"/>
      <c r="P9" s="9" t="s">
        <v>666</v>
      </c>
      <c r="Q9" s="10">
        <v>0</v>
      </c>
    </row>
    <row r="10" spans="2:17" ht="12.75" customHeight="1">
      <c r="B10" s="71" t="s">
        <v>693</v>
      </c>
      <c r="C10" s="91">
        <v>220</v>
      </c>
      <c r="D10" s="92"/>
      <c r="E10" s="95">
        <v>0</v>
      </c>
      <c r="F10" s="72"/>
      <c r="G10" s="72"/>
      <c r="I10" s="1"/>
      <c r="L10" s="10">
        <v>0</v>
      </c>
      <c r="M10" s="10"/>
      <c r="N10" s="16"/>
      <c r="P10" s="9" t="s">
        <v>667</v>
      </c>
      <c r="Q10" s="10">
        <v>0</v>
      </c>
    </row>
    <row r="11" spans="2:17">
      <c r="B11" s="99" t="s">
        <v>418</v>
      </c>
      <c r="C11" s="96">
        <v>-1380.94</v>
      </c>
      <c r="D11" s="97"/>
      <c r="E11" s="63">
        <v>0</v>
      </c>
      <c r="F11" s="64"/>
      <c r="G11" s="64" t="s">
        <v>58</v>
      </c>
      <c r="I11" s="52"/>
      <c r="L11" s="10">
        <v>0</v>
      </c>
      <c r="M11" s="10"/>
      <c r="N11" s="16"/>
      <c r="P11" s="9" t="s">
        <v>669</v>
      </c>
      <c r="Q11" s="10">
        <v>0</v>
      </c>
    </row>
    <row r="12" spans="2:17">
      <c r="B12" s="99" t="s">
        <v>637</v>
      </c>
      <c r="C12" s="96">
        <v>-1853.56</v>
      </c>
      <c r="D12" s="97"/>
      <c r="E12" s="63">
        <v>0</v>
      </c>
      <c r="F12" s="64"/>
      <c r="G12" s="64" t="s">
        <v>58</v>
      </c>
      <c r="L12" s="10">
        <v>0</v>
      </c>
      <c r="M12" s="10"/>
      <c r="N12" s="16"/>
      <c r="P12" s="9" t="s">
        <v>671</v>
      </c>
      <c r="Q12" s="10">
        <v>0</v>
      </c>
    </row>
    <row r="13" spans="2:17">
      <c r="B13" s="99" t="s">
        <v>590</v>
      </c>
      <c r="C13" s="96">
        <v>966.66</v>
      </c>
      <c r="D13" s="97"/>
      <c r="E13" s="63">
        <v>0</v>
      </c>
      <c r="F13" s="64"/>
      <c r="G13" s="64" t="s">
        <v>58</v>
      </c>
      <c r="L13" s="144">
        <f>SUM(L3:L12)</f>
        <v>-1534.0228000000002</v>
      </c>
      <c r="M13" s="144" t="s">
        <v>21</v>
      </c>
      <c r="N13" s="145"/>
      <c r="P13" s="9" t="s">
        <v>674</v>
      </c>
      <c r="Q13" s="10">
        <v>0</v>
      </c>
    </row>
    <row r="14" spans="2:17">
      <c r="B14" s="99" t="s">
        <v>638</v>
      </c>
      <c r="C14" s="96">
        <v>1304.49</v>
      </c>
      <c r="D14" s="97"/>
      <c r="E14" s="63">
        <v>0</v>
      </c>
      <c r="F14" s="64"/>
      <c r="G14" s="64" t="s">
        <v>58</v>
      </c>
      <c r="P14" s="9" t="s">
        <v>676</v>
      </c>
      <c r="Q14" s="10">
        <v>1000</v>
      </c>
    </row>
    <row r="15" spans="2:17" ht="15">
      <c r="B15" s="99" t="s">
        <v>65</v>
      </c>
      <c r="C15" s="96">
        <v>-200</v>
      </c>
      <c r="D15" s="97"/>
      <c r="E15" s="63">
        <v>0</v>
      </c>
      <c r="F15" s="64"/>
      <c r="G15" s="64" t="s">
        <v>58</v>
      </c>
      <c r="P15" s="20" t="s">
        <v>678</v>
      </c>
      <c r="Q15" s="168">
        <v>2200</v>
      </c>
    </row>
    <row r="16" spans="2:17">
      <c r="B16" s="99" t="s">
        <v>93</v>
      </c>
      <c r="C16" s="96">
        <v>-135.69999999999999</v>
      </c>
      <c r="D16" s="97"/>
      <c r="E16" s="63">
        <v>0</v>
      </c>
      <c r="F16" s="64"/>
      <c r="G16" s="64" t="s">
        <v>58</v>
      </c>
      <c r="P16" s="9" t="s">
        <v>680</v>
      </c>
      <c r="Q16" s="10">
        <v>2400</v>
      </c>
    </row>
    <row r="17" spans="2:24">
      <c r="B17" s="99" t="s">
        <v>610</v>
      </c>
      <c r="C17" s="96">
        <v>-898.9</v>
      </c>
      <c r="D17" s="97"/>
      <c r="E17" s="63">
        <v>0</v>
      </c>
      <c r="F17" s="64"/>
      <c r="G17" s="64" t="s">
        <v>58</v>
      </c>
      <c r="P17" s="169" t="s">
        <v>681</v>
      </c>
      <c r="Q17" s="170">
        <f>-SUM(Q3:Q16)</f>
        <v>-5700</v>
      </c>
    </row>
    <row r="18" spans="2:24" ht="15.75">
      <c r="B18" s="99" t="s">
        <v>103</v>
      </c>
      <c r="C18" s="96">
        <v>-38.6</v>
      </c>
      <c r="D18" s="97"/>
      <c r="E18" s="63">
        <v>0</v>
      </c>
      <c r="F18" s="64"/>
      <c r="G18" s="64" t="s">
        <v>58</v>
      </c>
      <c r="H18" s="143"/>
      <c r="I18" s="221" t="s">
        <v>707</v>
      </c>
      <c r="J18" s="221" t="s">
        <v>1</v>
      </c>
      <c r="P18" s="9" t="s">
        <v>682</v>
      </c>
      <c r="Q18" s="10">
        <v>0</v>
      </c>
    </row>
    <row r="19" spans="2:24" ht="15">
      <c r="B19" s="99" t="s">
        <v>73</v>
      </c>
      <c r="C19" s="96">
        <v>-362.35</v>
      </c>
      <c r="D19" s="97"/>
      <c r="E19" s="63">
        <v>0</v>
      </c>
      <c r="F19" s="64"/>
      <c r="G19" s="64" t="s">
        <v>58</v>
      </c>
      <c r="I19" s="175" t="s">
        <v>708</v>
      </c>
      <c r="J19" s="95">
        <v>900.8</v>
      </c>
      <c r="P19" s="9" t="s">
        <v>683</v>
      </c>
      <c r="Q19" s="10">
        <f>L13</f>
        <v>-1534.0228000000002</v>
      </c>
    </row>
    <row r="20" spans="2:24" ht="15">
      <c r="B20" s="99" t="s">
        <v>684</v>
      </c>
      <c r="C20" s="96">
        <v>-52.95</v>
      </c>
      <c r="D20" s="97"/>
      <c r="E20" s="63">
        <v>0</v>
      </c>
      <c r="F20" s="64"/>
      <c r="G20" s="64" t="s">
        <v>58</v>
      </c>
      <c r="I20" s="175"/>
      <c r="J20" s="95"/>
      <c r="P20" s="171" t="s">
        <v>21</v>
      </c>
      <c r="Q20" s="172">
        <f>Q17+Q18+Q19</f>
        <v>-7234.0228000000006</v>
      </c>
    </row>
    <row r="21" spans="2:24" ht="15">
      <c r="B21" s="99" t="s">
        <v>709</v>
      </c>
      <c r="C21" s="96">
        <v>-67.87</v>
      </c>
      <c r="D21" s="97"/>
      <c r="E21" s="63">
        <v>0</v>
      </c>
      <c r="F21" s="64"/>
      <c r="G21" s="64" t="s">
        <v>58</v>
      </c>
      <c r="I21" s="175"/>
      <c r="J21" s="95"/>
    </row>
    <row r="22" spans="2:24" ht="15">
      <c r="B22" s="99" t="s">
        <v>710</v>
      </c>
      <c r="C22" s="96">
        <v>-57.62</v>
      </c>
      <c r="D22" s="97"/>
      <c r="E22" s="63">
        <v>0</v>
      </c>
      <c r="F22" s="64"/>
      <c r="G22" s="64" t="s">
        <v>58</v>
      </c>
      <c r="I22" s="175"/>
      <c r="J22" s="95"/>
    </row>
    <row r="23" spans="2:24" ht="15">
      <c r="B23" s="99" t="s">
        <v>711</v>
      </c>
      <c r="C23" s="96">
        <v>-43.24</v>
      </c>
      <c r="D23" s="97"/>
      <c r="E23" s="63">
        <v>0</v>
      </c>
      <c r="F23" s="64"/>
      <c r="G23" s="64" t="s">
        <v>58</v>
      </c>
      <c r="I23" s="175"/>
      <c r="J23" s="95"/>
    </row>
    <row r="24" spans="2:24" ht="15">
      <c r="B24" s="99" t="s">
        <v>77</v>
      </c>
      <c r="C24" s="96">
        <v>-200</v>
      </c>
      <c r="D24" s="97"/>
      <c r="E24" s="63">
        <v>0</v>
      </c>
      <c r="F24" s="64"/>
      <c r="G24" s="64" t="s">
        <v>58</v>
      </c>
      <c r="I24" s="175"/>
      <c r="J24" s="95"/>
      <c r="K24" s="1"/>
      <c r="R24" s="149"/>
      <c r="S24" s="146"/>
      <c r="T24" s="147"/>
      <c r="U24" s="148"/>
      <c r="W24" s="150"/>
      <c r="X24" s="151"/>
    </row>
    <row r="25" spans="2:24" ht="15">
      <c r="B25" s="99" t="s">
        <v>712</v>
      </c>
      <c r="C25" s="96">
        <v>-102</v>
      </c>
      <c r="D25" s="97"/>
      <c r="E25" s="63">
        <v>0</v>
      </c>
      <c r="F25" s="64"/>
      <c r="G25" s="64" t="s">
        <v>58</v>
      </c>
      <c r="I25" s="175"/>
      <c r="J25" s="95"/>
      <c r="R25" s="152"/>
      <c r="S25" s="153"/>
      <c r="T25" s="154"/>
      <c r="U25" s="134"/>
      <c r="W25" s="155"/>
      <c r="X25" s="156"/>
    </row>
    <row r="26" spans="2:24" ht="15">
      <c r="B26" s="99" t="s">
        <v>686</v>
      </c>
      <c r="C26" s="96">
        <v>-376.96</v>
      </c>
      <c r="D26" s="97"/>
      <c r="E26" s="63">
        <v>0</v>
      </c>
      <c r="F26" s="64"/>
      <c r="G26" s="64" t="s">
        <v>58</v>
      </c>
      <c r="I26" s="175"/>
      <c r="J26" s="95"/>
      <c r="R26" s="149"/>
      <c r="S26" s="146"/>
      <c r="T26" s="147"/>
      <c r="U26" s="148"/>
      <c r="W26" s="150"/>
      <c r="X26" s="151"/>
    </row>
    <row r="27" spans="2:24" ht="15">
      <c r="B27" s="99" t="s">
        <v>713</v>
      </c>
      <c r="C27" s="96">
        <v>-100</v>
      </c>
      <c r="D27" s="97"/>
      <c r="E27" s="63">
        <v>0</v>
      </c>
      <c r="F27" s="64"/>
      <c r="G27" s="64" t="s">
        <v>58</v>
      </c>
      <c r="I27" s="175" t="s">
        <v>45</v>
      </c>
      <c r="J27" s="95">
        <f>SUM(J19:J26)</f>
        <v>900.8</v>
      </c>
    </row>
    <row r="28" spans="2:24">
      <c r="B28" s="176" t="s">
        <v>700</v>
      </c>
      <c r="C28" s="177">
        <f>-1000*1.79</f>
        <v>-1790</v>
      </c>
      <c r="D28" s="178"/>
      <c r="E28" s="63">
        <v>0</v>
      </c>
      <c r="F28" s="64"/>
      <c r="G28" s="64" t="s">
        <v>58</v>
      </c>
      <c r="R28" s="152"/>
      <c r="S28" s="153"/>
      <c r="T28" s="154"/>
      <c r="U28" s="134"/>
      <c r="W28" s="155"/>
      <c r="X28" s="156"/>
    </row>
    <row r="29" spans="2:24">
      <c r="B29" s="99" t="s">
        <v>702</v>
      </c>
      <c r="C29" s="96">
        <v>-29.46</v>
      </c>
      <c r="D29" s="97"/>
      <c r="E29" s="63">
        <v>0</v>
      </c>
      <c r="F29" s="64"/>
      <c r="G29" s="64" t="s">
        <v>58</v>
      </c>
      <c r="R29" s="152"/>
      <c r="S29" s="153"/>
      <c r="T29" s="154"/>
      <c r="U29" s="134"/>
      <c r="W29" s="155"/>
      <c r="X29" s="156"/>
    </row>
    <row r="30" spans="2:24">
      <c r="B30" s="99" t="s">
        <v>714</v>
      </c>
      <c r="C30" s="96">
        <f>-128.38-38.26</f>
        <v>-166.64</v>
      </c>
      <c r="D30" s="97"/>
      <c r="E30" s="63">
        <v>0</v>
      </c>
      <c r="F30" s="64"/>
      <c r="G30" s="64" t="s">
        <v>58</v>
      </c>
    </row>
    <row r="31" spans="2:24">
      <c r="B31" s="99" t="s">
        <v>715</v>
      </c>
      <c r="C31" s="96">
        <v>750</v>
      </c>
      <c r="D31" s="97"/>
      <c r="E31" s="63">
        <v>0</v>
      </c>
      <c r="F31" s="64"/>
      <c r="G31" s="64" t="s">
        <v>58</v>
      </c>
    </row>
    <row r="32" spans="2:24">
      <c r="B32" s="99" t="s">
        <v>716</v>
      </c>
      <c r="C32" s="96">
        <f>700*1.8</f>
        <v>1260</v>
      </c>
      <c r="D32" s="97"/>
      <c r="E32" s="63">
        <v>0</v>
      </c>
      <c r="F32" s="64"/>
      <c r="G32" s="64" t="s">
        <v>58</v>
      </c>
    </row>
    <row r="33" spans="2:7">
      <c r="B33" s="99" t="s">
        <v>102</v>
      </c>
      <c r="C33" s="96">
        <f>-128.38-38.26</f>
        <v>-166.64</v>
      </c>
      <c r="D33" s="97"/>
      <c r="E33" s="63">
        <v>0</v>
      </c>
      <c r="F33" s="64"/>
      <c r="G33" s="64" t="s">
        <v>58</v>
      </c>
    </row>
    <row r="34" spans="2:7" ht="18">
      <c r="B34" s="74" t="s">
        <v>45</v>
      </c>
      <c r="C34" s="101"/>
      <c r="D34" s="98"/>
      <c r="E34" s="129">
        <f>SUM(E3:E33)</f>
        <v>-107.29</v>
      </c>
      <c r="F34" s="75"/>
      <c r="G34"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6.xml><?xml version="1.0" encoding="utf-8"?>
<worksheet xmlns="http://schemas.openxmlformats.org/spreadsheetml/2006/main" xmlns:r="http://schemas.openxmlformats.org/officeDocument/2006/relationships">
  <sheetPr>
    <pageSetUpPr autoPageBreaks="0"/>
  </sheetPr>
  <dimension ref="B1:V26"/>
  <sheetViews>
    <sheetView zoomScale="86" zoomScaleNormal="86" zoomScalePageLayoutView="86" workbookViewId="0">
      <selection activeCell="E9" activeCellId="1" sqref="G13 E9"/>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s>
  <sheetData>
    <row r="1" spans="2:14">
      <c r="E1" s="106"/>
    </row>
    <row r="2" spans="2:14" ht="18">
      <c r="B2" s="220" t="s">
        <v>135</v>
      </c>
      <c r="C2" s="220" t="s">
        <v>136</v>
      </c>
      <c r="D2" s="90"/>
      <c r="E2" s="220" t="s">
        <v>0</v>
      </c>
      <c r="F2" s="82" t="s">
        <v>1</v>
      </c>
      <c r="G2" s="82" t="s">
        <v>57</v>
      </c>
      <c r="I2" s="221" t="s">
        <v>48</v>
      </c>
      <c r="J2" s="221" t="s">
        <v>1</v>
      </c>
      <c r="L2" s="221" t="s">
        <v>717</v>
      </c>
      <c r="M2" s="221" t="s">
        <v>408</v>
      </c>
      <c r="N2" s="221" t="s">
        <v>1</v>
      </c>
    </row>
    <row r="3" spans="2:14">
      <c r="B3" s="71" t="s">
        <v>11</v>
      </c>
      <c r="C3" s="91">
        <v>0</v>
      </c>
      <c r="D3" s="92"/>
      <c r="E3" s="95">
        <v>18.579999999999998</v>
      </c>
      <c r="F3" s="61"/>
      <c r="G3" s="61"/>
      <c r="I3" s="10">
        <v>0</v>
      </c>
      <c r="J3" s="16"/>
      <c r="L3" s="10">
        <v>4938.41</v>
      </c>
      <c r="M3" s="10" t="s">
        <v>592</v>
      </c>
      <c r="N3" s="16"/>
    </row>
    <row r="4" spans="2:14" ht="12" customHeight="1">
      <c r="B4" s="71" t="s">
        <v>56</v>
      </c>
      <c r="C4" s="91">
        <v>0</v>
      </c>
      <c r="D4" s="92"/>
      <c r="E4" s="95">
        <v>-70.67</v>
      </c>
      <c r="F4" s="72"/>
      <c r="G4" s="72"/>
      <c r="I4" s="10">
        <v>0</v>
      </c>
      <c r="J4" s="16"/>
      <c r="L4" s="10">
        <v>0</v>
      </c>
      <c r="M4" s="10" t="s">
        <v>718</v>
      </c>
      <c r="N4" s="16"/>
    </row>
    <row r="5" spans="2:14" ht="12" customHeight="1">
      <c r="B5" s="71" t="s">
        <v>5</v>
      </c>
      <c r="C5" s="91">
        <v>3499</v>
      </c>
      <c r="D5" s="92"/>
      <c r="E5" s="95">
        <v>0</v>
      </c>
      <c r="F5" s="72"/>
      <c r="G5" s="72"/>
      <c r="I5" s="10">
        <v>0</v>
      </c>
      <c r="J5" s="16"/>
      <c r="L5" s="10">
        <v>-1473.8</v>
      </c>
      <c r="M5" s="10" t="s">
        <v>719</v>
      </c>
      <c r="N5" s="16"/>
    </row>
    <row r="6" spans="2:14">
      <c r="B6" s="71" t="s">
        <v>81</v>
      </c>
      <c r="C6" s="91">
        <v>84</v>
      </c>
      <c r="D6" s="92"/>
      <c r="E6" s="95">
        <v>0</v>
      </c>
      <c r="F6" s="72"/>
      <c r="G6" s="72"/>
      <c r="I6" s="10"/>
      <c r="J6" s="16"/>
      <c r="L6" s="10">
        <v>0</v>
      </c>
      <c r="M6" s="10" t="s">
        <v>720</v>
      </c>
      <c r="N6" s="16"/>
    </row>
    <row r="7" spans="2:14">
      <c r="B7" s="71" t="s">
        <v>81</v>
      </c>
      <c r="C7" s="91">
        <v>120</v>
      </c>
      <c r="D7" s="92"/>
      <c r="E7" s="95">
        <f>C7</f>
        <v>120</v>
      </c>
      <c r="F7" s="72"/>
      <c r="G7" s="72"/>
      <c r="I7" s="10"/>
      <c r="J7" s="16"/>
      <c r="L7" s="10">
        <v>80</v>
      </c>
      <c r="M7" s="10" t="s">
        <v>721</v>
      </c>
      <c r="N7" s="16"/>
    </row>
    <row r="8" spans="2:14">
      <c r="B8" s="71" t="s">
        <v>722</v>
      </c>
      <c r="C8" s="91">
        <v>1850.26</v>
      </c>
      <c r="D8" s="92"/>
      <c r="E8" s="95">
        <v>0</v>
      </c>
      <c r="F8" s="72"/>
      <c r="G8" s="72"/>
      <c r="I8" s="10"/>
      <c r="J8" s="16"/>
      <c r="L8" s="10">
        <v>78</v>
      </c>
      <c r="M8" s="10" t="s">
        <v>723</v>
      </c>
      <c r="N8" s="16"/>
    </row>
    <row r="9" spans="2:14">
      <c r="B9" s="99" t="s">
        <v>418</v>
      </c>
      <c r="C9" s="96">
        <v>-1380.94</v>
      </c>
      <c r="D9" s="97"/>
      <c r="E9" s="63">
        <v>0</v>
      </c>
      <c r="F9" s="64"/>
      <c r="G9" s="64" t="s">
        <v>58</v>
      </c>
      <c r="I9" s="60">
        <f>SUM(I3:I8)</f>
        <v>0</v>
      </c>
      <c r="J9" s="160" t="s">
        <v>21</v>
      </c>
      <c r="L9" s="10">
        <v>0</v>
      </c>
      <c r="M9" s="10" t="s">
        <v>699</v>
      </c>
      <c r="N9" s="16"/>
    </row>
    <row r="10" spans="2:14" ht="12.75" customHeight="1">
      <c r="B10" s="99" t="s">
        <v>637</v>
      </c>
      <c r="C10" s="96">
        <v>-1853.56</v>
      </c>
      <c r="D10" s="97"/>
      <c r="E10" s="63">
        <v>0</v>
      </c>
      <c r="F10" s="64"/>
      <c r="G10" s="64" t="s">
        <v>58</v>
      </c>
      <c r="I10" s="1"/>
      <c r="L10" s="10">
        <v>-3000</v>
      </c>
      <c r="M10" s="10" t="s">
        <v>692</v>
      </c>
      <c r="N10" s="16"/>
    </row>
    <row r="11" spans="2:14">
      <c r="B11" s="99" t="s">
        <v>590</v>
      </c>
      <c r="C11" s="96">
        <v>966.66</v>
      </c>
      <c r="D11" s="97"/>
      <c r="E11" s="63">
        <v>0</v>
      </c>
      <c r="F11" s="64"/>
      <c r="G11" s="64" t="s">
        <v>58</v>
      </c>
      <c r="I11" s="52"/>
      <c r="L11" s="10">
        <v>-200</v>
      </c>
      <c r="M11" s="10" t="s">
        <v>724</v>
      </c>
      <c r="N11" s="16"/>
    </row>
    <row r="12" spans="2:14">
      <c r="B12" s="99" t="s">
        <v>638</v>
      </c>
      <c r="C12" s="96">
        <v>1304.49</v>
      </c>
      <c r="D12" s="97"/>
      <c r="E12" s="63">
        <v>0</v>
      </c>
      <c r="F12" s="64"/>
      <c r="G12" s="64" t="s">
        <v>58</v>
      </c>
      <c r="L12" s="10">
        <v>-70</v>
      </c>
      <c r="M12" s="10" t="s">
        <v>725</v>
      </c>
      <c r="N12" s="16"/>
    </row>
    <row r="13" spans="2:14">
      <c r="B13" s="99" t="s">
        <v>65</v>
      </c>
      <c r="C13" s="96">
        <v>-300</v>
      </c>
      <c r="D13" s="97"/>
      <c r="E13" s="63">
        <v>0</v>
      </c>
      <c r="F13" s="64"/>
      <c r="G13" s="64" t="s">
        <v>58</v>
      </c>
      <c r="L13" s="10">
        <v>0</v>
      </c>
      <c r="M13" s="10" t="s">
        <v>726</v>
      </c>
      <c r="N13" s="16"/>
    </row>
    <row r="14" spans="2:14">
      <c r="B14" s="99" t="s">
        <v>93</v>
      </c>
      <c r="C14" s="96">
        <v>-15.5</v>
      </c>
      <c r="D14" s="97"/>
      <c r="E14" s="63">
        <v>0</v>
      </c>
      <c r="F14" s="64"/>
      <c r="G14" s="64" t="s">
        <v>58</v>
      </c>
      <c r="L14" s="10">
        <v>0</v>
      </c>
      <c r="M14" s="10" t="s">
        <v>727</v>
      </c>
      <c r="N14" s="16"/>
    </row>
    <row r="15" spans="2:14">
      <c r="B15" s="99" t="s">
        <v>610</v>
      </c>
      <c r="C15" s="96">
        <v>-549.76</v>
      </c>
      <c r="D15" s="97"/>
      <c r="E15" s="63">
        <v>0</v>
      </c>
      <c r="F15" s="64"/>
      <c r="G15" s="64" t="s">
        <v>58</v>
      </c>
      <c r="L15" s="144">
        <f>SUM(L3:L14)</f>
        <v>352.60999999999967</v>
      </c>
      <c r="M15" s="144" t="s">
        <v>21</v>
      </c>
      <c r="N15" s="145"/>
    </row>
    <row r="16" spans="2:14">
      <c r="B16" s="99" t="s">
        <v>103</v>
      </c>
      <c r="C16" s="96">
        <v>-2024.42</v>
      </c>
      <c r="D16" s="97"/>
      <c r="E16" s="63">
        <v>0</v>
      </c>
      <c r="F16" s="64"/>
      <c r="G16" s="64" t="s">
        <v>58</v>
      </c>
    </row>
    <row r="17" spans="2:22">
      <c r="B17" s="99" t="s">
        <v>73</v>
      </c>
      <c r="C17" s="96">
        <v>-289.39</v>
      </c>
      <c r="D17" s="97"/>
      <c r="E17" s="63">
        <v>0</v>
      </c>
      <c r="F17" s="64"/>
      <c r="G17" s="64" t="s">
        <v>58</v>
      </c>
      <c r="L17" s="1">
        <v>90</v>
      </c>
    </row>
    <row r="18" spans="2:22">
      <c r="B18" s="99" t="s">
        <v>684</v>
      </c>
      <c r="C18" s="96">
        <v>-52.95</v>
      </c>
      <c r="D18" s="97"/>
      <c r="E18" s="63">
        <v>0</v>
      </c>
      <c r="F18" s="64"/>
      <c r="G18" s="64" t="s">
        <v>58</v>
      </c>
      <c r="H18" s="143"/>
    </row>
    <row r="19" spans="2:22">
      <c r="B19" s="99" t="s">
        <v>709</v>
      </c>
      <c r="C19" s="96">
        <v>-55.17</v>
      </c>
      <c r="D19" s="97"/>
      <c r="E19" s="63">
        <v>0</v>
      </c>
      <c r="F19" s="64"/>
      <c r="G19" s="64" t="s">
        <v>58</v>
      </c>
    </row>
    <row r="20" spans="2:22">
      <c r="B20" s="99" t="s">
        <v>77</v>
      </c>
      <c r="C20" s="96">
        <v>-165.25</v>
      </c>
      <c r="D20" s="97"/>
      <c r="E20" s="63">
        <v>0</v>
      </c>
      <c r="F20" s="64"/>
      <c r="G20" s="64" t="s">
        <v>58</v>
      </c>
    </row>
    <row r="21" spans="2:22">
      <c r="B21" s="99" t="s">
        <v>728</v>
      </c>
      <c r="C21" s="96">
        <v>-66.5</v>
      </c>
      <c r="D21" s="97"/>
      <c r="E21" s="63">
        <v>0</v>
      </c>
      <c r="F21" s="64"/>
      <c r="G21" s="64" t="s">
        <v>58</v>
      </c>
    </row>
    <row r="22" spans="2:22">
      <c r="B22" s="99" t="s">
        <v>686</v>
      </c>
      <c r="C22" s="96">
        <v>-515.49</v>
      </c>
      <c r="D22" s="97"/>
      <c r="E22" s="63">
        <v>0</v>
      </c>
      <c r="F22" s="64"/>
      <c r="G22" s="64" t="s">
        <v>58</v>
      </c>
    </row>
    <row r="23" spans="2:22">
      <c r="B23" s="99" t="s">
        <v>713</v>
      </c>
      <c r="C23" s="96">
        <v>0</v>
      </c>
      <c r="D23" s="97"/>
      <c r="E23" s="63">
        <v>0</v>
      </c>
      <c r="F23" s="64"/>
      <c r="G23" s="64" t="s">
        <v>58</v>
      </c>
    </row>
    <row r="24" spans="2:22" ht="18">
      <c r="B24" s="74" t="s">
        <v>45</v>
      </c>
      <c r="C24" s="101"/>
      <c r="D24" s="98"/>
      <c r="E24" s="129">
        <f>SUM(E3:E23)</f>
        <v>67.91</v>
      </c>
      <c r="F24" s="75"/>
      <c r="G24" s="75"/>
      <c r="K24" s="1"/>
      <c r="P24" s="149"/>
      <c r="Q24" s="146"/>
      <c r="R24" s="147"/>
      <c r="S24" s="148"/>
      <c r="U24" s="150"/>
      <c r="V24" s="151"/>
    </row>
    <row r="25" spans="2:22">
      <c r="C25" s="1"/>
      <c r="D25" s="1"/>
      <c r="E25" s="1"/>
      <c r="P25" s="152"/>
      <c r="Q25" s="153"/>
      <c r="R25" s="154"/>
      <c r="S25" s="134"/>
      <c r="U25" s="155"/>
      <c r="V25" s="156"/>
    </row>
    <row r="26" spans="2:22">
      <c r="P26" s="149"/>
      <c r="Q26" s="146"/>
      <c r="R26" s="147"/>
      <c r="S26" s="148"/>
      <c r="U26" s="150"/>
      <c r="V26" s="151"/>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7.xml><?xml version="1.0" encoding="utf-8"?>
<worksheet xmlns="http://schemas.openxmlformats.org/spreadsheetml/2006/main" xmlns:r="http://schemas.openxmlformats.org/officeDocument/2006/relationships">
  <sheetPr>
    <pageSetUpPr autoPageBreaks="0"/>
  </sheetPr>
  <dimension ref="B1:V31"/>
  <sheetViews>
    <sheetView zoomScale="86" zoomScaleNormal="86" zoomScalePageLayoutView="86" workbookViewId="0">
      <selection activeCell="E9" activeCellId="1" sqref="G13 E9"/>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s>
  <sheetData>
    <row r="1" spans="2:14">
      <c r="E1" s="106"/>
    </row>
    <row r="2" spans="2:14" ht="18">
      <c r="B2" s="220" t="s">
        <v>135</v>
      </c>
      <c r="C2" s="220" t="s">
        <v>136</v>
      </c>
      <c r="D2" s="90"/>
      <c r="E2" s="220" t="s">
        <v>0</v>
      </c>
      <c r="F2" s="82" t="s">
        <v>1</v>
      </c>
      <c r="G2" s="82" t="s">
        <v>57</v>
      </c>
      <c r="I2" s="221" t="s">
        <v>48</v>
      </c>
      <c r="J2" s="221" t="s">
        <v>1</v>
      </c>
      <c r="L2" s="221" t="s">
        <v>717</v>
      </c>
      <c r="M2" s="221" t="s">
        <v>408</v>
      </c>
      <c r="N2" s="221" t="s">
        <v>1</v>
      </c>
    </row>
    <row r="3" spans="2:14">
      <c r="B3" s="71" t="s">
        <v>11</v>
      </c>
      <c r="C3" s="91">
        <v>0</v>
      </c>
      <c r="D3" s="92"/>
      <c r="E3" s="95">
        <v>10.73</v>
      </c>
      <c r="F3" s="61"/>
      <c r="G3" s="61"/>
      <c r="I3" s="10">
        <v>0</v>
      </c>
      <c r="J3" s="16"/>
      <c r="L3" s="10">
        <v>-47</v>
      </c>
      <c r="M3" s="10" t="s">
        <v>729</v>
      </c>
      <c r="N3" s="16"/>
    </row>
    <row r="4" spans="2:14" ht="12" customHeight="1">
      <c r="B4" s="71" t="s">
        <v>56</v>
      </c>
      <c r="C4" s="91">
        <v>0</v>
      </c>
      <c r="D4" s="92"/>
      <c r="E4" s="95">
        <v>311.73</v>
      </c>
      <c r="F4" s="72"/>
      <c r="G4" s="72"/>
      <c r="I4" s="10">
        <v>0</v>
      </c>
      <c r="J4" s="16"/>
      <c r="L4" s="10">
        <v>-70</v>
      </c>
      <c r="M4" s="10" t="s">
        <v>730</v>
      </c>
      <c r="N4" s="16"/>
    </row>
    <row r="5" spans="2:14" ht="12" customHeight="1">
      <c r="B5" s="71" t="s">
        <v>5</v>
      </c>
      <c r="C5" s="91">
        <v>4764.21</v>
      </c>
      <c r="D5" s="92"/>
      <c r="E5" s="95">
        <v>0</v>
      </c>
      <c r="F5" s="72"/>
      <c r="G5" s="72"/>
      <c r="I5" s="10">
        <v>0</v>
      </c>
      <c r="J5" s="16"/>
      <c r="L5" s="10">
        <v>-149.5</v>
      </c>
      <c r="M5" s="10" t="s">
        <v>731</v>
      </c>
      <c r="N5" s="16"/>
    </row>
    <row r="6" spans="2:14">
      <c r="B6" s="71" t="s">
        <v>81</v>
      </c>
      <c r="C6" s="91">
        <v>120</v>
      </c>
      <c r="D6" s="92"/>
      <c r="E6" s="95">
        <v>0</v>
      </c>
      <c r="F6" s="72"/>
      <c r="G6" s="72"/>
      <c r="I6" s="10"/>
      <c r="J6" s="16"/>
      <c r="L6" s="10">
        <v>-432.5</v>
      </c>
      <c r="M6" s="10" t="s">
        <v>724</v>
      </c>
      <c r="N6" s="16"/>
    </row>
    <row r="7" spans="2:14">
      <c r="B7" s="71" t="s">
        <v>691</v>
      </c>
      <c r="C7" s="91">
        <v>90</v>
      </c>
      <c r="D7" s="92"/>
      <c r="E7" s="95">
        <v>0</v>
      </c>
      <c r="F7" s="72"/>
      <c r="G7" s="72"/>
      <c r="I7" s="10"/>
      <c r="J7" s="16"/>
      <c r="L7" s="10">
        <v>-72</v>
      </c>
      <c r="M7" s="10" t="s">
        <v>732</v>
      </c>
      <c r="N7" s="16"/>
    </row>
    <row r="8" spans="2:14">
      <c r="B8" s="71" t="s">
        <v>733</v>
      </c>
      <c r="C8" s="91">
        <v>17</v>
      </c>
      <c r="D8" s="92"/>
      <c r="E8" s="95">
        <v>0</v>
      </c>
      <c r="F8" s="72"/>
      <c r="G8" s="72"/>
      <c r="I8" s="10"/>
      <c r="J8" s="16"/>
      <c r="L8" s="10">
        <v>-300</v>
      </c>
      <c r="M8" s="10" t="s">
        <v>734</v>
      </c>
      <c r="N8" s="16"/>
    </row>
    <row r="9" spans="2:14">
      <c r="B9" s="71" t="s">
        <v>56</v>
      </c>
      <c r="C9" s="91">
        <v>771.26</v>
      </c>
      <c r="D9" s="92"/>
      <c r="E9" s="95">
        <v>0</v>
      </c>
      <c r="F9" s="72"/>
      <c r="G9" s="72"/>
      <c r="I9" s="60">
        <f>SUM(I3:I8)</f>
        <v>0</v>
      </c>
      <c r="J9" s="160" t="s">
        <v>21</v>
      </c>
      <c r="L9" s="10">
        <v>-100</v>
      </c>
      <c r="M9" s="10" t="s">
        <v>735</v>
      </c>
      <c r="N9" s="16"/>
    </row>
    <row r="10" spans="2:14" ht="12.75" customHeight="1">
      <c r="B10" s="71" t="s">
        <v>736</v>
      </c>
      <c r="C10" s="91">
        <f>46*2</f>
        <v>92</v>
      </c>
      <c r="D10" s="92"/>
      <c r="E10" s="95">
        <v>0</v>
      </c>
      <c r="F10" s="72"/>
      <c r="G10" s="72"/>
      <c r="I10" s="1"/>
      <c r="L10" s="10">
        <f>-140*1.75</f>
        <v>-245</v>
      </c>
      <c r="M10" s="10" t="s">
        <v>737</v>
      </c>
      <c r="N10" s="16"/>
    </row>
    <row r="11" spans="2:14">
      <c r="B11" s="71" t="s">
        <v>738</v>
      </c>
      <c r="C11" s="91">
        <v>185.22</v>
      </c>
      <c r="D11" s="92"/>
      <c r="E11" s="95">
        <v>0</v>
      </c>
      <c r="F11" s="72"/>
      <c r="G11" s="72"/>
      <c r="I11" s="52"/>
      <c r="L11" s="10">
        <v>-49</v>
      </c>
      <c r="M11" s="10" t="s">
        <v>739</v>
      </c>
      <c r="N11" s="16"/>
    </row>
    <row r="12" spans="2:14">
      <c r="B12" s="99" t="s">
        <v>418</v>
      </c>
      <c r="C12" s="96">
        <v>-1380.94</v>
      </c>
      <c r="D12" s="97"/>
      <c r="E12" s="63">
        <v>0</v>
      </c>
      <c r="F12" s="64"/>
      <c r="G12" s="64" t="s">
        <v>58</v>
      </c>
      <c r="L12" s="10">
        <v>-67</v>
      </c>
      <c r="M12" s="10" t="s">
        <v>740</v>
      </c>
      <c r="N12" s="16"/>
    </row>
    <row r="13" spans="2:14">
      <c r="B13" s="99" t="s">
        <v>637</v>
      </c>
      <c r="C13" s="96">
        <v>-1853.56</v>
      </c>
      <c r="D13" s="97"/>
      <c r="E13" s="63">
        <v>0</v>
      </c>
      <c r="F13" s="64"/>
      <c r="G13" s="64" t="s">
        <v>58</v>
      </c>
      <c r="L13" s="10">
        <v>-53.24</v>
      </c>
      <c r="M13" s="10" t="s">
        <v>741</v>
      </c>
      <c r="N13" s="16"/>
    </row>
    <row r="14" spans="2:14">
      <c r="B14" s="99" t="s">
        <v>590</v>
      </c>
      <c r="C14" s="96">
        <v>966.66</v>
      </c>
      <c r="D14" s="97"/>
      <c r="E14" s="63">
        <v>0</v>
      </c>
      <c r="F14" s="64"/>
      <c r="G14" s="64" t="s">
        <v>58</v>
      </c>
      <c r="L14" s="10">
        <v>-90.64</v>
      </c>
      <c r="M14" s="10" t="s">
        <v>742</v>
      </c>
      <c r="N14" s="16"/>
    </row>
    <row r="15" spans="2:14">
      <c r="B15" s="99" t="s">
        <v>638</v>
      </c>
      <c r="C15" s="96">
        <v>1304.49</v>
      </c>
      <c r="D15" s="97"/>
      <c r="E15" s="63">
        <v>0</v>
      </c>
      <c r="F15" s="64"/>
      <c r="G15" s="64" t="s">
        <v>58</v>
      </c>
      <c r="L15" s="10">
        <v>-95</v>
      </c>
      <c r="M15" s="10" t="s">
        <v>743</v>
      </c>
      <c r="N15" s="16"/>
    </row>
    <row r="16" spans="2:14">
      <c r="B16" s="99" t="s">
        <v>65</v>
      </c>
      <c r="C16" s="96">
        <v>-300</v>
      </c>
      <c r="D16" s="97"/>
      <c r="E16" s="63">
        <v>0</v>
      </c>
      <c r="F16" s="64"/>
      <c r="G16" s="64" t="s">
        <v>58</v>
      </c>
      <c r="L16" s="10">
        <v>-120</v>
      </c>
      <c r="M16" s="10" t="s">
        <v>744</v>
      </c>
      <c r="N16" s="16"/>
    </row>
    <row r="17" spans="2:22">
      <c r="B17" s="99" t="s">
        <v>93</v>
      </c>
      <c r="C17" s="96">
        <v>-310.7</v>
      </c>
      <c r="D17" s="97"/>
      <c r="E17" s="63">
        <v>0</v>
      </c>
      <c r="F17" s="64"/>
      <c r="G17" s="64" t="s">
        <v>58</v>
      </c>
      <c r="L17" s="10">
        <f>-109/2</f>
        <v>-54.5</v>
      </c>
      <c r="M17" s="10" t="s">
        <v>745</v>
      </c>
      <c r="N17" s="16"/>
    </row>
    <row r="18" spans="2:22">
      <c r="B18" s="99" t="s">
        <v>610</v>
      </c>
      <c r="C18" s="96">
        <v>-1632.25</v>
      </c>
      <c r="D18" s="97"/>
      <c r="E18" s="63">
        <v>0</v>
      </c>
      <c r="F18" s="64"/>
      <c r="G18" s="64" t="s">
        <v>58</v>
      </c>
      <c r="H18" s="143"/>
      <c r="L18" s="10">
        <v>-67</v>
      </c>
      <c r="M18" s="10" t="s">
        <v>746</v>
      </c>
      <c r="N18" s="16"/>
    </row>
    <row r="19" spans="2:22">
      <c r="B19" s="99" t="s">
        <v>103</v>
      </c>
      <c r="C19" s="96">
        <v>-48.52</v>
      </c>
      <c r="D19" s="97"/>
      <c r="E19" s="63">
        <v>0</v>
      </c>
      <c r="F19" s="64"/>
      <c r="G19" s="64" t="s">
        <v>58</v>
      </c>
      <c r="L19" s="10">
        <v>-92</v>
      </c>
      <c r="M19" s="10" t="s">
        <v>747</v>
      </c>
      <c r="N19" s="16"/>
    </row>
    <row r="20" spans="2:22">
      <c r="B20" s="99" t="s">
        <v>748</v>
      </c>
      <c r="C20" s="96">
        <v>0</v>
      </c>
      <c r="D20" s="97"/>
      <c r="E20" s="63">
        <v>0</v>
      </c>
      <c r="F20" s="64"/>
      <c r="G20" s="64" t="s">
        <v>58</v>
      </c>
      <c r="L20" s="10">
        <v>0</v>
      </c>
      <c r="M20" s="10"/>
      <c r="N20" s="16"/>
    </row>
    <row r="21" spans="2:22">
      <c r="B21" s="99" t="s">
        <v>749</v>
      </c>
      <c r="C21" s="96">
        <v>-100</v>
      </c>
      <c r="D21" s="97"/>
      <c r="E21" s="63">
        <v>0</v>
      </c>
      <c r="F21" s="64"/>
      <c r="G21" s="64" t="s">
        <v>58</v>
      </c>
      <c r="L21" s="10">
        <v>0</v>
      </c>
      <c r="M21" s="10"/>
      <c r="N21" s="16"/>
    </row>
    <row r="22" spans="2:22">
      <c r="B22" s="99" t="s">
        <v>73</v>
      </c>
      <c r="C22" s="96">
        <v>-272.32</v>
      </c>
      <c r="D22" s="97"/>
      <c r="E22" s="63">
        <v>0</v>
      </c>
      <c r="F22" s="64"/>
      <c r="G22" s="64" t="s">
        <v>58</v>
      </c>
      <c r="L22" s="144">
        <f>SUM(L3:L21)</f>
        <v>-2104.38</v>
      </c>
      <c r="M22" s="144" t="s">
        <v>21</v>
      </c>
      <c r="N22" s="145"/>
    </row>
    <row r="23" spans="2:22">
      <c r="B23" s="99" t="s">
        <v>684</v>
      </c>
      <c r="C23" s="96">
        <v>-52.95</v>
      </c>
      <c r="D23" s="97"/>
      <c r="E23" s="63">
        <v>0</v>
      </c>
      <c r="F23" s="64"/>
      <c r="G23" s="64" t="s">
        <v>58</v>
      </c>
    </row>
    <row r="24" spans="2:22">
      <c r="B24" s="99" t="s">
        <v>750</v>
      </c>
      <c r="C24" s="96">
        <v>-105</v>
      </c>
      <c r="D24" s="97"/>
      <c r="E24" s="63">
        <v>0</v>
      </c>
      <c r="F24" s="64"/>
      <c r="G24" s="64" t="s">
        <v>58</v>
      </c>
      <c r="K24" s="1"/>
      <c r="L24" s="1"/>
      <c r="P24" s="149"/>
      <c r="Q24" s="146"/>
      <c r="R24" s="147"/>
      <c r="S24" s="148"/>
      <c r="U24" s="150"/>
      <c r="V24" s="151"/>
    </row>
    <row r="25" spans="2:22">
      <c r="B25" s="99" t="s">
        <v>709</v>
      </c>
      <c r="C25" s="96">
        <v>-55.19</v>
      </c>
      <c r="D25" s="97"/>
      <c r="E25" s="63">
        <v>0</v>
      </c>
      <c r="F25" s="64"/>
      <c r="G25" s="64" t="s">
        <v>58</v>
      </c>
      <c r="P25" s="152"/>
      <c r="Q25" s="153"/>
      <c r="R25" s="154"/>
      <c r="S25" s="134"/>
      <c r="U25" s="155"/>
      <c r="V25" s="156"/>
    </row>
    <row r="26" spans="2:22">
      <c r="B26" s="99" t="s">
        <v>77</v>
      </c>
      <c r="C26" s="96">
        <v>-161.80000000000001</v>
      </c>
      <c r="D26" s="97"/>
      <c r="E26" s="63">
        <v>0</v>
      </c>
      <c r="F26" s="64"/>
      <c r="G26" s="64" t="s">
        <v>58</v>
      </c>
      <c r="P26" s="149"/>
      <c r="Q26" s="146"/>
      <c r="R26" s="147"/>
      <c r="S26" s="148"/>
      <c r="U26" s="150"/>
      <c r="V26" s="151"/>
    </row>
    <row r="27" spans="2:22">
      <c r="B27" s="99" t="s">
        <v>728</v>
      </c>
      <c r="C27" s="96">
        <v>-66.5</v>
      </c>
      <c r="D27" s="97"/>
      <c r="E27" s="63">
        <v>0</v>
      </c>
      <c r="F27" s="64"/>
      <c r="G27" s="64" t="s">
        <v>58</v>
      </c>
    </row>
    <row r="28" spans="2:22">
      <c r="B28" s="99" t="s">
        <v>686</v>
      </c>
      <c r="C28" s="96">
        <v>-476</v>
      </c>
      <c r="D28" s="97"/>
      <c r="E28" s="63">
        <v>0</v>
      </c>
      <c r="F28" s="64"/>
      <c r="G28" s="64" t="s">
        <v>58</v>
      </c>
      <c r="P28" s="152"/>
      <c r="Q28" s="153"/>
      <c r="R28" s="154"/>
      <c r="S28" s="134"/>
      <c r="U28" s="155"/>
      <c r="V28" s="156"/>
    </row>
    <row r="29" spans="2:22">
      <c r="B29" s="99" t="s">
        <v>751</v>
      </c>
      <c r="C29" s="96">
        <v>-44.36</v>
      </c>
      <c r="D29" s="97"/>
      <c r="E29" s="63">
        <v>0</v>
      </c>
      <c r="F29" s="64"/>
      <c r="G29" s="64" t="s">
        <v>58</v>
      </c>
      <c r="P29" s="152"/>
      <c r="Q29" s="153"/>
      <c r="R29" s="154"/>
      <c r="S29" s="134"/>
      <c r="U29" s="155"/>
      <c r="V29" s="156"/>
    </row>
    <row r="30" spans="2:22">
      <c r="B30" s="99" t="s">
        <v>713</v>
      </c>
      <c r="C30" s="96">
        <v>-100</v>
      </c>
      <c r="D30" s="97"/>
      <c r="E30" s="63">
        <v>0</v>
      </c>
      <c r="F30" s="64"/>
      <c r="G30" s="64" t="s">
        <v>58</v>
      </c>
    </row>
    <row r="31" spans="2:22" ht="18">
      <c r="B31" s="74" t="s">
        <v>45</v>
      </c>
      <c r="C31" s="101"/>
      <c r="D31" s="98"/>
      <c r="E31" s="129">
        <f>SUM(E3:E30)</f>
        <v>322.46000000000004</v>
      </c>
      <c r="F31" s="75"/>
      <c r="G31"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8.xml><?xml version="1.0" encoding="utf-8"?>
<worksheet xmlns="http://schemas.openxmlformats.org/spreadsheetml/2006/main" xmlns:r="http://schemas.openxmlformats.org/officeDocument/2006/relationships">
  <sheetPr>
    <pageSetUpPr autoPageBreaks="0"/>
  </sheetPr>
  <dimension ref="B1:V32"/>
  <sheetViews>
    <sheetView zoomScale="86" zoomScaleNormal="86" zoomScalePageLayoutView="86" workbookViewId="0">
      <selection activeCell="E17" activeCellId="1" sqref="G13 E17"/>
    </sheetView>
  </sheetViews>
  <sheetFormatPr defaultColWidth="8.85546875" defaultRowHeight="12.75"/>
  <cols>
    <col min="1" max="1" width="2" customWidth="1"/>
    <col min="2" max="2" width="26.42578125" customWidth="1"/>
    <col min="3" max="3" width="22.140625" customWidth="1"/>
    <col min="4" max="4" width="1.7109375" customWidth="1"/>
    <col min="5" max="5" width="19.4257812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s>
  <sheetData>
    <row r="1" spans="2:14">
      <c r="E1" s="106"/>
    </row>
    <row r="2" spans="2:14" ht="18">
      <c r="B2" s="220" t="s">
        <v>135</v>
      </c>
      <c r="C2" s="220" t="s">
        <v>136</v>
      </c>
      <c r="D2" s="90"/>
      <c r="E2" s="220" t="s">
        <v>0</v>
      </c>
      <c r="F2" s="82" t="s">
        <v>1</v>
      </c>
      <c r="G2" s="82" t="s">
        <v>57</v>
      </c>
      <c r="I2" s="221" t="s">
        <v>48</v>
      </c>
      <c r="J2" s="221" t="s">
        <v>1</v>
      </c>
      <c r="L2" s="221" t="s">
        <v>707</v>
      </c>
      <c r="M2" s="221" t="s">
        <v>408</v>
      </c>
      <c r="N2" s="221" t="s">
        <v>1</v>
      </c>
    </row>
    <row r="3" spans="2:14">
      <c r="B3" s="71" t="s">
        <v>11</v>
      </c>
      <c r="C3" s="91">
        <v>0</v>
      </c>
      <c r="D3" s="92"/>
      <c r="E3" s="95">
        <v>-53.66</v>
      </c>
      <c r="F3" s="61"/>
      <c r="G3" s="61"/>
      <c r="I3" s="10">
        <v>0</v>
      </c>
      <c r="J3" s="16"/>
      <c r="L3" s="10">
        <v>5015.79</v>
      </c>
      <c r="M3" s="10" t="s">
        <v>752</v>
      </c>
      <c r="N3" s="16"/>
    </row>
    <row r="4" spans="2:14" ht="12" customHeight="1">
      <c r="B4" s="71" t="s">
        <v>56</v>
      </c>
      <c r="C4" s="91">
        <v>0</v>
      </c>
      <c r="D4" s="92"/>
      <c r="E4" s="95">
        <v>-497.73</v>
      </c>
      <c r="F4" s="72"/>
      <c r="G4" s="72"/>
      <c r="I4" s="10">
        <v>0</v>
      </c>
      <c r="J4" s="16"/>
      <c r="L4" s="10">
        <v>3500</v>
      </c>
      <c r="M4" s="10" t="s">
        <v>609</v>
      </c>
      <c r="N4" s="16"/>
    </row>
    <row r="5" spans="2:14" ht="12" customHeight="1">
      <c r="B5" s="71" t="s">
        <v>5</v>
      </c>
      <c r="C5" s="91">
        <v>9797.08</v>
      </c>
      <c r="D5" s="92"/>
      <c r="E5" s="95">
        <v>0</v>
      </c>
      <c r="F5" s="72"/>
      <c r="G5" s="72"/>
      <c r="I5" s="10">
        <v>0</v>
      </c>
      <c r="J5" s="16"/>
      <c r="L5" s="10">
        <v>1100</v>
      </c>
      <c r="M5" s="10" t="s">
        <v>753</v>
      </c>
      <c r="N5" s="16"/>
    </row>
    <row r="6" spans="2:14">
      <c r="B6" s="71" t="s">
        <v>81</v>
      </c>
      <c r="C6" s="91">
        <v>17</v>
      </c>
      <c r="D6" s="92"/>
      <c r="E6" s="95">
        <v>0</v>
      </c>
      <c r="F6" s="72"/>
      <c r="G6" s="72"/>
      <c r="I6" s="10"/>
      <c r="J6" s="16"/>
      <c r="L6" s="10"/>
      <c r="M6" s="10"/>
      <c r="N6" s="16"/>
    </row>
    <row r="7" spans="2:14">
      <c r="B7" s="71" t="s">
        <v>81</v>
      </c>
      <c r="C7" s="91">
        <v>120</v>
      </c>
      <c r="D7" s="92"/>
      <c r="E7" s="95">
        <v>0</v>
      </c>
      <c r="F7" s="72"/>
      <c r="G7" s="72"/>
      <c r="I7" s="10"/>
      <c r="J7" s="16"/>
      <c r="L7" s="10"/>
      <c r="M7" s="10"/>
      <c r="N7" s="16"/>
    </row>
    <row r="8" spans="2:14">
      <c r="B8" s="71" t="s">
        <v>56</v>
      </c>
      <c r="C8" s="91">
        <v>532</v>
      </c>
      <c r="D8" s="92"/>
      <c r="E8" s="95">
        <v>0</v>
      </c>
      <c r="F8" s="72"/>
      <c r="G8" s="72"/>
      <c r="I8" s="10"/>
      <c r="J8" s="16"/>
      <c r="L8" s="10"/>
      <c r="M8" s="10"/>
      <c r="N8" s="16"/>
    </row>
    <row r="9" spans="2:14">
      <c r="B9" s="71" t="s">
        <v>81</v>
      </c>
      <c r="C9" s="91">
        <v>55</v>
      </c>
      <c r="D9" s="92"/>
      <c r="E9" s="95">
        <v>0</v>
      </c>
      <c r="F9" s="72"/>
      <c r="G9" s="72"/>
      <c r="I9" s="60">
        <f>SUM(I3:I8)</f>
        <v>0</v>
      </c>
      <c r="J9" s="160" t="s">
        <v>21</v>
      </c>
      <c r="L9" s="10"/>
      <c r="M9" s="10"/>
      <c r="N9" s="16"/>
    </row>
    <row r="10" spans="2:14" ht="12.75" customHeight="1">
      <c r="B10" s="71" t="s">
        <v>81</v>
      </c>
      <c r="C10" s="91">
        <v>57</v>
      </c>
      <c r="D10" s="92"/>
      <c r="E10" s="95">
        <f>C10</f>
        <v>57</v>
      </c>
      <c r="F10" s="72"/>
      <c r="G10" s="72"/>
      <c r="I10" s="1"/>
      <c r="L10" s="10"/>
      <c r="M10" s="10"/>
      <c r="N10" s="16"/>
    </row>
    <row r="11" spans="2:14">
      <c r="B11" s="71" t="s">
        <v>107</v>
      </c>
      <c r="C11" s="91">
        <v>436</v>
      </c>
      <c r="D11" s="92"/>
      <c r="E11" s="95">
        <v>0</v>
      </c>
      <c r="F11" s="72"/>
      <c r="G11" s="72"/>
      <c r="I11" s="52"/>
      <c r="L11" s="10"/>
      <c r="M11" s="10"/>
      <c r="N11" s="16"/>
    </row>
    <row r="12" spans="2:14">
      <c r="B12" s="99" t="s">
        <v>418</v>
      </c>
      <c r="C12" s="96">
        <v>-1380.94</v>
      </c>
      <c r="D12" s="97"/>
      <c r="E12" s="63">
        <v>0</v>
      </c>
      <c r="F12" s="64"/>
      <c r="G12" s="64" t="s">
        <v>58</v>
      </c>
      <c r="L12" s="10"/>
      <c r="M12" s="10"/>
      <c r="N12" s="16"/>
    </row>
    <row r="13" spans="2:14">
      <c r="B13" s="99" t="s">
        <v>637</v>
      </c>
      <c r="C13" s="96">
        <v>-1853.56</v>
      </c>
      <c r="D13" s="97"/>
      <c r="E13" s="63">
        <v>0</v>
      </c>
      <c r="F13" s="64"/>
      <c r="G13" s="64" t="s">
        <v>58</v>
      </c>
      <c r="L13" s="10"/>
      <c r="M13" s="10"/>
      <c r="N13" s="16"/>
    </row>
    <row r="14" spans="2:14">
      <c r="B14" s="99" t="s">
        <v>590</v>
      </c>
      <c r="C14" s="96">
        <v>966.66</v>
      </c>
      <c r="D14" s="97"/>
      <c r="E14" s="63">
        <v>0</v>
      </c>
      <c r="F14" s="64"/>
      <c r="G14" s="64" t="s">
        <v>58</v>
      </c>
      <c r="L14" s="10"/>
      <c r="M14" s="10"/>
      <c r="N14" s="16"/>
    </row>
    <row r="15" spans="2:14">
      <c r="B15" s="99" t="s">
        <v>638</v>
      </c>
      <c r="C15" s="96">
        <v>1304.49</v>
      </c>
      <c r="D15" s="97"/>
      <c r="E15" s="63">
        <v>0</v>
      </c>
      <c r="F15" s="64"/>
      <c r="G15" s="64" t="s">
        <v>58</v>
      </c>
      <c r="L15" s="10"/>
      <c r="M15" s="10"/>
      <c r="N15" s="16"/>
    </row>
    <row r="16" spans="2:14">
      <c r="B16" s="99" t="s">
        <v>65</v>
      </c>
      <c r="C16" s="96">
        <v>-300</v>
      </c>
      <c r="D16" s="97"/>
      <c r="E16" s="63">
        <v>0</v>
      </c>
      <c r="F16" s="64"/>
      <c r="G16" s="64" t="s">
        <v>58</v>
      </c>
      <c r="L16" s="10"/>
      <c r="M16" s="10"/>
      <c r="N16" s="16"/>
    </row>
    <row r="17" spans="2:22">
      <c r="B17" s="99" t="s">
        <v>93</v>
      </c>
      <c r="C17" s="96">
        <v>-89.92</v>
      </c>
      <c r="D17" s="97"/>
      <c r="E17" s="63">
        <v>0</v>
      </c>
      <c r="F17" s="64"/>
      <c r="G17" s="64" t="s">
        <v>58</v>
      </c>
      <c r="L17" s="10"/>
      <c r="M17" s="10"/>
      <c r="N17" s="16"/>
    </row>
    <row r="18" spans="2:22">
      <c r="B18" s="99" t="s">
        <v>610</v>
      </c>
      <c r="C18" s="96">
        <v>-2029.08</v>
      </c>
      <c r="D18" s="97"/>
      <c r="E18" s="63">
        <v>0</v>
      </c>
      <c r="F18" s="64"/>
      <c r="G18" s="64" t="s">
        <v>58</v>
      </c>
      <c r="H18" s="143"/>
      <c r="L18" s="10"/>
      <c r="M18" s="10"/>
      <c r="N18" s="16"/>
    </row>
    <row r="19" spans="2:22">
      <c r="B19" s="99" t="s">
        <v>103</v>
      </c>
      <c r="C19" s="96">
        <v>0</v>
      </c>
      <c r="D19" s="97"/>
      <c r="E19" s="63">
        <v>0</v>
      </c>
      <c r="F19" s="64"/>
      <c r="G19" s="64" t="s">
        <v>58</v>
      </c>
      <c r="L19" s="10"/>
      <c r="M19" s="10"/>
      <c r="N19" s="16"/>
    </row>
    <row r="20" spans="2:22">
      <c r="B20" s="99" t="s">
        <v>748</v>
      </c>
      <c r="C20" s="96">
        <v>-50</v>
      </c>
      <c r="D20" s="97"/>
      <c r="E20" s="63">
        <v>0</v>
      </c>
      <c r="F20" s="64"/>
      <c r="G20" s="64" t="s">
        <v>58</v>
      </c>
      <c r="L20" s="10">
        <v>0</v>
      </c>
      <c r="M20" s="10"/>
      <c r="N20" s="16"/>
    </row>
    <row r="21" spans="2:22">
      <c r="B21" s="99" t="s">
        <v>754</v>
      </c>
      <c r="C21" s="96">
        <v>-5500</v>
      </c>
      <c r="D21" s="97"/>
      <c r="E21" s="63">
        <v>0</v>
      </c>
      <c r="F21" s="64"/>
      <c r="G21" s="64" t="s">
        <v>58</v>
      </c>
      <c r="L21" s="10">
        <v>0</v>
      </c>
      <c r="M21" s="10"/>
      <c r="N21" s="16"/>
    </row>
    <row r="22" spans="2:22">
      <c r="B22" s="99" t="s">
        <v>73</v>
      </c>
      <c r="C22" s="96">
        <v>-506.48</v>
      </c>
      <c r="D22" s="97"/>
      <c r="E22" s="63">
        <v>0</v>
      </c>
      <c r="F22" s="64"/>
      <c r="G22" s="64" t="s">
        <v>58</v>
      </c>
      <c r="L22" s="144">
        <f>SUM(L3:L21)</f>
        <v>9615.7900000000009</v>
      </c>
      <c r="M22" s="144" t="s">
        <v>21</v>
      </c>
      <c r="N22" s="145"/>
    </row>
    <row r="23" spans="2:22">
      <c r="B23" s="99" t="s">
        <v>684</v>
      </c>
      <c r="C23" s="96">
        <v>-52.95</v>
      </c>
      <c r="D23" s="97"/>
      <c r="E23" s="63">
        <v>0</v>
      </c>
      <c r="F23" s="64"/>
      <c r="G23" s="64" t="s">
        <v>58</v>
      </c>
    </row>
    <row r="24" spans="2:22">
      <c r="B24" s="99" t="s">
        <v>709</v>
      </c>
      <c r="C24" s="96">
        <v>-46.15</v>
      </c>
      <c r="D24" s="97"/>
      <c r="E24" s="163">
        <f>C24</f>
        <v>-46.15</v>
      </c>
      <c r="F24" s="164"/>
      <c r="G24" s="164"/>
      <c r="K24" s="1"/>
      <c r="L24" s="1"/>
      <c r="P24" s="149"/>
      <c r="Q24" s="146"/>
      <c r="R24" s="147"/>
      <c r="S24" s="148"/>
      <c r="U24" s="150"/>
      <c r="V24" s="151"/>
    </row>
    <row r="25" spans="2:22">
      <c r="B25" s="99" t="s">
        <v>755</v>
      </c>
      <c r="C25" s="96">
        <v>500</v>
      </c>
      <c r="D25" s="97"/>
      <c r="E25" s="163">
        <f>C25</f>
        <v>500</v>
      </c>
      <c r="F25" s="164"/>
      <c r="G25" s="164"/>
      <c r="K25" s="1"/>
      <c r="L25" s="1"/>
      <c r="P25" s="149"/>
      <c r="Q25" s="146"/>
      <c r="R25" s="147"/>
      <c r="S25" s="148"/>
      <c r="U25" s="150"/>
      <c r="V25" s="151"/>
    </row>
    <row r="26" spans="2:22">
      <c r="B26" s="99" t="s">
        <v>711</v>
      </c>
      <c r="C26" s="96">
        <v>-47.35</v>
      </c>
      <c r="D26" s="97"/>
      <c r="E26" s="63">
        <v>0</v>
      </c>
      <c r="F26" s="64"/>
      <c r="G26" s="64" t="s">
        <v>58</v>
      </c>
      <c r="P26" s="152"/>
      <c r="Q26" s="153"/>
      <c r="R26" s="154"/>
      <c r="S26" s="134"/>
      <c r="U26" s="155"/>
      <c r="V26" s="156"/>
    </row>
    <row r="27" spans="2:22">
      <c r="B27" s="99" t="s">
        <v>711</v>
      </c>
      <c r="C27" s="96">
        <v>-82.31</v>
      </c>
      <c r="D27" s="97"/>
      <c r="E27" s="63">
        <v>0</v>
      </c>
      <c r="F27" s="64"/>
      <c r="G27" s="64" t="s">
        <v>58</v>
      </c>
      <c r="P27" s="149"/>
      <c r="Q27" s="146"/>
      <c r="R27" s="147"/>
      <c r="S27" s="148"/>
      <c r="U27" s="150"/>
      <c r="V27" s="151"/>
    </row>
    <row r="28" spans="2:22">
      <c r="B28" s="99" t="s">
        <v>77</v>
      </c>
      <c r="C28" s="96">
        <v>-165.73</v>
      </c>
      <c r="D28" s="97"/>
      <c r="E28" s="63">
        <v>0</v>
      </c>
      <c r="F28" s="64"/>
      <c r="G28" s="64" t="s">
        <v>58</v>
      </c>
    </row>
    <row r="29" spans="2:22">
      <c r="B29" s="99" t="s">
        <v>750</v>
      </c>
      <c r="C29" s="96">
        <v>-105</v>
      </c>
      <c r="D29" s="97"/>
      <c r="E29" s="63">
        <v>0</v>
      </c>
      <c r="F29" s="64"/>
      <c r="G29" s="64" t="s">
        <v>58</v>
      </c>
      <c r="P29" s="152"/>
      <c r="Q29" s="153"/>
      <c r="R29" s="154"/>
      <c r="S29" s="134"/>
      <c r="U29" s="155"/>
      <c r="V29" s="156"/>
    </row>
    <row r="30" spans="2:22">
      <c r="B30" s="99" t="s">
        <v>686</v>
      </c>
      <c r="C30" s="96">
        <v>-483.11</v>
      </c>
      <c r="D30" s="97"/>
      <c r="E30" s="63">
        <v>0</v>
      </c>
      <c r="F30" s="64"/>
      <c r="G30" s="64" t="s">
        <v>58</v>
      </c>
      <c r="P30" s="152"/>
      <c r="Q30" s="153"/>
      <c r="R30" s="154"/>
      <c r="S30" s="134"/>
      <c r="U30" s="155"/>
      <c r="V30" s="156"/>
    </row>
    <row r="31" spans="2:22">
      <c r="B31" s="99" t="s">
        <v>751</v>
      </c>
      <c r="C31" s="96">
        <v>-36.04</v>
      </c>
      <c r="D31" s="97"/>
      <c r="E31" s="63">
        <v>0</v>
      </c>
      <c r="F31" s="64"/>
      <c r="G31" s="64" t="s">
        <v>58</v>
      </c>
    </row>
    <row r="32" spans="2:22" ht="18">
      <c r="B32" s="74" t="s">
        <v>45</v>
      </c>
      <c r="C32" s="101"/>
      <c r="D32" s="98"/>
      <c r="E32" s="129">
        <f>SUM(E3:E31)</f>
        <v>-40.539999999999964</v>
      </c>
      <c r="F32" s="75"/>
      <c r="G32"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59.xml><?xml version="1.0" encoding="utf-8"?>
<worksheet xmlns="http://schemas.openxmlformats.org/spreadsheetml/2006/main" xmlns:r="http://schemas.openxmlformats.org/officeDocument/2006/relationships">
  <sheetPr>
    <pageSetUpPr autoPageBreaks="0"/>
  </sheetPr>
  <dimension ref="B1:N23"/>
  <sheetViews>
    <sheetView zoomScale="86" zoomScaleNormal="86" zoomScalePageLayoutView="86" workbookViewId="0">
      <selection activeCell="C6" activeCellId="1" sqref="G13 C6"/>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18" customWidth="1"/>
    <col min="14" max="14" width="6.28515625" customWidth="1"/>
    <col min="15" max="15" width="1.42578125" customWidth="1"/>
  </cols>
  <sheetData>
    <row r="1" spans="2:14">
      <c r="E1" s="106"/>
    </row>
    <row r="2" spans="2:14" ht="18">
      <c r="B2" s="220" t="s">
        <v>135</v>
      </c>
      <c r="C2" s="220" t="s">
        <v>136</v>
      </c>
      <c r="D2" s="90"/>
      <c r="E2" s="220" t="s">
        <v>0</v>
      </c>
      <c r="F2" s="82" t="s">
        <v>1</v>
      </c>
      <c r="G2" s="82" t="s">
        <v>57</v>
      </c>
      <c r="I2" s="221" t="s">
        <v>48</v>
      </c>
      <c r="J2" s="221" t="s">
        <v>1</v>
      </c>
      <c r="L2" s="221" t="s">
        <v>707</v>
      </c>
      <c r="M2" s="221" t="s">
        <v>408</v>
      </c>
      <c r="N2" s="221" t="s">
        <v>1</v>
      </c>
    </row>
    <row r="3" spans="2:14">
      <c r="B3" s="71" t="s">
        <v>11</v>
      </c>
      <c r="C3" s="91">
        <v>0</v>
      </c>
      <c r="D3" s="92"/>
      <c r="E3" s="95">
        <v>-501.93</v>
      </c>
      <c r="F3" s="61"/>
      <c r="G3" s="61"/>
      <c r="I3" s="10">
        <v>0</v>
      </c>
      <c r="J3" s="16"/>
      <c r="L3" s="10">
        <v>10019.56</v>
      </c>
      <c r="M3" s="10" t="s">
        <v>752</v>
      </c>
      <c r="N3" s="16"/>
    </row>
    <row r="4" spans="2:14" ht="12" customHeight="1">
      <c r="B4" s="71" t="s">
        <v>56</v>
      </c>
      <c r="C4" s="91">
        <v>0</v>
      </c>
      <c r="D4" s="92"/>
      <c r="E4" s="95">
        <v>859.37</v>
      </c>
      <c r="F4" s="72"/>
      <c r="G4" s="72"/>
      <c r="I4" s="10">
        <v>0</v>
      </c>
      <c r="J4" s="16"/>
      <c r="L4" s="10">
        <v>-3000</v>
      </c>
      <c r="M4" s="10" t="s">
        <v>756</v>
      </c>
      <c r="N4" s="16"/>
    </row>
    <row r="5" spans="2:14" ht="12" customHeight="1">
      <c r="B5" s="71" t="s">
        <v>5</v>
      </c>
      <c r="C5" s="91">
        <v>4913.59</v>
      </c>
      <c r="D5" s="92"/>
      <c r="E5" s="95">
        <v>0</v>
      </c>
      <c r="F5" s="72"/>
      <c r="G5" s="72"/>
      <c r="I5" s="10">
        <v>0</v>
      </c>
      <c r="J5" s="16"/>
      <c r="L5" s="10">
        <v>-3000</v>
      </c>
      <c r="M5" s="10" t="s">
        <v>757</v>
      </c>
      <c r="N5" s="16"/>
    </row>
    <row r="6" spans="2:14">
      <c r="B6" s="71" t="s">
        <v>609</v>
      </c>
      <c r="C6" s="91">
        <v>4000</v>
      </c>
      <c r="D6" s="92"/>
      <c r="E6" s="95">
        <v>0</v>
      </c>
      <c r="F6" s="72"/>
      <c r="G6" s="72"/>
      <c r="I6" s="10"/>
      <c r="J6" s="16"/>
      <c r="L6" s="10">
        <v>-2000</v>
      </c>
      <c r="M6" s="10" t="s">
        <v>758</v>
      </c>
      <c r="N6" s="16"/>
    </row>
    <row r="7" spans="2:14">
      <c r="B7" s="71" t="s">
        <v>81</v>
      </c>
      <c r="C7" s="91">
        <v>57</v>
      </c>
      <c r="D7" s="92"/>
      <c r="E7" s="95">
        <v>0</v>
      </c>
      <c r="F7" s="72"/>
      <c r="G7" s="72"/>
      <c r="I7" s="10"/>
      <c r="J7" s="16"/>
      <c r="L7" s="10">
        <v>-1300</v>
      </c>
      <c r="M7" s="10" t="s">
        <v>759</v>
      </c>
      <c r="N7" s="16"/>
    </row>
    <row r="8" spans="2:14">
      <c r="B8" s="71" t="s">
        <v>143</v>
      </c>
      <c r="C8" s="91">
        <v>180</v>
      </c>
      <c r="D8" s="92"/>
      <c r="E8" s="95">
        <v>0</v>
      </c>
      <c r="F8" s="72"/>
      <c r="G8" s="72"/>
      <c r="I8" s="10"/>
      <c r="J8" s="16"/>
      <c r="L8" s="10">
        <v>-2016</v>
      </c>
      <c r="M8" s="10" t="s">
        <v>760</v>
      </c>
      <c r="N8" s="16"/>
    </row>
    <row r="9" spans="2:14">
      <c r="B9" s="71" t="s">
        <v>761</v>
      </c>
      <c r="C9" s="91">
        <v>190</v>
      </c>
      <c r="D9" s="92"/>
      <c r="E9" s="95">
        <v>0</v>
      </c>
      <c r="F9" s="72"/>
      <c r="G9" s="72"/>
      <c r="I9" s="60">
        <f>SUM(I3:I8)</f>
        <v>0</v>
      </c>
      <c r="J9" s="160" t="s">
        <v>21</v>
      </c>
      <c r="L9" s="10">
        <v>250</v>
      </c>
      <c r="M9" s="10" t="s">
        <v>762</v>
      </c>
      <c r="N9" s="16"/>
    </row>
    <row r="10" spans="2:14" ht="12.75" customHeight="1">
      <c r="B10" s="99" t="s">
        <v>418</v>
      </c>
      <c r="C10" s="96">
        <v>-1380.94</v>
      </c>
      <c r="D10" s="97"/>
      <c r="E10" s="63">
        <v>0</v>
      </c>
      <c r="F10" s="64"/>
      <c r="G10" s="64" t="s">
        <v>58</v>
      </c>
      <c r="I10" s="1"/>
      <c r="L10" s="10">
        <v>-2000</v>
      </c>
      <c r="M10" s="10" t="s">
        <v>763</v>
      </c>
      <c r="N10" s="16"/>
    </row>
    <row r="11" spans="2:14">
      <c r="B11" s="99" t="s">
        <v>590</v>
      </c>
      <c r="C11" s="96">
        <v>966.66</v>
      </c>
      <c r="D11" s="97"/>
      <c r="E11" s="63">
        <v>0</v>
      </c>
      <c r="F11" s="64"/>
      <c r="G11" s="64" t="s">
        <v>58</v>
      </c>
      <c r="I11" s="52"/>
      <c r="L11" s="10">
        <v>2000</v>
      </c>
      <c r="M11" s="10" t="s">
        <v>752</v>
      </c>
      <c r="N11" s="16"/>
    </row>
    <row r="12" spans="2:14">
      <c r="B12" s="99" t="s">
        <v>65</v>
      </c>
      <c r="C12" s="96">
        <v>-300</v>
      </c>
      <c r="D12" s="97"/>
      <c r="E12" s="63">
        <v>0</v>
      </c>
      <c r="F12" s="64"/>
      <c r="G12" s="64" t="s">
        <v>58</v>
      </c>
      <c r="L12" s="10"/>
      <c r="M12" s="10"/>
      <c r="N12" s="16"/>
    </row>
    <row r="13" spans="2:14">
      <c r="B13" s="99" t="s">
        <v>93</v>
      </c>
      <c r="C13" s="96">
        <v>-147.47999999999999</v>
      </c>
      <c r="D13" s="97"/>
      <c r="E13" s="63">
        <v>0</v>
      </c>
      <c r="F13" s="64"/>
      <c r="G13" s="64" t="s">
        <v>58</v>
      </c>
      <c r="L13" s="10"/>
      <c r="M13" s="10"/>
      <c r="N13" s="16"/>
    </row>
    <row r="14" spans="2:14">
      <c r="B14" s="99" t="s">
        <v>610</v>
      </c>
      <c r="C14" s="96">
        <v>-1838.92</v>
      </c>
      <c r="D14" s="97"/>
      <c r="E14" s="63">
        <v>0</v>
      </c>
      <c r="F14" s="64"/>
      <c r="G14" s="64" t="s">
        <v>58</v>
      </c>
      <c r="L14" s="10"/>
      <c r="M14" s="10"/>
      <c r="N14" s="16"/>
    </row>
    <row r="15" spans="2:14">
      <c r="B15" s="99" t="s">
        <v>103</v>
      </c>
      <c r="C15" s="96">
        <v>0</v>
      </c>
      <c r="D15" s="97"/>
      <c r="E15" s="63">
        <v>0</v>
      </c>
      <c r="F15" s="64"/>
      <c r="G15" s="64" t="s">
        <v>58</v>
      </c>
      <c r="L15" s="10"/>
      <c r="M15" s="10"/>
      <c r="N15" s="16"/>
    </row>
    <row r="16" spans="2:14">
      <c r="B16" s="99" t="s">
        <v>102</v>
      </c>
      <c r="C16" s="96">
        <v>-5000</v>
      </c>
      <c r="D16" s="97"/>
      <c r="E16" s="63">
        <v>0</v>
      </c>
      <c r="F16" s="64"/>
      <c r="G16" s="64" t="s">
        <v>58</v>
      </c>
      <c r="L16" s="10"/>
      <c r="M16" s="10"/>
      <c r="N16" s="16"/>
    </row>
    <row r="17" spans="2:14">
      <c r="B17" s="99" t="s">
        <v>73</v>
      </c>
      <c r="C17" s="96">
        <v>-330.97</v>
      </c>
      <c r="D17" s="97"/>
      <c r="E17" s="63">
        <v>0</v>
      </c>
      <c r="F17" s="64"/>
      <c r="G17" s="64" t="s">
        <v>58</v>
      </c>
      <c r="L17" s="10"/>
      <c r="M17" s="10"/>
      <c r="N17" s="16"/>
    </row>
    <row r="18" spans="2:14">
      <c r="B18" s="99" t="s">
        <v>684</v>
      </c>
      <c r="C18" s="96">
        <v>-52.95</v>
      </c>
      <c r="D18" s="97"/>
      <c r="E18" s="63">
        <v>0</v>
      </c>
      <c r="F18" s="64"/>
      <c r="G18" s="64" t="s">
        <v>58</v>
      </c>
      <c r="H18" s="143"/>
      <c r="L18" s="10"/>
      <c r="M18" s="10"/>
      <c r="N18" s="16"/>
    </row>
    <row r="19" spans="2:14">
      <c r="B19" s="99" t="s">
        <v>764</v>
      </c>
      <c r="C19" s="96">
        <v>-46.15</v>
      </c>
      <c r="D19" s="97"/>
      <c r="E19" s="163">
        <f>C19</f>
        <v>-46.15</v>
      </c>
      <c r="F19" s="164"/>
      <c r="G19" s="164"/>
      <c r="L19" s="10">
        <v>0</v>
      </c>
      <c r="M19" s="10"/>
      <c r="N19" s="16"/>
    </row>
    <row r="20" spans="2:14">
      <c r="B20" s="99" t="s">
        <v>711</v>
      </c>
      <c r="C20" s="96">
        <v>-82.31</v>
      </c>
      <c r="D20" s="97"/>
      <c r="E20" s="163">
        <f>C20</f>
        <v>-82.31</v>
      </c>
      <c r="F20" s="164"/>
      <c r="G20" s="164"/>
      <c r="L20" s="10">
        <v>0</v>
      </c>
      <c r="M20" s="10"/>
      <c r="N20" s="16"/>
    </row>
    <row r="21" spans="2:14">
      <c r="B21" s="99" t="s">
        <v>77</v>
      </c>
      <c r="C21" s="96">
        <v>-161.80000000000001</v>
      </c>
      <c r="D21" s="97"/>
      <c r="E21" s="63">
        <v>0</v>
      </c>
      <c r="F21" s="64"/>
      <c r="G21" s="64" t="s">
        <v>58</v>
      </c>
      <c r="L21" s="144">
        <f>SUM(L3:L20)</f>
        <v>-1046.4400000000005</v>
      </c>
      <c r="M21" s="144" t="s">
        <v>21</v>
      </c>
      <c r="N21" s="145"/>
    </row>
    <row r="22" spans="2:14">
      <c r="B22" s="99" t="s">
        <v>686</v>
      </c>
      <c r="C22" s="96">
        <v>-483.11</v>
      </c>
      <c r="D22" s="97"/>
      <c r="E22" s="63">
        <v>0</v>
      </c>
      <c r="F22" s="64"/>
      <c r="G22" s="64" t="s">
        <v>58</v>
      </c>
    </row>
    <row r="23" spans="2:14" ht="18">
      <c r="B23" s="74" t="s">
        <v>45</v>
      </c>
      <c r="C23" s="101"/>
      <c r="D23" s="98"/>
      <c r="E23" s="129">
        <f>SUM(E3:E22)</f>
        <v>228.98000000000002</v>
      </c>
      <c r="F23" s="75"/>
      <c r="G23" s="75"/>
      <c r="L23" s="1"/>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sheetPr>
    <pageSetUpPr autoPageBreaks="0"/>
  </sheetPr>
  <dimension ref="A2:I30"/>
  <sheetViews>
    <sheetView showGridLines="0" zoomScaleSheetLayoutView="100" workbookViewId="0">
      <selection activeCell="H24" activeCellId="1" sqref="G13 H24"/>
    </sheetView>
  </sheetViews>
  <sheetFormatPr defaultColWidth="8.85546875" defaultRowHeight="12.75"/>
  <cols>
    <col min="1" max="1" width="1" customWidth="1"/>
    <col min="2" max="2" width="25.7109375" customWidth="1"/>
    <col min="3" max="3" width="16.7109375" style="1" customWidth="1"/>
    <col min="4" max="5" width="10.28515625" style="32" customWidth="1"/>
    <col min="6" max="6" width="3" customWidth="1"/>
    <col min="7" max="7" width="12.42578125" customWidth="1"/>
    <col min="8" max="8" width="14.42578125" customWidth="1"/>
    <col min="9" max="9" width="2.140625" customWidth="1"/>
  </cols>
  <sheetData>
    <row r="2" spans="1:9" ht="18">
      <c r="B2" s="575" t="s">
        <v>0</v>
      </c>
      <c r="C2" s="575"/>
      <c r="D2" s="33" t="s">
        <v>1</v>
      </c>
      <c r="E2" s="33" t="s">
        <v>57</v>
      </c>
    </row>
    <row r="3" spans="1:9">
      <c r="B3" s="15" t="s">
        <v>48</v>
      </c>
      <c r="C3" s="45">
        <v>1.56</v>
      </c>
      <c r="D3" s="46"/>
      <c r="E3" s="46"/>
      <c r="G3" s="8" t="s">
        <v>15</v>
      </c>
      <c r="H3" s="1">
        <v>300</v>
      </c>
    </row>
    <row r="4" spans="1:9">
      <c r="B4" s="15" t="s">
        <v>7</v>
      </c>
      <c r="C4" s="45">
        <f>-82.94+1200</f>
        <v>1117.06</v>
      </c>
      <c r="D4" s="46"/>
      <c r="E4" s="46"/>
      <c r="G4" s="8" t="s">
        <v>18</v>
      </c>
      <c r="H4" s="1">
        <v>50</v>
      </c>
    </row>
    <row r="5" spans="1:9">
      <c r="B5" s="15" t="s">
        <v>11</v>
      </c>
      <c r="C5" s="45">
        <f>-800.97+1500</f>
        <v>699.03</v>
      </c>
      <c r="D5" s="46"/>
      <c r="E5" s="46"/>
      <c r="G5" s="8" t="s">
        <v>20</v>
      </c>
      <c r="H5" s="1">
        <v>15</v>
      </c>
    </row>
    <row r="6" spans="1:9">
      <c r="B6" s="34" t="s">
        <v>56</v>
      </c>
      <c r="C6" s="34">
        <v>1.57</v>
      </c>
      <c r="D6" s="41"/>
      <c r="E6" s="41"/>
      <c r="G6" s="8" t="s">
        <v>22</v>
      </c>
      <c r="H6" s="1">
        <f>27</f>
        <v>27</v>
      </c>
    </row>
    <row r="7" spans="1:9">
      <c r="A7" s="8"/>
      <c r="B7" s="53" t="s">
        <v>64</v>
      </c>
      <c r="C7" s="53">
        <v>0</v>
      </c>
      <c r="D7" s="54"/>
      <c r="E7" s="54" t="s">
        <v>58</v>
      </c>
      <c r="G7" s="8" t="s">
        <v>24</v>
      </c>
      <c r="H7" s="1">
        <v>60</v>
      </c>
    </row>
    <row r="8" spans="1:9" s="8" customFormat="1">
      <c r="B8" s="53" t="s">
        <v>49</v>
      </c>
      <c r="C8" s="53">
        <v>0</v>
      </c>
      <c r="D8" s="54"/>
      <c r="E8" s="54" t="s">
        <v>58</v>
      </c>
      <c r="G8" s="8" t="s">
        <v>25</v>
      </c>
      <c r="H8" s="1">
        <f>(50-35.7)*2</f>
        <v>28.599999999999994</v>
      </c>
      <c r="I8"/>
    </row>
    <row r="9" spans="1:9" s="8" customFormat="1">
      <c r="B9" s="53" t="s">
        <v>65</v>
      </c>
      <c r="C9" s="53">
        <v>0</v>
      </c>
      <c r="D9" s="54"/>
      <c r="E9" s="54" t="s">
        <v>58</v>
      </c>
      <c r="G9" s="25">
        <v>0.1</v>
      </c>
      <c r="H9" s="1">
        <f>SUM(H3:H8)*10%</f>
        <v>48.06</v>
      </c>
      <c r="I9"/>
    </row>
    <row r="10" spans="1:9" s="8" customFormat="1">
      <c r="B10" s="53" t="s">
        <v>66</v>
      </c>
      <c r="C10" s="53" t="s">
        <v>67</v>
      </c>
      <c r="D10" s="54"/>
      <c r="E10" s="54" t="s">
        <v>58</v>
      </c>
      <c r="F10"/>
      <c r="G10" s="25"/>
      <c r="H10" s="1"/>
      <c r="I10"/>
    </row>
    <row r="11" spans="1:9" s="8" customFormat="1">
      <c r="B11" s="53" t="s">
        <v>68</v>
      </c>
      <c r="C11" s="53">
        <v>0</v>
      </c>
      <c r="D11" s="54"/>
      <c r="E11" s="54" t="s">
        <v>58</v>
      </c>
      <c r="G11" s="578" t="s">
        <v>30</v>
      </c>
      <c r="H11" s="578"/>
      <c r="I11"/>
    </row>
    <row r="12" spans="1:9" s="8" customFormat="1">
      <c r="B12" s="53" t="s">
        <v>14</v>
      </c>
      <c r="C12" s="53">
        <v>0</v>
      </c>
      <c r="D12" s="54">
        <v>38927</v>
      </c>
      <c r="E12" s="54" t="s">
        <v>58</v>
      </c>
      <c r="G12" s="9" t="s">
        <v>42</v>
      </c>
      <c r="H12" s="26">
        <v>0</v>
      </c>
      <c r="I12"/>
    </row>
    <row r="13" spans="1:9" s="8" customFormat="1">
      <c r="B13" s="53" t="s">
        <v>69</v>
      </c>
      <c r="C13" s="53">
        <v>0</v>
      </c>
      <c r="D13" s="54">
        <v>38925</v>
      </c>
      <c r="E13" s="54" t="s">
        <v>58</v>
      </c>
      <c r="G13" s="55" t="s">
        <v>21</v>
      </c>
      <c r="H13" s="56">
        <f>SUM(H12:H12)</f>
        <v>0</v>
      </c>
      <c r="I13"/>
    </row>
    <row r="14" spans="1:9" s="8" customFormat="1">
      <c r="B14" s="53" t="s">
        <v>70</v>
      </c>
      <c r="C14" s="53">
        <v>0</v>
      </c>
      <c r="D14" s="54">
        <v>38898</v>
      </c>
      <c r="E14" s="54" t="s">
        <v>58</v>
      </c>
      <c r="G14"/>
      <c r="I14"/>
    </row>
    <row r="15" spans="1:9" s="8" customFormat="1">
      <c r="B15" s="53" t="s">
        <v>71</v>
      </c>
      <c r="C15" s="53">
        <v>0</v>
      </c>
      <c r="D15" s="54"/>
      <c r="E15" s="54" t="s">
        <v>58</v>
      </c>
      <c r="G15"/>
      <c r="H15"/>
      <c r="I15"/>
    </row>
    <row r="16" spans="1:9" s="8" customFormat="1">
      <c r="B16" s="53" t="s">
        <v>27</v>
      </c>
      <c r="C16" s="53">
        <v>0</v>
      </c>
      <c r="D16" s="54">
        <v>38899</v>
      </c>
      <c r="E16" s="54" t="s">
        <v>58</v>
      </c>
      <c r="G16" s="578" t="s">
        <v>72</v>
      </c>
      <c r="H16" s="578"/>
      <c r="I16"/>
    </row>
    <row r="17" spans="1:9" s="8" customFormat="1">
      <c r="B17" s="53" t="s">
        <v>28</v>
      </c>
      <c r="C17" s="53">
        <v>0</v>
      </c>
      <c r="D17" s="54">
        <v>38902</v>
      </c>
      <c r="E17" s="54" t="s">
        <v>58</v>
      </c>
      <c r="G17" s="55" t="s">
        <v>5</v>
      </c>
      <c r="H17" s="56">
        <v>3003.92</v>
      </c>
      <c r="I17"/>
    </row>
    <row r="18" spans="1:9" s="8" customFormat="1">
      <c r="B18" s="53" t="s">
        <v>29</v>
      </c>
      <c r="C18" s="53">
        <v>0</v>
      </c>
      <c r="D18" s="54">
        <v>38905</v>
      </c>
      <c r="E18" s="54" t="s">
        <v>58</v>
      </c>
      <c r="G18" s="32"/>
      <c r="H18"/>
      <c r="I18"/>
    </row>
    <row r="19" spans="1:9" s="8" customFormat="1">
      <c r="B19" s="53" t="s">
        <v>73</v>
      </c>
      <c r="C19" s="53">
        <v>0</v>
      </c>
      <c r="D19" s="54">
        <v>38905</v>
      </c>
      <c r="E19" s="54" t="s">
        <v>58</v>
      </c>
      <c r="G19" s="32"/>
      <c r="H19"/>
    </row>
    <row r="20" spans="1:9" s="8" customFormat="1">
      <c r="B20" s="53" t="s">
        <v>74</v>
      </c>
      <c r="C20" s="53">
        <v>0</v>
      </c>
      <c r="D20" s="54">
        <v>38908</v>
      </c>
      <c r="E20" s="54" t="s">
        <v>58</v>
      </c>
      <c r="G20" s="32"/>
      <c r="H20"/>
    </row>
    <row r="21" spans="1:9" s="8" customFormat="1">
      <c r="A21"/>
      <c r="B21" s="53" t="s">
        <v>75</v>
      </c>
      <c r="C21" s="53">
        <v>0</v>
      </c>
      <c r="D21" s="54">
        <v>38908</v>
      </c>
      <c r="E21" s="54" t="s">
        <v>58</v>
      </c>
      <c r="G21"/>
      <c r="H21"/>
      <c r="I21"/>
    </row>
    <row r="22" spans="1:9">
      <c r="B22" s="53" t="s">
        <v>76</v>
      </c>
      <c r="C22" s="53">
        <v>0</v>
      </c>
      <c r="D22" s="54">
        <v>38908</v>
      </c>
      <c r="E22" s="54" t="s">
        <v>58</v>
      </c>
      <c r="G22" s="8"/>
    </row>
    <row r="23" spans="1:9">
      <c r="A23" s="52"/>
      <c r="B23" s="53" t="s">
        <v>55</v>
      </c>
      <c r="C23" s="53">
        <v>0</v>
      </c>
      <c r="D23" s="54">
        <v>38909</v>
      </c>
      <c r="E23" s="54" t="s">
        <v>58</v>
      </c>
      <c r="F23" s="1"/>
    </row>
    <row r="24" spans="1:9">
      <c r="B24" s="53" t="s">
        <v>44</v>
      </c>
      <c r="C24" s="53">
        <v>0</v>
      </c>
      <c r="D24" s="54">
        <v>38908</v>
      </c>
      <c r="E24" s="54" t="s">
        <v>58</v>
      </c>
      <c r="F24" s="1"/>
    </row>
    <row r="25" spans="1:9">
      <c r="B25" s="53" t="s">
        <v>60</v>
      </c>
      <c r="C25" s="53">
        <v>0</v>
      </c>
      <c r="D25" s="54">
        <v>38915</v>
      </c>
      <c r="E25" s="54" t="s">
        <v>58</v>
      </c>
      <c r="F25" s="32"/>
    </row>
    <row r="26" spans="1:9">
      <c r="B26" s="53" t="s">
        <v>77</v>
      </c>
      <c r="C26" s="53">
        <v>0</v>
      </c>
      <c r="D26" s="54"/>
      <c r="E26" s="54" t="s">
        <v>58</v>
      </c>
      <c r="F26" s="32"/>
    </row>
    <row r="27" spans="1:9">
      <c r="B27" s="53" t="s">
        <v>42</v>
      </c>
      <c r="C27" s="53">
        <v>0</v>
      </c>
      <c r="D27" s="54">
        <v>38913</v>
      </c>
      <c r="E27" s="54" t="s">
        <v>58</v>
      </c>
      <c r="F27" s="32"/>
    </row>
    <row r="28" spans="1:9">
      <c r="B28" s="53" t="s">
        <v>14</v>
      </c>
      <c r="C28" s="53">
        <v>0</v>
      </c>
      <c r="D28" s="57">
        <v>38918</v>
      </c>
      <c r="E28" s="54" t="s">
        <v>58</v>
      </c>
    </row>
    <row r="29" spans="1:9" ht="15.75">
      <c r="B29" s="42" t="s">
        <v>45</v>
      </c>
      <c r="C29" s="43">
        <f>SUM(C3:C28)</f>
        <v>1819.2199999999998</v>
      </c>
      <c r="D29" s="44"/>
      <c r="E29" s="44"/>
    </row>
    <row r="30" spans="1:9">
      <c r="B30" s="15" t="s">
        <v>5</v>
      </c>
      <c r="C30" s="10">
        <f>+H17</f>
        <v>3003.92</v>
      </c>
      <c r="D30" s="58"/>
      <c r="E30" s="58"/>
    </row>
  </sheetData>
  <sheetProtection selectLockedCells="1" selectUnlockedCells="1"/>
  <mergeCells count="3">
    <mergeCell ref="B2:C2"/>
    <mergeCell ref="G11:H11"/>
    <mergeCell ref="G16:H16"/>
  </mergeCells>
  <pageMargins left="0.75" right="0.75" top="1" bottom="1" header="0.51180555555555551" footer="0.51180555555555551"/>
  <pageSetup firstPageNumber="0" orientation="portrait" horizontalDpi="300" verticalDpi="300"/>
  <headerFooter alignWithMargins="0"/>
</worksheet>
</file>

<file path=xl/worksheets/sheet60.xml><?xml version="1.0" encoding="utf-8"?>
<worksheet xmlns="http://schemas.openxmlformats.org/spreadsheetml/2006/main" xmlns:r="http://schemas.openxmlformats.org/officeDocument/2006/relationships">
  <sheetPr>
    <pageSetUpPr autoPageBreaks="0"/>
  </sheetPr>
  <dimension ref="A1:I71"/>
  <sheetViews>
    <sheetView workbookViewId="0">
      <selection activeCell="H25" activeCellId="1" sqref="G13 H25"/>
    </sheetView>
  </sheetViews>
  <sheetFormatPr defaultColWidth="8.85546875" defaultRowHeight="12.75"/>
  <cols>
    <col min="1" max="1" width="30.42578125" customWidth="1"/>
    <col min="2" max="3" width="12.85546875" customWidth="1"/>
    <col min="4" max="5" width="13" customWidth="1"/>
    <col min="7" max="9" width="10.140625" customWidth="1"/>
  </cols>
  <sheetData>
    <row r="1" spans="1:9">
      <c r="A1" s="179" t="s">
        <v>765</v>
      </c>
      <c r="F1" s="180"/>
    </row>
    <row r="2" spans="1:9">
      <c r="A2" s="181" t="s">
        <v>766</v>
      </c>
      <c r="D2" s="180"/>
      <c r="E2" s="180"/>
      <c r="F2" s="180"/>
    </row>
    <row r="3" spans="1:9">
      <c r="A3" s="180"/>
      <c r="B3" s="180"/>
      <c r="C3" s="180"/>
      <c r="D3" s="180"/>
      <c r="E3" s="180"/>
      <c r="F3" s="180"/>
    </row>
    <row r="4" spans="1:9">
      <c r="A4" s="180" t="s">
        <v>767</v>
      </c>
      <c r="B4" s="180" t="s">
        <v>768</v>
      </c>
      <c r="C4" s="180" t="s">
        <v>769</v>
      </c>
      <c r="D4" s="180"/>
      <c r="E4" s="180"/>
      <c r="F4" s="180"/>
    </row>
    <row r="5" spans="1:9">
      <c r="A5" s="182" t="s">
        <v>770</v>
      </c>
      <c r="B5" s="183" t="s">
        <v>771</v>
      </c>
      <c r="C5" s="183">
        <v>5127</v>
      </c>
      <c r="D5" s="180"/>
      <c r="E5" s="180"/>
      <c r="F5" s="180"/>
      <c r="G5" s="180"/>
      <c r="H5" s="180"/>
      <c r="I5" s="180"/>
    </row>
    <row r="6" spans="1:9">
      <c r="A6" s="182" t="s">
        <v>772</v>
      </c>
      <c r="B6" s="183" t="s">
        <v>773</v>
      </c>
      <c r="C6" s="183">
        <v>958</v>
      </c>
      <c r="D6" s="180"/>
      <c r="E6" s="180"/>
      <c r="F6" s="180"/>
      <c r="G6" s="180"/>
      <c r="H6" s="180"/>
      <c r="I6" s="180"/>
    </row>
    <row r="7" spans="1:9">
      <c r="A7" s="182" t="s">
        <v>774</v>
      </c>
      <c r="B7" s="183" t="s">
        <v>775</v>
      </c>
      <c r="C7" s="183">
        <v>378</v>
      </c>
      <c r="D7" s="180"/>
      <c r="E7" s="180"/>
      <c r="F7" s="180"/>
      <c r="G7" s="180"/>
      <c r="H7" s="180"/>
      <c r="I7" s="180"/>
    </row>
    <row r="8" spans="1:9">
      <c r="A8" s="182" t="s">
        <v>776</v>
      </c>
      <c r="B8" s="183" t="s">
        <v>777</v>
      </c>
      <c r="C8" s="183">
        <v>7020</v>
      </c>
      <c r="D8" s="180"/>
      <c r="E8" s="180"/>
      <c r="F8" s="180"/>
      <c r="G8" s="180"/>
      <c r="H8" s="180"/>
      <c r="I8" s="180"/>
    </row>
    <row r="9" spans="1:9">
      <c r="A9" s="182" t="s">
        <v>778</v>
      </c>
      <c r="B9" s="183" t="s">
        <v>779</v>
      </c>
      <c r="C9" s="183">
        <v>2028</v>
      </c>
      <c r="D9" s="180"/>
      <c r="E9" s="180"/>
      <c r="F9" s="180"/>
      <c r="G9" s="180"/>
      <c r="H9" s="180"/>
      <c r="I9" s="180"/>
    </row>
    <row r="10" spans="1:9">
      <c r="A10" s="182" t="s">
        <v>780</v>
      </c>
      <c r="B10" s="183" t="s">
        <v>781</v>
      </c>
      <c r="C10" s="183">
        <v>657</v>
      </c>
      <c r="D10" s="180"/>
      <c r="E10" s="180"/>
      <c r="F10" s="180"/>
      <c r="G10" s="180"/>
      <c r="H10" s="180"/>
      <c r="I10" s="180"/>
    </row>
    <row r="11" spans="1:9">
      <c r="A11" s="182" t="s">
        <v>782</v>
      </c>
      <c r="B11" s="183" t="s">
        <v>783</v>
      </c>
      <c r="C11" s="183">
        <v>1017</v>
      </c>
      <c r="D11" s="180"/>
      <c r="E11" s="180"/>
      <c r="F11" s="180"/>
      <c r="G11" s="180"/>
      <c r="H11" s="180"/>
      <c r="I11" s="180"/>
    </row>
    <row r="12" spans="1:9">
      <c r="A12" s="182" t="s">
        <v>784</v>
      </c>
      <c r="B12" s="183" t="s">
        <v>785</v>
      </c>
      <c r="C12" s="183" t="s">
        <v>786</v>
      </c>
      <c r="D12" s="180"/>
      <c r="E12" s="180"/>
      <c r="F12" s="180"/>
      <c r="G12" s="180"/>
      <c r="H12" s="180"/>
      <c r="I12" s="180"/>
    </row>
    <row r="13" spans="1:9">
      <c r="A13" s="182" t="s">
        <v>787</v>
      </c>
      <c r="B13" s="183" t="s">
        <v>788</v>
      </c>
      <c r="C13" s="183">
        <v>6218</v>
      </c>
      <c r="D13" s="180"/>
      <c r="E13" s="180"/>
      <c r="F13" s="180"/>
      <c r="G13" s="180"/>
      <c r="H13" s="180"/>
      <c r="I13" s="180"/>
    </row>
    <row r="14" spans="1:9">
      <c r="A14" s="182" t="s">
        <v>789</v>
      </c>
      <c r="B14" s="183" t="s">
        <v>790</v>
      </c>
      <c r="C14" s="183">
        <v>1.825</v>
      </c>
      <c r="D14" s="180"/>
      <c r="E14" s="180"/>
      <c r="F14" s="180"/>
      <c r="G14" s="180"/>
      <c r="H14" s="180"/>
      <c r="I14" s="180"/>
    </row>
    <row r="15" spans="1:9">
      <c r="A15" s="182" t="s">
        <v>791</v>
      </c>
      <c r="B15" s="183" t="s">
        <v>792</v>
      </c>
      <c r="C15" s="183">
        <v>20051</v>
      </c>
      <c r="D15" s="180"/>
      <c r="E15" s="180"/>
      <c r="F15" s="180"/>
      <c r="G15" s="180"/>
      <c r="H15" s="180"/>
      <c r="I15" s="180"/>
    </row>
    <row r="16" spans="1:9">
      <c r="A16" s="182" t="s">
        <v>793</v>
      </c>
      <c r="B16" s="183" t="s">
        <v>794</v>
      </c>
      <c r="C16" s="183">
        <v>5795</v>
      </c>
      <c r="D16" s="180"/>
      <c r="E16" s="180"/>
      <c r="F16" s="180"/>
      <c r="G16" s="180"/>
      <c r="H16" s="180"/>
      <c r="I16" s="180"/>
    </row>
    <row r="17" spans="1:9">
      <c r="A17" s="182" t="s">
        <v>795</v>
      </c>
      <c r="B17" s="183" t="s">
        <v>796</v>
      </c>
      <c r="C17" s="183">
        <v>777</v>
      </c>
      <c r="D17" s="180"/>
      <c r="E17" s="180"/>
      <c r="F17" s="180"/>
      <c r="G17" s="180"/>
      <c r="H17" s="180"/>
      <c r="I17" s="180"/>
    </row>
    <row r="18" spans="1:9">
      <c r="A18" s="182" t="s">
        <v>797</v>
      </c>
      <c r="B18" s="183" t="s">
        <v>798</v>
      </c>
      <c r="C18" s="183">
        <v>6818</v>
      </c>
      <c r="D18" s="180"/>
      <c r="E18" s="180"/>
      <c r="F18" s="180"/>
      <c r="G18" s="180"/>
      <c r="H18" s="180"/>
      <c r="I18" s="180"/>
    </row>
    <row r="19" spans="1:9">
      <c r="A19" s="182" t="s">
        <v>799</v>
      </c>
      <c r="B19" s="183" t="s">
        <v>800</v>
      </c>
      <c r="C19" s="183">
        <v>7763</v>
      </c>
      <c r="D19" s="180"/>
      <c r="E19" s="180"/>
      <c r="F19" s="180"/>
      <c r="G19" s="180"/>
      <c r="H19" s="180"/>
      <c r="I19" s="180"/>
    </row>
    <row r="20" spans="1:9">
      <c r="A20" s="182" t="s">
        <v>801</v>
      </c>
      <c r="B20" s="183" t="s">
        <v>802</v>
      </c>
      <c r="C20" s="183" t="s">
        <v>803</v>
      </c>
      <c r="D20" s="180"/>
      <c r="E20" s="180"/>
      <c r="F20" s="180"/>
      <c r="G20" s="180"/>
      <c r="H20" s="180"/>
      <c r="I20" s="180"/>
    </row>
    <row r="21" spans="1:9">
      <c r="A21" s="182" t="s">
        <v>804</v>
      </c>
      <c r="B21" s="183" t="s">
        <v>805</v>
      </c>
      <c r="C21" s="183">
        <v>54310</v>
      </c>
      <c r="D21" s="180"/>
      <c r="E21" s="180"/>
      <c r="F21" s="180"/>
      <c r="G21" s="180"/>
      <c r="H21" s="180"/>
      <c r="I21" s="180"/>
    </row>
    <row r="22" spans="1:9">
      <c r="A22" s="182" t="s">
        <v>806</v>
      </c>
      <c r="B22" s="183" t="s">
        <v>807</v>
      </c>
      <c r="C22" s="183">
        <v>9.7260000000000009</v>
      </c>
      <c r="D22" s="180"/>
      <c r="E22" s="180"/>
      <c r="F22" s="180"/>
      <c r="G22" s="180"/>
      <c r="H22" s="180"/>
      <c r="I22" s="180"/>
    </row>
    <row r="23" spans="1:9">
      <c r="A23" s="182" t="s">
        <v>808</v>
      </c>
      <c r="B23" s="183" t="s">
        <v>809</v>
      </c>
      <c r="C23" s="183">
        <v>93040</v>
      </c>
      <c r="D23" s="180"/>
      <c r="E23" s="180"/>
      <c r="F23" s="180"/>
      <c r="G23" s="180"/>
      <c r="H23" s="180"/>
      <c r="I23" s="180"/>
    </row>
    <row r="24" spans="1:9">
      <c r="A24" s="182" t="s">
        <v>810</v>
      </c>
      <c r="B24" s="183" t="s">
        <v>811</v>
      </c>
      <c r="C24" s="183">
        <v>709</v>
      </c>
      <c r="D24" s="180"/>
      <c r="E24" s="180"/>
      <c r="F24" s="180"/>
      <c r="G24" s="180"/>
      <c r="H24" s="180"/>
      <c r="I24" s="180"/>
    </row>
    <row r="25" spans="1:9">
      <c r="A25" s="182" t="s">
        <v>812</v>
      </c>
      <c r="B25" s="183" t="s">
        <v>813</v>
      </c>
      <c r="C25" s="183">
        <v>85530</v>
      </c>
      <c r="D25" s="180"/>
      <c r="E25" s="180"/>
      <c r="F25" s="180"/>
      <c r="G25" s="180"/>
      <c r="H25" s="180"/>
      <c r="I25" s="180"/>
    </row>
    <row r="26" spans="1:9">
      <c r="A26" s="182" t="s">
        <v>814</v>
      </c>
      <c r="B26" s="183" t="s">
        <v>815</v>
      </c>
      <c r="C26" s="183">
        <v>1.113</v>
      </c>
      <c r="D26" s="180"/>
      <c r="E26" s="180"/>
      <c r="F26" s="180"/>
      <c r="G26" s="180"/>
      <c r="H26" s="180"/>
      <c r="I26" s="180"/>
    </row>
    <row r="27" spans="1:9">
      <c r="A27" s="182" t="s">
        <v>816</v>
      </c>
      <c r="B27" s="183" t="s">
        <v>817</v>
      </c>
      <c r="C27" s="183">
        <v>286</v>
      </c>
      <c r="D27" s="180"/>
      <c r="E27" s="180"/>
      <c r="F27" s="180"/>
      <c r="G27" s="180"/>
      <c r="H27" s="180"/>
      <c r="I27" s="180"/>
    </row>
    <row r="28" spans="1:9">
      <c r="A28" s="182" t="s">
        <v>818</v>
      </c>
      <c r="B28" s="183" t="s">
        <v>819</v>
      </c>
      <c r="C28" s="183">
        <v>8631</v>
      </c>
      <c r="D28" s="180"/>
      <c r="E28" s="180"/>
      <c r="F28" s="180"/>
      <c r="G28" s="180"/>
      <c r="H28" s="180"/>
      <c r="I28" s="180"/>
    </row>
    <row r="29" spans="1:9">
      <c r="A29" s="182" t="s">
        <v>820</v>
      </c>
      <c r="B29" s="183" t="s">
        <v>821</v>
      </c>
      <c r="C29" s="183">
        <v>3095</v>
      </c>
      <c r="D29" s="180"/>
      <c r="E29" s="180"/>
      <c r="F29" s="180"/>
      <c r="G29" s="180"/>
      <c r="H29" s="180"/>
      <c r="I29" s="180"/>
    </row>
    <row r="30" spans="1:9">
      <c r="A30" s="182" t="s">
        <v>822</v>
      </c>
      <c r="B30" s="183" t="s">
        <v>823</v>
      </c>
      <c r="C30" s="183">
        <v>12356</v>
      </c>
      <c r="D30" s="180"/>
      <c r="E30" s="180"/>
      <c r="F30" s="180"/>
      <c r="G30" s="180"/>
      <c r="H30" s="180"/>
      <c r="I30" s="180"/>
    </row>
    <row r="31" spans="1:9">
      <c r="A31" s="182" t="s">
        <v>824</v>
      </c>
      <c r="B31" s="183" t="s">
        <v>825</v>
      </c>
      <c r="C31" s="183">
        <v>5811</v>
      </c>
      <c r="D31" s="180"/>
      <c r="E31" s="180"/>
      <c r="F31" s="180"/>
      <c r="G31" s="180"/>
      <c r="H31" s="180"/>
      <c r="I31" s="180"/>
    </row>
    <row r="32" spans="1:9">
      <c r="A32" s="182" t="s">
        <v>826</v>
      </c>
      <c r="B32" s="183" t="s">
        <v>827</v>
      </c>
      <c r="C32" s="183">
        <v>385</v>
      </c>
      <c r="D32" s="180"/>
      <c r="E32" s="180"/>
      <c r="F32" s="180"/>
      <c r="G32" s="180"/>
      <c r="H32" s="180"/>
      <c r="I32" s="180"/>
    </row>
    <row r="33" spans="1:9">
      <c r="A33" s="182" t="s">
        <v>828</v>
      </c>
      <c r="B33" s="183" t="s">
        <v>829</v>
      </c>
      <c r="C33" s="183">
        <v>2596</v>
      </c>
      <c r="D33" s="180"/>
      <c r="E33" s="180"/>
      <c r="F33" s="180"/>
      <c r="G33" s="180"/>
      <c r="H33" s="180"/>
      <c r="I33" s="180"/>
    </row>
    <row r="34" spans="1:9">
      <c r="A34" s="182" t="s">
        <v>830</v>
      </c>
      <c r="B34" s="183" t="s">
        <v>831</v>
      </c>
      <c r="C34" s="183">
        <v>40910</v>
      </c>
      <c r="D34" s="180"/>
      <c r="E34" s="180"/>
      <c r="F34" s="180"/>
      <c r="G34" s="180"/>
      <c r="H34" s="180"/>
      <c r="I34" s="180"/>
    </row>
    <row r="35" spans="1:9">
      <c r="A35" s="182" t="s">
        <v>832</v>
      </c>
      <c r="B35" s="183" t="s">
        <v>833</v>
      </c>
      <c r="C35" s="183">
        <v>98960</v>
      </c>
      <c r="D35" s="180"/>
      <c r="E35" s="180"/>
      <c r="F35" s="180"/>
      <c r="G35" s="180"/>
      <c r="H35" s="180"/>
      <c r="I35" s="180"/>
    </row>
    <row r="36" spans="1:9">
      <c r="A36" s="182" t="s">
        <v>834</v>
      </c>
      <c r="B36" s="183" t="s">
        <v>835</v>
      </c>
      <c r="C36" s="183">
        <v>3751</v>
      </c>
      <c r="D36" s="180"/>
      <c r="E36" s="180"/>
      <c r="F36" s="180"/>
      <c r="G36" s="180"/>
      <c r="H36" s="180"/>
      <c r="I36" s="180"/>
    </row>
    <row r="37" spans="1:9">
      <c r="A37" s="182" t="s">
        <v>836</v>
      </c>
      <c r="B37" s="183" t="s">
        <v>837</v>
      </c>
      <c r="C37" s="183">
        <v>1238</v>
      </c>
      <c r="D37" s="180"/>
      <c r="E37" s="180"/>
      <c r="F37" s="180"/>
      <c r="G37" s="180"/>
      <c r="H37" s="180"/>
      <c r="I37" s="180"/>
    </row>
    <row r="38" spans="1:9">
      <c r="A38" s="182" t="s">
        <v>838</v>
      </c>
      <c r="B38" s="183" t="s">
        <v>839</v>
      </c>
      <c r="C38" s="183">
        <v>9195</v>
      </c>
      <c r="D38" s="180"/>
      <c r="E38" s="180"/>
      <c r="F38" s="180"/>
      <c r="G38" s="180"/>
      <c r="H38" s="180"/>
      <c r="I38" s="180"/>
    </row>
    <row r="39" spans="1:9">
      <c r="A39" s="182" t="s">
        <v>840</v>
      </c>
      <c r="B39" s="183" t="s">
        <v>841</v>
      </c>
      <c r="C39" s="183">
        <v>6502</v>
      </c>
      <c r="D39" s="180"/>
      <c r="E39" s="180"/>
      <c r="F39" s="180"/>
      <c r="G39" s="180"/>
      <c r="H39" s="180"/>
      <c r="I39" s="180"/>
    </row>
    <row r="40" spans="1:9">
      <c r="A40" s="182" t="s">
        <v>842</v>
      </c>
      <c r="B40" s="183" t="s">
        <v>843</v>
      </c>
      <c r="C40" s="183">
        <v>945</v>
      </c>
      <c r="D40" s="180"/>
      <c r="E40" s="180"/>
      <c r="F40" s="180"/>
      <c r="G40" s="180"/>
      <c r="H40" s="180"/>
      <c r="I40" s="180"/>
    </row>
    <row r="41" spans="1:9">
      <c r="A41" s="182" t="s">
        <v>844</v>
      </c>
      <c r="B41" s="183" t="s">
        <v>845</v>
      </c>
      <c r="C41" s="183">
        <v>29855</v>
      </c>
      <c r="D41" s="180"/>
      <c r="E41" s="180"/>
      <c r="F41" s="180"/>
      <c r="G41" s="180"/>
      <c r="H41" s="180"/>
      <c r="I41" s="180"/>
    </row>
    <row r="42" spans="1:9">
      <c r="A42" s="182" t="s">
        <v>846</v>
      </c>
      <c r="B42" s="183" t="s">
        <v>847</v>
      </c>
      <c r="C42" s="183">
        <v>29310</v>
      </c>
      <c r="D42" s="180"/>
      <c r="E42" s="180"/>
      <c r="F42" s="180"/>
      <c r="G42" s="180"/>
      <c r="H42" s="180"/>
      <c r="I42" s="180"/>
    </row>
    <row r="43" spans="1:9">
      <c r="A43" s="182" t="s">
        <v>848</v>
      </c>
      <c r="B43" s="183" t="s">
        <v>849</v>
      </c>
      <c r="C43" s="183">
        <v>1596</v>
      </c>
      <c r="D43" s="180"/>
      <c r="E43" s="180"/>
      <c r="F43" s="180"/>
      <c r="G43" s="180"/>
      <c r="H43" s="180"/>
      <c r="I43" s="180"/>
    </row>
    <row r="44" spans="1:9">
      <c r="A44" s="182" t="s">
        <v>850</v>
      </c>
      <c r="B44" s="183" t="s">
        <v>851</v>
      </c>
      <c r="C44" s="183">
        <v>3674</v>
      </c>
      <c r="D44" s="180"/>
      <c r="E44" s="180"/>
      <c r="F44" s="180"/>
      <c r="G44" s="180"/>
      <c r="H44" s="180"/>
      <c r="I44" s="180"/>
    </row>
    <row r="45" spans="1:9">
      <c r="A45" s="180" t="s">
        <v>852</v>
      </c>
      <c r="B45" s="183">
        <v>1</v>
      </c>
      <c r="C45" s="183">
        <v>1</v>
      </c>
      <c r="D45" s="180"/>
      <c r="E45" s="180"/>
      <c r="F45" s="180"/>
      <c r="G45" s="180"/>
      <c r="H45" s="180"/>
      <c r="I45" s="180"/>
    </row>
    <row r="46" spans="1:9">
      <c r="A46" s="182" t="s">
        <v>853</v>
      </c>
      <c r="B46" s="183" t="s">
        <v>854</v>
      </c>
      <c r="C46" s="183">
        <v>6296</v>
      </c>
      <c r="D46" s="180"/>
      <c r="E46" s="180"/>
      <c r="F46" s="180"/>
      <c r="G46" s="180"/>
      <c r="H46" s="180"/>
      <c r="I46" s="180"/>
    </row>
    <row r="47" spans="1:9">
      <c r="A47" s="180"/>
      <c r="B47" s="180"/>
      <c r="C47" s="180"/>
      <c r="D47" s="180"/>
      <c r="E47" s="180"/>
      <c r="F47" s="180"/>
    </row>
    <row r="48" spans="1:9">
      <c r="A48" s="179" t="s">
        <v>855</v>
      </c>
      <c r="F48" s="179"/>
    </row>
    <row r="49" spans="1:6">
      <c r="A49" s="179"/>
    </row>
    <row r="50" spans="1:6" ht="12.75" customHeight="1">
      <c r="A50" s="179" t="s">
        <v>856</v>
      </c>
    </row>
    <row r="51" spans="1:6" ht="26.25" customHeight="1">
      <c r="A51" s="179"/>
    </row>
    <row r="52" spans="1:6">
      <c r="A52" s="179" t="s">
        <v>857</v>
      </c>
    </row>
    <row r="53" spans="1:6">
      <c r="A53" s="179"/>
    </row>
    <row r="54" spans="1:6">
      <c r="A54" s="179" t="s">
        <v>858</v>
      </c>
    </row>
    <row r="55" spans="1:6">
      <c r="A55" s="179"/>
    </row>
    <row r="56" spans="1:6">
      <c r="A56" s="179" t="s">
        <v>859</v>
      </c>
    </row>
    <row r="57" spans="1:6">
      <c r="A57" s="180"/>
      <c r="B57" s="180"/>
      <c r="C57" s="180"/>
      <c r="D57" s="180"/>
      <c r="E57" s="180"/>
      <c r="F57" s="180"/>
    </row>
    <row r="58" spans="1:6">
      <c r="A58" s="182" t="s">
        <v>860</v>
      </c>
      <c r="B58" s="180"/>
      <c r="C58" s="181" t="s">
        <v>861</v>
      </c>
      <c r="F58" s="180"/>
    </row>
    <row r="59" spans="1:6">
      <c r="A59" s="180" t="s">
        <v>862</v>
      </c>
      <c r="B59" s="180"/>
      <c r="C59" s="179" t="s">
        <v>863</v>
      </c>
      <c r="F59" s="180"/>
    </row>
    <row r="60" spans="1:6">
      <c r="A60" s="180"/>
      <c r="B60" s="180"/>
      <c r="C60" s="180"/>
      <c r="D60" s="180"/>
      <c r="E60" s="180"/>
      <c r="F60" s="180"/>
    </row>
    <row r="61" spans="1:6">
      <c r="A61" s="181" t="s">
        <v>864</v>
      </c>
      <c r="F61" s="179"/>
    </row>
    <row r="62" spans="1:6">
      <c r="A62" s="179"/>
    </row>
    <row r="63" spans="1:6">
      <c r="A63" s="181" t="s">
        <v>865</v>
      </c>
    </row>
    <row r="64" spans="1:6">
      <c r="A64" s="179"/>
    </row>
    <row r="65" spans="1:1">
      <c r="A65" s="181" t="s">
        <v>866</v>
      </c>
    </row>
    <row r="66" spans="1:1">
      <c r="A66" s="179"/>
    </row>
    <row r="67" spans="1:1">
      <c r="A67" s="181" t="s">
        <v>867</v>
      </c>
    </row>
    <row r="68" spans="1:1">
      <c r="A68" s="179"/>
    </row>
    <row r="69" spans="1:1">
      <c r="A69" s="181" t="s">
        <v>868</v>
      </c>
    </row>
    <row r="70" spans="1:1">
      <c r="A70" s="179"/>
    </row>
    <row r="71" spans="1:1">
      <c r="A71" s="181" t="s">
        <v>869</v>
      </c>
    </row>
  </sheetData>
  <sheetProtection selectLockedCells="1" selectUnlockedCells="1"/>
  <hyperlinks>
    <hyperlink ref="A2"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6" r:id="rId42"/>
    <hyperlink ref="A58" r:id="rId43"/>
    <hyperlink ref="C58" r:id="rId44"/>
    <hyperlink ref="A61" r:id="rId45"/>
    <hyperlink ref="A63" r:id="rId46"/>
    <hyperlink ref="A65" r:id="rId47"/>
    <hyperlink ref="A67" r:id="rId48"/>
    <hyperlink ref="A69" r:id="rId49"/>
    <hyperlink ref="A71" r:id="rId50"/>
  </hyperlinks>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1.xml><?xml version="1.0" encoding="utf-8"?>
<worksheet xmlns="http://schemas.openxmlformats.org/spreadsheetml/2006/main" xmlns:r="http://schemas.openxmlformats.org/officeDocument/2006/relationships">
  <sheetPr>
    <pageSetUpPr autoPageBreaks="0"/>
  </sheetPr>
  <dimension ref="B1:N30"/>
  <sheetViews>
    <sheetView zoomScale="86" zoomScaleNormal="86" zoomScalePageLayoutView="86" workbookViewId="0">
      <selection activeCell="B29" activeCellId="1" sqref="G13 B29"/>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20" customWidth="1"/>
    <col min="14" max="14" width="6.28515625" customWidth="1"/>
    <col min="15" max="15" width="1.42578125" customWidth="1"/>
  </cols>
  <sheetData>
    <row r="1" spans="2:14">
      <c r="E1" s="106"/>
    </row>
    <row r="2" spans="2:14" ht="18">
      <c r="B2" s="220" t="s">
        <v>135</v>
      </c>
      <c r="C2" s="220" t="s">
        <v>136</v>
      </c>
      <c r="D2" s="90"/>
      <c r="E2" s="220" t="s">
        <v>0</v>
      </c>
      <c r="F2" s="82" t="s">
        <v>1</v>
      </c>
      <c r="G2" s="82" t="s">
        <v>57</v>
      </c>
      <c r="I2" s="221" t="s">
        <v>48</v>
      </c>
      <c r="J2" s="221" t="s">
        <v>1</v>
      </c>
      <c r="L2" s="221" t="s">
        <v>707</v>
      </c>
      <c r="M2" s="221" t="s">
        <v>408</v>
      </c>
      <c r="N2" s="221" t="s">
        <v>1</v>
      </c>
    </row>
    <row r="3" spans="2:14">
      <c r="B3" s="71" t="s">
        <v>11</v>
      </c>
      <c r="C3" s="91">
        <v>0</v>
      </c>
      <c r="D3" s="92"/>
      <c r="E3" s="95">
        <v>-71.209999999999994</v>
      </c>
      <c r="F3" s="61"/>
      <c r="G3" s="61"/>
      <c r="I3" s="10">
        <v>0</v>
      </c>
      <c r="J3" s="16"/>
      <c r="L3" s="10">
        <v>1071.8399999999999</v>
      </c>
      <c r="M3" s="10" t="s">
        <v>752</v>
      </c>
      <c r="N3" s="16"/>
    </row>
    <row r="4" spans="2:14" ht="12" customHeight="1">
      <c r="B4" s="71" t="s">
        <v>56</v>
      </c>
      <c r="C4" s="91">
        <v>0</v>
      </c>
      <c r="D4" s="92"/>
      <c r="E4" s="95">
        <v>-148.94999999999999</v>
      </c>
      <c r="F4" s="72"/>
      <c r="G4" s="72"/>
      <c r="I4" s="10">
        <v>0</v>
      </c>
      <c r="J4" s="16"/>
      <c r="L4" s="10">
        <v>0</v>
      </c>
      <c r="M4" s="10" t="s">
        <v>756</v>
      </c>
      <c r="N4" s="16"/>
    </row>
    <row r="5" spans="2:14" ht="12" customHeight="1">
      <c r="B5" s="71" t="s">
        <v>5</v>
      </c>
      <c r="C5" s="91">
        <v>3326.21</v>
      </c>
      <c r="D5" s="92"/>
      <c r="E5" s="95">
        <v>0</v>
      </c>
      <c r="F5" s="72"/>
      <c r="G5" s="72"/>
      <c r="I5" s="10">
        <v>0</v>
      </c>
      <c r="J5" s="16"/>
      <c r="L5" s="10">
        <v>0</v>
      </c>
      <c r="M5" s="10" t="s">
        <v>757</v>
      </c>
      <c r="N5" s="16"/>
    </row>
    <row r="6" spans="2:14">
      <c r="B6" s="71" t="s">
        <v>107</v>
      </c>
      <c r="C6" s="91">
        <v>133</v>
      </c>
      <c r="D6" s="92"/>
      <c r="E6" s="95">
        <v>0</v>
      </c>
      <c r="F6" s="72"/>
      <c r="G6" s="72"/>
      <c r="I6" s="10"/>
      <c r="J6" s="16"/>
      <c r="L6" s="10">
        <v>0</v>
      </c>
      <c r="M6" s="10" t="s">
        <v>870</v>
      </c>
      <c r="N6" s="16"/>
    </row>
    <row r="7" spans="2:14">
      <c r="B7" s="71" t="s">
        <v>755</v>
      </c>
      <c r="C7" s="91">
        <v>6000</v>
      </c>
      <c r="D7" s="92"/>
      <c r="E7" s="95">
        <v>0</v>
      </c>
      <c r="F7" s="72"/>
      <c r="G7" s="72"/>
      <c r="I7" s="10"/>
      <c r="J7" s="16"/>
      <c r="L7" s="10">
        <v>0</v>
      </c>
      <c r="M7" s="10" t="s">
        <v>871</v>
      </c>
      <c r="N7" s="16"/>
    </row>
    <row r="8" spans="2:14">
      <c r="B8" s="71" t="s">
        <v>872</v>
      </c>
      <c r="C8" s="91">
        <f>-113.97-279.27-11-59.64</f>
        <v>-463.88</v>
      </c>
      <c r="D8" s="92"/>
      <c r="E8" s="95">
        <v>0</v>
      </c>
      <c r="F8" s="72"/>
      <c r="G8" s="72"/>
      <c r="I8" s="10"/>
      <c r="J8" s="16"/>
      <c r="L8" s="10">
        <v>0</v>
      </c>
      <c r="M8" s="10" t="s">
        <v>758</v>
      </c>
      <c r="N8" s="16"/>
    </row>
    <row r="9" spans="2:14">
      <c r="B9" s="71" t="s">
        <v>873</v>
      </c>
      <c r="C9" s="91">
        <v>-1159</v>
      </c>
      <c r="D9" s="92"/>
      <c r="E9" s="95">
        <v>0</v>
      </c>
      <c r="F9" s="72"/>
      <c r="G9" s="72"/>
      <c r="I9" s="60">
        <f>SUM(I3:I8)</f>
        <v>0</v>
      </c>
      <c r="J9" s="160" t="s">
        <v>21</v>
      </c>
      <c r="L9" s="10">
        <v>0</v>
      </c>
      <c r="M9" s="10" t="s">
        <v>874</v>
      </c>
      <c r="N9" s="16"/>
    </row>
    <row r="10" spans="2:14" ht="12.75" customHeight="1">
      <c r="B10" s="71" t="s">
        <v>875</v>
      </c>
      <c r="C10" s="91">
        <v>3350</v>
      </c>
      <c r="D10" s="92"/>
      <c r="E10" s="95">
        <v>0</v>
      </c>
      <c r="F10" s="72"/>
      <c r="G10" s="72"/>
      <c r="I10" s="1"/>
      <c r="L10" s="10">
        <v>0</v>
      </c>
      <c r="M10" s="10" t="s">
        <v>762</v>
      </c>
      <c r="N10" s="16"/>
    </row>
    <row r="11" spans="2:14">
      <c r="B11" s="71" t="s">
        <v>755</v>
      </c>
      <c r="C11" s="91">
        <v>500</v>
      </c>
      <c r="D11" s="92"/>
      <c r="E11" s="95">
        <v>0</v>
      </c>
      <c r="F11" s="72"/>
      <c r="G11" s="72"/>
      <c r="I11" s="52"/>
      <c r="L11" s="10">
        <v>0</v>
      </c>
      <c r="M11" s="10" t="s">
        <v>592</v>
      </c>
      <c r="N11" s="16"/>
    </row>
    <row r="12" spans="2:14">
      <c r="B12" s="99" t="s">
        <v>707</v>
      </c>
      <c r="C12" s="96">
        <v>-3500</v>
      </c>
      <c r="D12" s="97"/>
      <c r="E12" s="63">
        <v>0</v>
      </c>
      <c r="F12" s="64"/>
      <c r="G12" s="64" t="s">
        <v>58</v>
      </c>
      <c r="L12" s="10"/>
      <c r="M12" s="10"/>
      <c r="N12" s="16"/>
    </row>
    <row r="13" spans="2:14">
      <c r="B13" s="99" t="s">
        <v>65</v>
      </c>
      <c r="C13" s="96">
        <v>-300</v>
      </c>
      <c r="D13" s="97"/>
      <c r="E13" s="63">
        <v>0</v>
      </c>
      <c r="F13" s="64"/>
      <c r="G13" s="64" t="s">
        <v>58</v>
      </c>
      <c r="L13" s="10">
        <v>0</v>
      </c>
      <c r="M13" s="10" t="s">
        <v>876</v>
      </c>
      <c r="N13" s="16">
        <v>40556</v>
      </c>
    </row>
    <row r="14" spans="2:14">
      <c r="B14" s="99" t="s">
        <v>93</v>
      </c>
      <c r="C14" s="96">
        <v>-241.17</v>
      </c>
      <c r="D14" s="97"/>
      <c r="E14" s="63">
        <v>0</v>
      </c>
      <c r="F14" s="64"/>
      <c r="G14" s="64" t="s">
        <v>58</v>
      </c>
      <c r="L14" s="10">
        <v>0</v>
      </c>
      <c r="M14" s="10" t="s">
        <v>877</v>
      </c>
      <c r="N14" s="16">
        <v>40557</v>
      </c>
    </row>
    <row r="15" spans="2:14">
      <c r="B15" s="99" t="s">
        <v>610</v>
      </c>
      <c r="C15" s="96">
        <v>-1600.93</v>
      </c>
      <c r="D15" s="97"/>
      <c r="E15" s="63">
        <v>0</v>
      </c>
      <c r="F15" s="64"/>
      <c r="G15" s="64" t="s">
        <v>58</v>
      </c>
      <c r="L15" s="10"/>
      <c r="M15" s="10"/>
      <c r="N15" s="16"/>
    </row>
    <row r="16" spans="2:14">
      <c r="B16" s="99" t="s">
        <v>103</v>
      </c>
      <c r="C16" s="96">
        <v>-2485.14</v>
      </c>
      <c r="D16" s="97"/>
      <c r="E16" s="63">
        <v>0</v>
      </c>
      <c r="F16" s="64"/>
      <c r="G16" s="64" t="s">
        <v>58</v>
      </c>
      <c r="L16" s="10"/>
      <c r="M16" s="10"/>
      <c r="N16" s="16"/>
    </row>
    <row r="17" spans="2:14">
      <c r="B17" s="99" t="s">
        <v>878</v>
      </c>
      <c r="C17" s="96">
        <v>-3000</v>
      </c>
      <c r="D17" s="97"/>
      <c r="E17" s="63">
        <v>0</v>
      </c>
      <c r="F17" s="64"/>
      <c r="G17" s="64" t="s">
        <v>58</v>
      </c>
      <c r="L17" s="10"/>
      <c r="M17" s="10"/>
      <c r="N17" s="16"/>
    </row>
    <row r="18" spans="2:14">
      <c r="B18" s="99" t="s">
        <v>73</v>
      </c>
      <c r="C18" s="96">
        <v>-345.51</v>
      </c>
      <c r="D18" s="97"/>
      <c r="E18" s="63">
        <v>0</v>
      </c>
      <c r="F18" s="64"/>
      <c r="G18" s="64" t="s">
        <v>58</v>
      </c>
      <c r="H18" s="143"/>
      <c r="L18" s="10"/>
      <c r="M18" s="10"/>
      <c r="N18" s="16"/>
    </row>
    <row r="19" spans="2:14">
      <c r="B19" s="99" t="s">
        <v>879</v>
      </c>
      <c r="C19" s="96">
        <v>-52.95</v>
      </c>
      <c r="D19" s="97"/>
      <c r="E19" s="63">
        <v>0</v>
      </c>
      <c r="F19" s="64"/>
      <c r="G19" s="64" t="s">
        <v>58</v>
      </c>
      <c r="L19" s="10"/>
      <c r="M19" s="10"/>
      <c r="N19" s="16"/>
    </row>
    <row r="20" spans="2:14">
      <c r="B20" s="99" t="s">
        <v>880</v>
      </c>
      <c r="C20" s="96">
        <v>-310</v>
      </c>
      <c r="D20" s="97"/>
      <c r="E20" s="63">
        <v>0</v>
      </c>
      <c r="F20" s="64"/>
      <c r="G20" s="64" t="s">
        <v>58</v>
      </c>
      <c r="L20" s="144">
        <f>SUM(L3:L19)</f>
        <v>1071.8399999999999</v>
      </c>
      <c r="M20" s="144" t="s">
        <v>21</v>
      </c>
      <c r="N20" s="145"/>
    </row>
    <row r="21" spans="2:14">
      <c r="B21" s="99" t="s">
        <v>684</v>
      </c>
      <c r="C21" s="96">
        <v>-52.95</v>
      </c>
      <c r="D21" s="97"/>
      <c r="E21" s="63">
        <v>0</v>
      </c>
      <c r="F21" s="64"/>
      <c r="G21" s="64" t="s">
        <v>58</v>
      </c>
    </row>
    <row r="22" spans="2:14">
      <c r="B22" s="99" t="s">
        <v>764</v>
      </c>
      <c r="C22" s="96">
        <v>-49.51</v>
      </c>
      <c r="D22" s="97"/>
      <c r="E22" s="63">
        <v>0</v>
      </c>
      <c r="F22" s="64"/>
      <c r="G22" s="64" t="s">
        <v>58</v>
      </c>
      <c r="L22" s="1"/>
    </row>
    <row r="23" spans="2:14">
      <c r="B23" s="99" t="s">
        <v>711</v>
      </c>
      <c r="C23" s="96">
        <v>-82.31</v>
      </c>
      <c r="D23" s="97"/>
      <c r="E23" s="63">
        <v>0</v>
      </c>
      <c r="F23" s="64"/>
      <c r="G23" s="64" t="s">
        <v>58</v>
      </c>
    </row>
    <row r="24" spans="2:14">
      <c r="B24" s="99" t="s">
        <v>714</v>
      </c>
      <c r="C24" s="96">
        <v>-19.78</v>
      </c>
      <c r="D24" s="97"/>
      <c r="E24" s="63">
        <v>0</v>
      </c>
      <c r="F24" s="64"/>
      <c r="G24" s="64" t="s">
        <v>58</v>
      </c>
    </row>
    <row r="25" spans="2:14">
      <c r="B25" s="99" t="s">
        <v>881</v>
      </c>
      <c r="C25" s="96">
        <v>-47.01</v>
      </c>
      <c r="D25" s="97"/>
      <c r="E25" s="63">
        <v>0</v>
      </c>
      <c r="F25" s="64"/>
      <c r="G25" s="64" t="s">
        <v>58</v>
      </c>
    </row>
    <row r="26" spans="2:14">
      <c r="B26" s="99" t="s">
        <v>882</v>
      </c>
      <c r="C26" s="96">
        <f>-67-40</f>
        <v>-107</v>
      </c>
      <c r="D26" s="97"/>
      <c r="E26" s="63">
        <v>0</v>
      </c>
      <c r="F26" s="64"/>
      <c r="G26" s="64" t="s">
        <v>58</v>
      </c>
    </row>
    <row r="27" spans="2:14">
      <c r="B27" s="99" t="s">
        <v>77</v>
      </c>
      <c r="C27" s="96">
        <v>-161.80000000000001</v>
      </c>
      <c r="D27" s="97"/>
      <c r="E27" s="63">
        <v>0</v>
      </c>
      <c r="F27" s="64"/>
      <c r="G27" s="64" t="s">
        <v>58</v>
      </c>
    </row>
    <row r="28" spans="2:14">
      <c r="B28" s="99" t="s">
        <v>686</v>
      </c>
      <c r="C28" s="96">
        <v>-510.9</v>
      </c>
      <c r="D28" s="97"/>
      <c r="E28" s="63">
        <v>0</v>
      </c>
      <c r="F28" s="64"/>
      <c r="G28" s="64" t="s">
        <v>58</v>
      </c>
    </row>
    <row r="29" spans="2:14">
      <c r="B29" s="99" t="s">
        <v>883</v>
      </c>
      <c r="C29" s="96">
        <v>-38</v>
      </c>
      <c r="D29" s="97"/>
      <c r="E29" s="63">
        <v>0</v>
      </c>
      <c r="F29" s="64"/>
      <c r="G29" s="64" t="s">
        <v>58</v>
      </c>
    </row>
    <row r="30" spans="2:14" ht="18">
      <c r="B30" s="74" t="s">
        <v>45</v>
      </c>
      <c r="C30" s="101"/>
      <c r="D30" s="98"/>
      <c r="E30" s="129">
        <f>SUM(E3:E29)</f>
        <v>-220.15999999999997</v>
      </c>
      <c r="F30" s="75"/>
      <c r="G30"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2.xml><?xml version="1.0" encoding="utf-8"?>
<worksheet xmlns="http://schemas.openxmlformats.org/spreadsheetml/2006/main" xmlns:r="http://schemas.openxmlformats.org/officeDocument/2006/relationships">
  <sheetPr>
    <pageSetUpPr autoPageBreaks="0"/>
  </sheetPr>
  <dimension ref="B1:Q28"/>
  <sheetViews>
    <sheetView zoomScale="86" zoomScaleNormal="86" zoomScalePageLayoutView="86" workbookViewId="0">
      <selection activeCell="C10" activeCellId="1" sqref="G13 C10"/>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20" customWidth="1"/>
    <col min="14" max="14" width="6.28515625" customWidth="1"/>
    <col min="15" max="15" width="1.42578125" customWidth="1"/>
    <col min="16" max="16" width="12.28515625" customWidth="1"/>
    <col min="17" max="17" width="17.28515625" customWidth="1"/>
  </cols>
  <sheetData>
    <row r="1" spans="2:17">
      <c r="E1" s="106"/>
    </row>
    <row r="2" spans="2:17" ht="18">
      <c r="B2" s="220" t="s">
        <v>135</v>
      </c>
      <c r="C2" s="220" t="s">
        <v>136</v>
      </c>
      <c r="D2" s="90"/>
      <c r="E2" s="220" t="s">
        <v>0</v>
      </c>
      <c r="F2" s="82" t="s">
        <v>1</v>
      </c>
      <c r="G2" s="82" t="s">
        <v>57</v>
      </c>
      <c r="I2" s="221" t="s">
        <v>48</v>
      </c>
      <c r="J2" s="221" t="s">
        <v>1</v>
      </c>
      <c r="L2" s="221" t="s">
        <v>707</v>
      </c>
      <c r="M2" s="221" t="s">
        <v>408</v>
      </c>
      <c r="N2" s="221" t="s">
        <v>1</v>
      </c>
      <c r="P2" s="8" t="s">
        <v>884</v>
      </c>
      <c r="Q2" s="8" t="s">
        <v>408</v>
      </c>
    </row>
    <row r="3" spans="2:17">
      <c r="B3" s="71" t="s">
        <v>11</v>
      </c>
      <c r="C3" s="91">
        <v>0</v>
      </c>
      <c r="D3" s="92"/>
      <c r="E3" s="95">
        <v>39.79</v>
      </c>
      <c r="F3" s="61"/>
      <c r="G3" s="61"/>
      <c r="I3" s="10">
        <v>0</v>
      </c>
      <c r="J3" s="16"/>
      <c r="L3" s="10">
        <v>2583.6</v>
      </c>
      <c r="M3" s="10" t="s">
        <v>752</v>
      </c>
      <c r="N3" s="16"/>
      <c r="P3" s="52">
        <f>(65*8)/2</f>
        <v>260</v>
      </c>
      <c r="Q3" s="8" t="s">
        <v>885</v>
      </c>
    </row>
    <row r="4" spans="2:17" ht="12" customHeight="1">
      <c r="B4" s="71" t="s">
        <v>56</v>
      </c>
      <c r="C4" s="91">
        <v>0</v>
      </c>
      <c r="D4" s="92"/>
      <c r="E4" s="95">
        <v>-204.82</v>
      </c>
      <c r="F4" s="72"/>
      <c r="G4" s="72"/>
      <c r="I4" s="10">
        <v>0</v>
      </c>
      <c r="J4" s="16"/>
      <c r="L4" s="10">
        <v>0</v>
      </c>
      <c r="M4" s="10" t="s">
        <v>707</v>
      </c>
      <c r="N4" s="16"/>
      <c r="P4" s="52">
        <v>0</v>
      </c>
      <c r="Q4" s="8" t="s">
        <v>886</v>
      </c>
    </row>
    <row r="5" spans="2:17" ht="12" customHeight="1">
      <c r="B5" s="71" t="s">
        <v>887</v>
      </c>
      <c r="C5" s="91">
        <f>5454.16</f>
        <v>5454.16</v>
      </c>
      <c r="D5" s="92"/>
      <c r="E5" s="95">
        <v>0</v>
      </c>
      <c r="F5" s="72"/>
      <c r="G5" s="72"/>
      <c r="I5" s="10">
        <v>0</v>
      </c>
      <c r="J5" s="16"/>
      <c r="L5" s="10">
        <v>0</v>
      </c>
      <c r="M5" s="10" t="s">
        <v>888</v>
      </c>
      <c r="N5" s="16"/>
      <c r="P5" s="52">
        <f>80*2</f>
        <v>160</v>
      </c>
      <c r="Q5" s="8" t="s">
        <v>889</v>
      </c>
    </row>
    <row r="6" spans="2:17">
      <c r="B6" s="71" t="s">
        <v>5</v>
      </c>
      <c r="C6" s="91">
        <v>4100.96</v>
      </c>
      <c r="D6" s="92"/>
      <c r="E6" s="95">
        <v>0</v>
      </c>
      <c r="F6" s="72"/>
      <c r="G6" s="72"/>
      <c r="I6" s="10"/>
      <c r="J6" s="16"/>
      <c r="L6" s="10">
        <v>0</v>
      </c>
      <c r="M6" s="10" t="s">
        <v>890</v>
      </c>
      <c r="N6" s="16"/>
      <c r="P6" s="52">
        <f>70*4</f>
        <v>280</v>
      </c>
      <c r="Q6" s="8" t="s">
        <v>891</v>
      </c>
    </row>
    <row r="7" spans="2:17">
      <c r="B7" s="99" t="s">
        <v>707</v>
      </c>
      <c r="C7" s="96">
        <f>-482.79-152.36</f>
        <v>-635.15000000000009</v>
      </c>
      <c r="D7" s="97"/>
      <c r="E7" s="63">
        <v>0</v>
      </c>
      <c r="F7" s="64"/>
      <c r="G7" s="64" t="s">
        <v>58</v>
      </c>
      <c r="I7" s="10"/>
      <c r="J7" s="16"/>
      <c r="L7" s="10">
        <v>0</v>
      </c>
      <c r="M7" s="10" t="s">
        <v>621</v>
      </c>
      <c r="N7" s="16"/>
      <c r="P7" s="52">
        <f>66*2</f>
        <v>132</v>
      </c>
      <c r="Q7" s="8" t="s">
        <v>892</v>
      </c>
    </row>
    <row r="8" spans="2:17">
      <c r="B8" s="99" t="s">
        <v>755</v>
      </c>
      <c r="C8" s="96">
        <v>4500</v>
      </c>
      <c r="D8" s="97"/>
      <c r="E8" s="63">
        <v>0</v>
      </c>
      <c r="F8" s="64"/>
      <c r="G8" s="64" t="s">
        <v>58</v>
      </c>
      <c r="I8" s="10"/>
      <c r="J8" s="16"/>
      <c r="L8" s="10">
        <v>0</v>
      </c>
      <c r="M8" s="10"/>
      <c r="N8" s="16"/>
      <c r="P8" s="52">
        <f>(125+45)*2</f>
        <v>340</v>
      </c>
      <c r="Q8" s="8" t="s">
        <v>893</v>
      </c>
    </row>
    <row r="9" spans="2:17">
      <c r="B9" s="99" t="s">
        <v>9</v>
      </c>
      <c r="C9" s="96">
        <v>-3000</v>
      </c>
      <c r="D9" s="97"/>
      <c r="E9" s="63">
        <v>0</v>
      </c>
      <c r="F9" s="64"/>
      <c r="G9" s="64" t="s">
        <v>58</v>
      </c>
      <c r="I9" s="60">
        <f>SUM(I3:I8)</f>
        <v>0</v>
      </c>
      <c r="J9" s="160" t="s">
        <v>21</v>
      </c>
      <c r="L9" s="10">
        <v>0</v>
      </c>
      <c r="M9" s="10"/>
      <c r="N9" s="16"/>
      <c r="P9" s="52">
        <f>(112+30)*2</f>
        <v>284</v>
      </c>
      <c r="Q9" s="8" t="s">
        <v>894</v>
      </c>
    </row>
    <row r="10" spans="2:17" ht="12.75" customHeight="1">
      <c r="B10" s="99" t="s">
        <v>117</v>
      </c>
      <c r="C10" s="96">
        <f>-482.79-152.36</f>
        <v>-635.15000000000009</v>
      </c>
      <c r="D10" s="97"/>
      <c r="E10" s="63">
        <v>0</v>
      </c>
      <c r="F10" s="64"/>
      <c r="G10" s="64" t="s">
        <v>58</v>
      </c>
      <c r="I10" s="1"/>
      <c r="L10" s="10">
        <v>0</v>
      </c>
      <c r="M10" s="10"/>
      <c r="N10" s="16"/>
      <c r="P10" s="52">
        <f>(109+25)*2</f>
        <v>268</v>
      </c>
      <c r="Q10" s="8" t="s">
        <v>895</v>
      </c>
    </row>
    <row r="11" spans="2:17">
      <c r="B11" s="99" t="s">
        <v>600</v>
      </c>
      <c r="C11" s="96">
        <v>-870</v>
      </c>
      <c r="D11" s="97"/>
      <c r="E11" s="63">
        <v>0</v>
      </c>
      <c r="F11" s="64"/>
      <c r="G11" s="64" t="s">
        <v>58</v>
      </c>
      <c r="I11" s="52"/>
      <c r="L11" s="10">
        <v>0</v>
      </c>
      <c r="M11" s="10"/>
      <c r="N11" s="16"/>
      <c r="P11" s="52">
        <f>48*2</f>
        <v>96</v>
      </c>
      <c r="Q11" s="8" t="s">
        <v>896</v>
      </c>
    </row>
    <row r="12" spans="2:17">
      <c r="B12" s="99" t="s">
        <v>897</v>
      </c>
      <c r="C12" s="96">
        <v>-100</v>
      </c>
      <c r="D12" s="97"/>
      <c r="E12" s="63">
        <v>0</v>
      </c>
      <c r="F12" s="64"/>
      <c r="G12" s="64" t="s">
        <v>58</v>
      </c>
      <c r="L12" s="10">
        <v>0</v>
      </c>
      <c r="M12" s="10"/>
      <c r="N12" s="16">
        <v>40556</v>
      </c>
      <c r="P12" s="52">
        <f>650+45</f>
        <v>695</v>
      </c>
      <c r="Q12" s="8" t="s">
        <v>898</v>
      </c>
    </row>
    <row r="13" spans="2:17">
      <c r="B13" s="99" t="s">
        <v>523</v>
      </c>
      <c r="C13" s="96">
        <v>-1200</v>
      </c>
      <c r="D13" s="97"/>
      <c r="E13" s="63">
        <v>0</v>
      </c>
      <c r="F13" s="64"/>
      <c r="G13" s="64" t="s">
        <v>58</v>
      </c>
      <c r="L13" s="10">
        <v>0</v>
      </c>
      <c r="M13" s="10"/>
      <c r="N13" s="16">
        <v>40557</v>
      </c>
      <c r="P13" s="52">
        <f>25*2</f>
        <v>50</v>
      </c>
      <c r="Q13" t="s">
        <v>899</v>
      </c>
    </row>
    <row r="14" spans="2:17">
      <c r="B14" s="99" t="s">
        <v>65</v>
      </c>
      <c r="C14" s="96">
        <v>-400</v>
      </c>
      <c r="D14" s="97"/>
      <c r="E14" s="63">
        <v>0</v>
      </c>
      <c r="F14" s="64"/>
      <c r="G14" s="64" t="s">
        <v>58</v>
      </c>
      <c r="L14" s="10"/>
      <c r="M14" s="10"/>
      <c r="N14" s="16"/>
      <c r="P14" s="52">
        <f>95*2</f>
        <v>190</v>
      </c>
      <c r="Q14" t="s">
        <v>900</v>
      </c>
    </row>
    <row r="15" spans="2:17">
      <c r="B15" s="99" t="s">
        <v>901</v>
      </c>
      <c r="C15" s="96">
        <v>-200</v>
      </c>
      <c r="D15" s="97"/>
      <c r="E15" s="63">
        <v>0</v>
      </c>
      <c r="F15" s="64"/>
      <c r="G15" s="64" t="s">
        <v>58</v>
      </c>
      <c r="L15" s="10"/>
      <c r="M15" s="10"/>
      <c r="N15" s="16"/>
      <c r="P15" s="52">
        <f>410*2</f>
        <v>820</v>
      </c>
      <c r="Q15" t="s">
        <v>902</v>
      </c>
    </row>
    <row r="16" spans="2:17">
      <c r="B16" s="99" t="s">
        <v>93</v>
      </c>
      <c r="C16" s="96">
        <v>-15.6</v>
      </c>
      <c r="D16" s="97"/>
      <c r="E16" s="63">
        <v>0</v>
      </c>
      <c r="F16" s="64"/>
      <c r="G16" s="64" t="s">
        <v>58</v>
      </c>
      <c r="L16" s="10"/>
      <c r="M16" s="10"/>
      <c r="N16" s="16"/>
      <c r="P16" s="52"/>
    </row>
    <row r="17" spans="2:16">
      <c r="B17" s="99" t="s">
        <v>610</v>
      </c>
      <c r="C17" s="96">
        <v>-1288.24</v>
      </c>
      <c r="D17" s="97"/>
      <c r="E17" s="63">
        <v>0</v>
      </c>
      <c r="F17" s="64"/>
      <c r="G17" s="64" t="s">
        <v>58</v>
      </c>
      <c r="L17" s="10"/>
      <c r="M17" s="10"/>
      <c r="N17" s="16"/>
      <c r="P17" s="52"/>
    </row>
    <row r="18" spans="2:16">
      <c r="B18" s="99" t="s">
        <v>103</v>
      </c>
      <c r="C18" s="96">
        <v>-210</v>
      </c>
      <c r="D18" s="97"/>
      <c r="E18" s="63">
        <v>0</v>
      </c>
      <c r="F18" s="64"/>
      <c r="G18" s="64" t="s">
        <v>58</v>
      </c>
      <c r="H18" s="143"/>
      <c r="L18" s="10"/>
      <c r="M18" s="10"/>
      <c r="N18" s="16"/>
      <c r="P18" s="52"/>
    </row>
    <row r="19" spans="2:16">
      <c r="B19" s="99" t="s">
        <v>73</v>
      </c>
      <c r="C19" s="96">
        <v>-483.13</v>
      </c>
      <c r="D19" s="97"/>
      <c r="E19" s="63">
        <v>0</v>
      </c>
      <c r="F19" s="64"/>
      <c r="G19" s="64" t="s">
        <v>58</v>
      </c>
      <c r="L19" s="144">
        <f>SUM(L3:L18)</f>
        <v>2583.6</v>
      </c>
      <c r="M19" s="144" t="s">
        <v>21</v>
      </c>
      <c r="N19" s="145"/>
      <c r="P19" s="144">
        <f>SUBTOTAL(109,P3:P18)</f>
        <v>3575</v>
      </c>
    </row>
    <row r="20" spans="2:16">
      <c r="B20" s="99" t="s">
        <v>879</v>
      </c>
      <c r="C20" s="96">
        <v>-35.380000000000003</v>
      </c>
      <c r="D20" s="97"/>
      <c r="E20" s="63">
        <v>0</v>
      </c>
      <c r="F20" s="64"/>
      <c r="G20" s="64" t="s">
        <v>58</v>
      </c>
    </row>
    <row r="21" spans="2:16">
      <c r="B21" s="99" t="s">
        <v>684</v>
      </c>
      <c r="C21" s="96">
        <v>-52.95</v>
      </c>
      <c r="D21" s="97"/>
      <c r="E21" s="63">
        <v>0</v>
      </c>
      <c r="F21" s="64"/>
      <c r="G21" s="64" t="s">
        <v>58</v>
      </c>
      <c r="L21" s="1"/>
    </row>
    <row r="22" spans="2:16">
      <c r="B22" s="99" t="s">
        <v>714</v>
      </c>
      <c r="C22" s="96">
        <v>-20.23</v>
      </c>
      <c r="D22" s="97"/>
      <c r="E22" s="63">
        <v>0</v>
      </c>
      <c r="F22" s="64"/>
      <c r="G22" s="64" t="s">
        <v>58</v>
      </c>
    </row>
    <row r="23" spans="2:16">
      <c r="B23" s="99" t="s">
        <v>881</v>
      </c>
      <c r="C23" s="96">
        <v>-53.79</v>
      </c>
      <c r="D23" s="97"/>
      <c r="E23" s="63">
        <v>0</v>
      </c>
      <c r="F23" s="64"/>
      <c r="G23" s="64" t="s">
        <v>58</v>
      </c>
    </row>
    <row r="24" spans="2:16">
      <c r="B24" s="99" t="s">
        <v>903</v>
      </c>
      <c r="C24" s="96">
        <v>-94.44</v>
      </c>
      <c r="D24" s="97"/>
      <c r="E24" s="63">
        <v>0</v>
      </c>
      <c r="F24" s="64"/>
      <c r="G24" s="64" t="s">
        <v>58</v>
      </c>
    </row>
    <row r="25" spans="2:16">
      <c r="B25" s="99" t="s">
        <v>77</v>
      </c>
      <c r="C25" s="96">
        <v>-161.80000000000001</v>
      </c>
      <c r="D25" s="97"/>
      <c r="E25" s="63">
        <v>0</v>
      </c>
      <c r="F25" s="64"/>
      <c r="G25" s="64" t="s">
        <v>58</v>
      </c>
    </row>
    <row r="26" spans="2:16">
      <c r="B26" s="99" t="s">
        <v>904</v>
      </c>
      <c r="C26" s="96">
        <v>-269</v>
      </c>
      <c r="D26" s="97"/>
      <c r="E26" s="63">
        <v>0</v>
      </c>
      <c r="F26" s="64"/>
      <c r="G26" s="64" t="s">
        <v>58</v>
      </c>
    </row>
    <row r="27" spans="2:16">
      <c r="B27" s="99" t="s">
        <v>686</v>
      </c>
      <c r="C27" s="96">
        <v>-447.53</v>
      </c>
      <c r="D27" s="97"/>
      <c r="E27" s="63">
        <v>0</v>
      </c>
      <c r="F27" s="64"/>
      <c r="G27" s="64" t="s">
        <v>58</v>
      </c>
    </row>
    <row r="28" spans="2:16" ht="18">
      <c r="B28" s="74" t="s">
        <v>45</v>
      </c>
      <c r="C28" s="101"/>
      <c r="D28" s="98"/>
      <c r="E28" s="129">
        <f>SUM(E3:E27)</f>
        <v>-165.03</v>
      </c>
      <c r="F28" s="75"/>
      <c r="G28"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3.xml><?xml version="1.0" encoding="utf-8"?>
<worksheet xmlns="http://schemas.openxmlformats.org/spreadsheetml/2006/main" xmlns:r="http://schemas.openxmlformats.org/officeDocument/2006/relationships">
  <sheetPr>
    <pageSetUpPr autoPageBreaks="0"/>
  </sheetPr>
  <dimension ref="B1:Q31"/>
  <sheetViews>
    <sheetView zoomScale="86" zoomScaleNormal="86" zoomScalePageLayoutView="86" workbookViewId="0">
      <selection activeCell="E28" activeCellId="1" sqref="G13 E28"/>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14.28515625" customWidth="1"/>
    <col min="11" max="11" width="1.42578125" customWidth="1"/>
    <col min="12" max="12" width="16.7109375" customWidth="1"/>
    <col min="13" max="13" width="20" customWidth="1"/>
    <col min="14" max="14" width="6.28515625" customWidth="1"/>
    <col min="15" max="15" width="1.42578125" customWidth="1"/>
    <col min="16" max="16" width="12.28515625" customWidth="1"/>
    <col min="17" max="17" width="17.28515625" customWidth="1"/>
  </cols>
  <sheetData>
    <row r="1" spans="2:17">
      <c r="E1" s="106"/>
    </row>
    <row r="2" spans="2:17" ht="18">
      <c r="B2" s="220" t="s">
        <v>135</v>
      </c>
      <c r="C2" s="220" t="s">
        <v>136</v>
      </c>
      <c r="D2" s="90"/>
      <c r="E2" s="220" t="s">
        <v>0</v>
      </c>
      <c r="F2" s="82" t="s">
        <v>1</v>
      </c>
      <c r="G2" s="82" t="s">
        <v>57</v>
      </c>
      <c r="I2" s="221" t="s">
        <v>48</v>
      </c>
      <c r="J2" s="221" t="s">
        <v>1</v>
      </c>
      <c r="L2" s="221" t="s">
        <v>707</v>
      </c>
      <c r="M2" s="221" t="s">
        <v>408</v>
      </c>
      <c r="N2" s="221" t="s">
        <v>1</v>
      </c>
      <c r="P2" s="8" t="s">
        <v>884</v>
      </c>
      <c r="Q2" s="8" t="s">
        <v>408</v>
      </c>
    </row>
    <row r="3" spans="2:17">
      <c r="B3" s="71" t="s">
        <v>11</v>
      </c>
      <c r="C3" s="91">
        <v>0</v>
      </c>
      <c r="D3" s="92"/>
      <c r="E3" s="95">
        <v>-9.69</v>
      </c>
      <c r="F3" s="61"/>
      <c r="G3" s="61"/>
      <c r="I3" s="10">
        <v>0</v>
      </c>
      <c r="J3" s="16"/>
      <c r="L3" s="10">
        <v>7703.25</v>
      </c>
      <c r="M3" s="10" t="s">
        <v>752</v>
      </c>
      <c r="N3" s="16"/>
      <c r="P3" s="52">
        <f>(65*8)/2</f>
        <v>260</v>
      </c>
      <c r="Q3" s="8" t="s">
        <v>885</v>
      </c>
    </row>
    <row r="4" spans="2:17" ht="12" customHeight="1">
      <c r="B4" s="71" t="s">
        <v>56</v>
      </c>
      <c r="C4" s="91">
        <v>0</v>
      </c>
      <c r="D4" s="92"/>
      <c r="E4" s="95">
        <v>634.16999999999996</v>
      </c>
      <c r="F4" s="72"/>
      <c r="G4" s="72"/>
      <c r="I4" s="10">
        <v>0</v>
      </c>
      <c r="J4" s="16"/>
      <c r="L4" s="10">
        <v>0</v>
      </c>
      <c r="M4" s="10" t="s">
        <v>707</v>
      </c>
      <c r="N4" s="16"/>
      <c r="P4" s="52">
        <v>137.19999999999999</v>
      </c>
      <c r="Q4" s="8" t="s">
        <v>886</v>
      </c>
    </row>
    <row r="5" spans="2:17" ht="12" customHeight="1">
      <c r="B5" s="71" t="s">
        <v>5</v>
      </c>
      <c r="C5" s="91">
        <v>5698.09</v>
      </c>
      <c r="D5" s="92"/>
      <c r="E5" s="95">
        <v>0</v>
      </c>
      <c r="F5" s="72"/>
      <c r="G5" s="72"/>
      <c r="I5" s="10">
        <v>0</v>
      </c>
      <c r="J5" s="16"/>
      <c r="L5" s="10">
        <v>0</v>
      </c>
      <c r="M5" s="10" t="s">
        <v>905</v>
      </c>
      <c r="N5" s="16"/>
      <c r="P5" s="52">
        <f>80*2</f>
        <v>160</v>
      </c>
      <c r="Q5" s="8" t="s">
        <v>889</v>
      </c>
    </row>
    <row r="6" spans="2:17">
      <c r="B6" s="71" t="s">
        <v>140</v>
      </c>
      <c r="C6" s="91">
        <v>7622.37</v>
      </c>
      <c r="D6" s="92"/>
      <c r="E6" s="95">
        <v>0</v>
      </c>
      <c r="F6" s="72"/>
      <c r="G6" s="72"/>
      <c r="I6" s="10"/>
      <c r="J6" s="16"/>
      <c r="L6" s="10">
        <v>-3200</v>
      </c>
      <c r="M6" s="10" t="s">
        <v>906</v>
      </c>
      <c r="N6" s="16"/>
      <c r="P6" s="52">
        <f>70*4</f>
        <v>280</v>
      </c>
      <c r="Q6" s="8" t="s">
        <v>891</v>
      </c>
    </row>
    <row r="7" spans="2:17">
      <c r="B7" s="99" t="s">
        <v>523</v>
      </c>
      <c r="C7" s="96">
        <v>-1230.5</v>
      </c>
      <c r="D7" s="97"/>
      <c r="E7" s="63">
        <v>0</v>
      </c>
      <c r="F7" s="64"/>
      <c r="G7" s="64" t="s">
        <v>58</v>
      </c>
      <c r="I7" s="10"/>
      <c r="J7" s="16"/>
      <c r="L7" s="10">
        <v>0</v>
      </c>
      <c r="M7" s="10"/>
      <c r="N7" s="16"/>
      <c r="P7" s="52">
        <f>66*2</f>
        <v>132</v>
      </c>
      <c r="Q7" s="8" t="s">
        <v>892</v>
      </c>
    </row>
    <row r="8" spans="2:17">
      <c r="B8" s="99" t="s">
        <v>907</v>
      </c>
      <c r="C8" s="96">
        <v>-1500</v>
      </c>
      <c r="D8" s="97"/>
      <c r="E8" s="63">
        <v>0</v>
      </c>
      <c r="F8" s="64"/>
      <c r="G8" s="64" t="s">
        <v>58</v>
      </c>
      <c r="I8" s="10"/>
      <c r="J8" s="16"/>
      <c r="L8" s="10">
        <v>0</v>
      </c>
      <c r="M8" s="10"/>
      <c r="N8" s="16"/>
      <c r="P8" s="52">
        <f>(125+45)*2</f>
        <v>340</v>
      </c>
      <c r="Q8" s="8" t="s">
        <v>893</v>
      </c>
    </row>
    <row r="9" spans="2:17">
      <c r="B9" s="99" t="s">
        <v>572</v>
      </c>
      <c r="C9" s="96">
        <v>-68.099999999999994</v>
      </c>
      <c r="D9" s="97"/>
      <c r="E9" s="63">
        <v>0</v>
      </c>
      <c r="F9" s="64"/>
      <c r="G9" s="64" t="s">
        <v>58</v>
      </c>
      <c r="I9" s="60">
        <f>SUM(I3:I8)</f>
        <v>0</v>
      </c>
      <c r="J9" s="160" t="s">
        <v>21</v>
      </c>
      <c r="L9" s="10">
        <v>0</v>
      </c>
      <c r="M9" s="10"/>
      <c r="N9" s="16"/>
      <c r="P9" s="52">
        <f>(112+30)*2</f>
        <v>284</v>
      </c>
      <c r="Q9" s="8" t="s">
        <v>894</v>
      </c>
    </row>
    <row r="10" spans="2:17" ht="14.25" customHeight="1">
      <c r="B10" s="99" t="s">
        <v>573</v>
      </c>
      <c r="C10" s="96">
        <v>-68.099999999999994</v>
      </c>
      <c r="D10" s="97"/>
      <c r="E10" s="63">
        <v>0</v>
      </c>
      <c r="F10" s="64"/>
      <c r="G10" s="64" t="s">
        <v>58</v>
      </c>
      <c r="I10" s="1"/>
      <c r="L10" s="10">
        <v>0</v>
      </c>
      <c r="M10" s="10"/>
      <c r="N10" s="16"/>
      <c r="P10" s="52">
        <f>(109+25)*2</f>
        <v>268</v>
      </c>
      <c r="Q10" s="8" t="s">
        <v>895</v>
      </c>
    </row>
    <row r="11" spans="2:17">
      <c r="B11" s="99" t="s">
        <v>9</v>
      </c>
      <c r="C11" s="96">
        <v>870</v>
      </c>
      <c r="D11" s="97"/>
      <c r="E11" s="63">
        <v>0</v>
      </c>
      <c r="F11" s="64"/>
      <c r="G11" s="64" t="s">
        <v>58</v>
      </c>
      <c r="I11" s="52"/>
      <c r="L11" s="10">
        <v>0</v>
      </c>
      <c r="M11" s="10"/>
      <c r="N11" s="16"/>
      <c r="P11" s="52">
        <f>48*2</f>
        <v>96</v>
      </c>
      <c r="Q11" s="8" t="s">
        <v>896</v>
      </c>
    </row>
    <row r="12" spans="2:17">
      <c r="B12" s="99" t="s">
        <v>908</v>
      </c>
      <c r="C12" s="96">
        <v>126.8</v>
      </c>
      <c r="D12" s="97"/>
      <c r="E12" s="63">
        <v>0</v>
      </c>
      <c r="F12" s="64"/>
      <c r="G12" s="64" t="s">
        <v>58</v>
      </c>
      <c r="L12" s="10">
        <v>0</v>
      </c>
      <c r="M12" s="10"/>
      <c r="N12" s="16">
        <v>40556</v>
      </c>
      <c r="P12" s="52">
        <f>650+45</f>
        <v>695</v>
      </c>
      <c r="Q12" s="8" t="s">
        <v>898</v>
      </c>
    </row>
    <row r="13" spans="2:17">
      <c r="B13" s="99" t="s">
        <v>909</v>
      </c>
      <c r="C13" s="96">
        <v>469</v>
      </c>
      <c r="D13" s="97"/>
      <c r="E13" s="163">
        <f>C13</f>
        <v>469</v>
      </c>
      <c r="F13" s="164"/>
      <c r="G13" s="164"/>
      <c r="L13" s="10">
        <v>0</v>
      </c>
      <c r="M13" s="10"/>
      <c r="N13" s="16">
        <v>40557</v>
      </c>
      <c r="P13" s="52">
        <f>25*2</f>
        <v>50</v>
      </c>
      <c r="Q13" t="s">
        <v>899</v>
      </c>
    </row>
    <row r="14" spans="2:17">
      <c r="B14" s="99" t="s">
        <v>910</v>
      </c>
      <c r="C14" s="96">
        <v>137</v>
      </c>
      <c r="D14" s="97"/>
      <c r="E14" s="163">
        <f>C14</f>
        <v>137</v>
      </c>
      <c r="F14" s="164"/>
      <c r="G14" s="164"/>
      <c r="L14" s="10"/>
      <c r="M14" s="10"/>
      <c r="N14" s="16"/>
      <c r="P14" s="52">
        <f>95*2</f>
        <v>190</v>
      </c>
      <c r="Q14" t="s">
        <v>900</v>
      </c>
    </row>
    <row r="15" spans="2:17">
      <c r="B15" s="99" t="s">
        <v>144</v>
      </c>
      <c r="C15" s="96">
        <v>300</v>
      </c>
      <c r="D15" s="97"/>
      <c r="E15" s="63">
        <v>0</v>
      </c>
      <c r="F15" s="64"/>
      <c r="G15" s="64" t="s">
        <v>58</v>
      </c>
      <c r="L15" s="10"/>
      <c r="M15" s="10"/>
      <c r="N15" s="16"/>
      <c r="P15" s="52">
        <f>410*2</f>
        <v>820</v>
      </c>
      <c r="Q15" t="s">
        <v>902</v>
      </c>
    </row>
    <row r="16" spans="2:17">
      <c r="B16" s="99" t="s">
        <v>897</v>
      </c>
      <c r="C16" s="96">
        <v>-40</v>
      </c>
      <c r="D16" s="97"/>
      <c r="E16" s="63">
        <v>0</v>
      </c>
      <c r="F16" s="64"/>
      <c r="G16" s="64" t="s">
        <v>58</v>
      </c>
      <c r="L16" s="10"/>
      <c r="M16" s="10"/>
      <c r="N16" s="16"/>
      <c r="P16" s="52"/>
    </row>
    <row r="17" spans="2:16">
      <c r="B17" s="99" t="s">
        <v>65</v>
      </c>
      <c r="C17" s="96">
        <v>-400</v>
      </c>
      <c r="D17" s="97"/>
      <c r="E17" s="63">
        <v>0</v>
      </c>
      <c r="F17" s="64"/>
      <c r="G17" s="64" t="s">
        <v>58</v>
      </c>
      <c r="L17" s="10"/>
      <c r="M17" s="10"/>
      <c r="N17" s="16"/>
      <c r="P17" s="52"/>
    </row>
    <row r="18" spans="2:16">
      <c r="B18" s="99" t="s">
        <v>901</v>
      </c>
      <c r="C18" s="96">
        <v>-500</v>
      </c>
      <c r="D18" s="97"/>
      <c r="E18" s="63">
        <v>0</v>
      </c>
      <c r="F18" s="64"/>
      <c r="G18" s="64" t="s">
        <v>58</v>
      </c>
      <c r="H18" s="143"/>
      <c r="L18" s="10"/>
      <c r="M18" s="10"/>
      <c r="N18" s="16"/>
      <c r="P18" s="52"/>
    </row>
    <row r="19" spans="2:16">
      <c r="B19" s="99" t="s">
        <v>93</v>
      </c>
      <c r="C19" s="96">
        <v>-43.45</v>
      </c>
      <c r="D19" s="97"/>
      <c r="E19" s="63">
        <v>0</v>
      </c>
      <c r="F19" s="64"/>
      <c r="G19" s="64" t="s">
        <v>58</v>
      </c>
      <c r="L19" s="144">
        <f>SUM(L3:L18)</f>
        <v>4503.25</v>
      </c>
      <c r="M19" s="144" t="s">
        <v>21</v>
      </c>
      <c r="N19" s="145"/>
      <c r="P19" s="144">
        <f>SUBTOTAL(109,P3:P18)</f>
        <v>3712.2</v>
      </c>
    </row>
    <row r="20" spans="2:16">
      <c r="B20" s="99" t="s">
        <v>610</v>
      </c>
      <c r="C20" s="96">
        <v>-1775.88</v>
      </c>
      <c r="D20" s="97"/>
      <c r="E20" s="63">
        <v>0</v>
      </c>
      <c r="F20" s="64"/>
      <c r="G20" s="64" t="s">
        <v>58</v>
      </c>
    </row>
    <row r="21" spans="2:16">
      <c r="B21" s="99" t="s">
        <v>103</v>
      </c>
      <c r="C21" s="96">
        <v>-425.61</v>
      </c>
      <c r="D21" s="97"/>
      <c r="E21" s="63">
        <v>0</v>
      </c>
      <c r="F21" s="64"/>
      <c r="G21" s="64" t="s">
        <v>58</v>
      </c>
      <c r="L21" s="1"/>
    </row>
    <row r="22" spans="2:16">
      <c r="B22" s="99" t="s">
        <v>707</v>
      </c>
      <c r="C22" s="96">
        <v>-7300</v>
      </c>
      <c r="D22" s="97"/>
      <c r="E22" s="63">
        <v>0</v>
      </c>
      <c r="F22" s="64"/>
      <c r="G22" s="64" t="s">
        <v>58</v>
      </c>
    </row>
    <row r="23" spans="2:16">
      <c r="B23" s="99" t="s">
        <v>73</v>
      </c>
      <c r="C23" s="96">
        <v>-287.79000000000002</v>
      </c>
      <c r="D23" s="97"/>
      <c r="E23" s="63">
        <v>0</v>
      </c>
      <c r="F23" s="64"/>
      <c r="G23" s="64" t="s">
        <v>58</v>
      </c>
    </row>
    <row r="24" spans="2:16">
      <c r="B24" s="99" t="s">
        <v>879</v>
      </c>
      <c r="C24" s="96">
        <v>-35.61</v>
      </c>
      <c r="D24" s="97"/>
      <c r="E24" s="63">
        <v>0</v>
      </c>
      <c r="F24" s="64"/>
      <c r="G24" s="64" t="s">
        <v>58</v>
      </c>
    </row>
    <row r="25" spans="2:16">
      <c r="B25" s="99" t="s">
        <v>684</v>
      </c>
      <c r="C25" s="96">
        <v>-52.95</v>
      </c>
      <c r="D25" s="97"/>
      <c r="E25" s="63">
        <v>0</v>
      </c>
      <c r="F25" s="64"/>
      <c r="G25" s="64" t="s">
        <v>58</v>
      </c>
    </row>
    <row r="26" spans="2:16">
      <c r="B26" s="99" t="s">
        <v>881</v>
      </c>
      <c r="C26" s="96">
        <v>-62.41</v>
      </c>
      <c r="D26" s="97"/>
      <c r="E26" s="163">
        <f>C26</f>
        <v>-62.41</v>
      </c>
      <c r="F26" s="164"/>
      <c r="G26" s="164"/>
    </row>
    <row r="27" spans="2:16">
      <c r="B27" s="99" t="s">
        <v>714</v>
      </c>
      <c r="C27" s="96">
        <v>-17.71</v>
      </c>
      <c r="D27" s="97"/>
      <c r="E27" s="63">
        <v>0</v>
      </c>
      <c r="F27" s="64"/>
      <c r="G27" s="64" t="s">
        <v>58</v>
      </c>
    </row>
    <row r="28" spans="2:16">
      <c r="B28" s="99" t="s">
        <v>903</v>
      </c>
      <c r="C28" s="96">
        <v>-52.67</v>
      </c>
      <c r="D28" s="97"/>
      <c r="E28" s="63">
        <v>0</v>
      </c>
      <c r="F28" s="64"/>
      <c r="G28" s="64" t="s">
        <v>58</v>
      </c>
    </row>
    <row r="29" spans="2:16">
      <c r="B29" s="99" t="s">
        <v>77</v>
      </c>
      <c r="C29" s="96">
        <v>-161.80000000000001</v>
      </c>
      <c r="D29" s="97"/>
      <c r="E29" s="63">
        <v>0</v>
      </c>
      <c r="F29" s="64"/>
      <c r="G29" s="64" t="s">
        <v>58</v>
      </c>
    </row>
    <row r="30" spans="2:16">
      <c r="B30" s="99" t="s">
        <v>686</v>
      </c>
      <c r="C30" s="96">
        <v>-421.84</v>
      </c>
      <c r="D30" s="97"/>
      <c r="E30" s="63">
        <v>0</v>
      </c>
      <c r="F30" s="64"/>
      <c r="G30" s="64" t="s">
        <v>58</v>
      </c>
    </row>
    <row r="31" spans="2:16" ht="18">
      <c r="B31" s="74" t="s">
        <v>45</v>
      </c>
      <c r="C31" s="101"/>
      <c r="D31" s="98"/>
      <c r="E31" s="129">
        <f>SUM(E3:E30)</f>
        <v>1168.07</v>
      </c>
      <c r="F31" s="75"/>
      <c r="G31"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4.xml><?xml version="1.0" encoding="utf-8"?>
<worksheet xmlns="http://schemas.openxmlformats.org/spreadsheetml/2006/main" xmlns:r="http://schemas.openxmlformats.org/officeDocument/2006/relationships">
  <sheetPr>
    <pageSetUpPr autoPageBreaks="0"/>
  </sheetPr>
  <dimension ref="B1:K25"/>
  <sheetViews>
    <sheetView zoomScale="86" zoomScaleNormal="86" zoomScalePageLayoutView="86" workbookViewId="0">
      <selection activeCell="J22" activeCellId="1" sqref="G13 J22"/>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11</v>
      </c>
      <c r="C3" s="91">
        <v>0</v>
      </c>
      <c r="D3" s="92"/>
      <c r="E3" s="95">
        <v>-0.54</v>
      </c>
      <c r="F3" s="61"/>
      <c r="G3" s="61"/>
      <c r="I3" s="10">
        <v>3256.55</v>
      </c>
      <c r="J3" s="10" t="s">
        <v>752</v>
      </c>
      <c r="K3" s="16"/>
    </row>
    <row r="4" spans="2:11" ht="12" customHeight="1">
      <c r="B4" s="71" t="s">
        <v>56</v>
      </c>
      <c r="C4" s="91">
        <v>0</v>
      </c>
      <c r="D4" s="92"/>
      <c r="E4" s="95">
        <v>-204.12</v>
      </c>
      <c r="F4" s="72"/>
      <c r="G4" s="72"/>
      <c r="I4" s="10">
        <v>0</v>
      </c>
      <c r="J4" s="10"/>
      <c r="K4" s="16"/>
    </row>
    <row r="5" spans="2:11" ht="12" customHeight="1">
      <c r="B5" s="71" t="s">
        <v>5</v>
      </c>
      <c r="C5" s="91">
        <v>1939.73</v>
      </c>
      <c r="D5" s="92"/>
      <c r="E5" s="95">
        <v>0</v>
      </c>
      <c r="F5" s="72"/>
      <c r="G5" s="72"/>
      <c r="I5" s="10"/>
      <c r="J5" s="10"/>
      <c r="K5" s="16"/>
    </row>
    <row r="6" spans="2:11">
      <c r="B6" s="99" t="s">
        <v>911</v>
      </c>
      <c r="C6" s="96">
        <v>206</v>
      </c>
      <c r="D6" s="97"/>
      <c r="E6" s="63">
        <v>0</v>
      </c>
      <c r="F6" s="64"/>
      <c r="G6" s="64" t="s">
        <v>58</v>
      </c>
      <c r="I6" s="10">
        <v>0</v>
      </c>
      <c r="J6" s="10"/>
      <c r="K6" s="16"/>
    </row>
    <row r="7" spans="2:11">
      <c r="B7" s="99" t="s">
        <v>144</v>
      </c>
      <c r="C7" s="96">
        <v>300</v>
      </c>
      <c r="D7" s="97"/>
      <c r="E7" s="63">
        <v>0</v>
      </c>
      <c r="F7" s="64"/>
      <c r="G7" s="64" t="s">
        <v>58</v>
      </c>
      <c r="I7" s="10">
        <v>0</v>
      </c>
      <c r="J7" s="10"/>
      <c r="K7" s="16"/>
    </row>
    <row r="8" spans="2:11">
      <c r="B8" s="99" t="s">
        <v>897</v>
      </c>
      <c r="C8" s="96">
        <v>-100</v>
      </c>
      <c r="D8" s="97"/>
      <c r="E8" s="63">
        <v>0</v>
      </c>
      <c r="F8" s="64"/>
      <c r="G8" s="64" t="s">
        <v>58</v>
      </c>
      <c r="I8" s="10">
        <v>0</v>
      </c>
      <c r="J8" s="10" t="s">
        <v>906</v>
      </c>
      <c r="K8" s="16"/>
    </row>
    <row r="9" spans="2:11">
      <c r="B9" s="99" t="s">
        <v>65</v>
      </c>
      <c r="C9" s="96">
        <v>-100</v>
      </c>
      <c r="D9" s="97"/>
      <c r="E9" s="63">
        <v>0</v>
      </c>
      <c r="F9" s="64"/>
      <c r="G9" s="64" t="s">
        <v>58</v>
      </c>
      <c r="I9" s="144">
        <f>SUM(I3:I8)</f>
        <v>3256.55</v>
      </c>
      <c r="J9" s="144" t="s">
        <v>21</v>
      </c>
      <c r="K9" s="145"/>
    </row>
    <row r="10" spans="2:11" ht="14.25" customHeight="1">
      <c r="B10" s="99" t="s">
        <v>901</v>
      </c>
      <c r="C10" s="96">
        <v>-800</v>
      </c>
      <c r="D10" s="97"/>
      <c r="E10" s="63">
        <v>0</v>
      </c>
      <c r="F10" s="64"/>
      <c r="G10" s="64" t="s">
        <v>58</v>
      </c>
    </row>
    <row r="11" spans="2:11">
      <c r="B11" s="99" t="s">
        <v>755</v>
      </c>
      <c r="C11" s="96">
        <v>2000</v>
      </c>
      <c r="D11" s="97"/>
      <c r="E11" s="63">
        <v>0</v>
      </c>
      <c r="F11" s="64"/>
      <c r="G11" s="64" t="s">
        <v>58</v>
      </c>
      <c r="I11" s="1"/>
    </row>
    <row r="12" spans="2:11">
      <c r="B12" s="99" t="s">
        <v>93</v>
      </c>
      <c r="C12" s="96">
        <v>-15.2</v>
      </c>
      <c r="D12" s="97"/>
      <c r="E12" s="63">
        <v>0</v>
      </c>
      <c r="F12" s="64"/>
      <c r="G12" s="64" t="s">
        <v>58</v>
      </c>
    </row>
    <row r="13" spans="2:11">
      <c r="B13" s="99" t="s">
        <v>610</v>
      </c>
      <c r="C13" s="96">
        <v>-2804.84</v>
      </c>
      <c r="D13" s="97"/>
      <c r="E13" s="63">
        <v>0</v>
      </c>
      <c r="F13" s="64"/>
      <c r="G13" s="64" t="s">
        <v>58</v>
      </c>
    </row>
    <row r="14" spans="2:11">
      <c r="B14" s="99" t="s">
        <v>103</v>
      </c>
      <c r="C14" s="96">
        <v>-450.46</v>
      </c>
      <c r="D14" s="97"/>
      <c r="E14" s="63">
        <v>0</v>
      </c>
      <c r="F14" s="64"/>
      <c r="G14" s="64" t="s">
        <v>58</v>
      </c>
    </row>
    <row r="15" spans="2:11">
      <c r="B15" s="99" t="s">
        <v>73</v>
      </c>
      <c r="C15" s="96">
        <v>-353.85</v>
      </c>
      <c r="D15" s="97"/>
      <c r="E15" s="63">
        <v>0</v>
      </c>
      <c r="F15" s="64"/>
      <c r="G15" s="64" t="s">
        <v>58</v>
      </c>
    </row>
    <row r="16" spans="2:11">
      <c r="B16" s="99" t="s">
        <v>879</v>
      </c>
      <c r="C16" s="96">
        <v>-35.61</v>
      </c>
      <c r="D16" s="97"/>
      <c r="E16" s="63">
        <v>0</v>
      </c>
      <c r="F16" s="64"/>
      <c r="G16" s="64" t="s">
        <v>58</v>
      </c>
    </row>
    <row r="17" spans="2:8">
      <c r="B17" s="99" t="s">
        <v>684</v>
      </c>
      <c r="C17" s="96">
        <v>-52.95</v>
      </c>
      <c r="D17" s="97"/>
      <c r="E17" s="63">
        <v>0</v>
      </c>
      <c r="F17" s="64"/>
      <c r="G17" s="64" t="s">
        <v>58</v>
      </c>
    </row>
    <row r="18" spans="2:8">
      <c r="B18" s="99" t="s">
        <v>41</v>
      </c>
      <c r="C18" s="96">
        <v>-44.52</v>
      </c>
      <c r="D18" s="97"/>
      <c r="E18" s="163">
        <f>C18</f>
        <v>-44.52</v>
      </c>
      <c r="F18" s="164">
        <v>40658</v>
      </c>
      <c r="G18" s="164"/>
      <c r="H18" s="143"/>
    </row>
    <row r="19" spans="2:8">
      <c r="B19" s="99" t="s">
        <v>714</v>
      </c>
      <c r="C19" s="96">
        <v>0</v>
      </c>
      <c r="D19" s="97"/>
      <c r="E19" s="63">
        <v>0</v>
      </c>
      <c r="F19" s="64"/>
      <c r="G19" s="64" t="s">
        <v>58</v>
      </c>
    </row>
    <row r="20" spans="2:8">
      <c r="B20" s="99" t="s">
        <v>755</v>
      </c>
      <c r="C20" s="96">
        <v>500</v>
      </c>
      <c r="D20" s="97"/>
      <c r="E20" s="63">
        <v>0</v>
      </c>
      <c r="F20" s="64"/>
      <c r="G20" s="64" t="s">
        <v>58</v>
      </c>
    </row>
    <row r="21" spans="2:8">
      <c r="B21" s="99" t="s">
        <v>903</v>
      </c>
      <c r="C21" s="96">
        <v>-37.92</v>
      </c>
      <c r="D21" s="97"/>
      <c r="E21" s="63">
        <v>0</v>
      </c>
      <c r="F21" s="64"/>
      <c r="G21" s="64" t="s">
        <v>58</v>
      </c>
    </row>
    <row r="22" spans="2:8">
      <c r="B22" s="99" t="s">
        <v>77</v>
      </c>
      <c r="C22" s="96">
        <v>-165.09</v>
      </c>
      <c r="D22" s="97"/>
      <c r="E22" s="63">
        <v>0</v>
      </c>
      <c r="F22" s="64"/>
      <c r="G22" s="64" t="s">
        <v>58</v>
      </c>
    </row>
    <row r="23" spans="2:8">
      <c r="B23" s="99" t="s">
        <v>912</v>
      </c>
      <c r="C23" s="96">
        <v>-176</v>
      </c>
      <c r="D23" s="97"/>
      <c r="E23" s="63">
        <v>0</v>
      </c>
      <c r="F23" s="64"/>
      <c r="G23" s="64" t="s">
        <v>58</v>
      </c>
    </row>
    <row r="24" spans="2:8">
      <c r="B24" s="99" t="s">
        <v>686</v>
      </c>
      <c r="C24" s="96">
        <v>-429.67</v>
      </c>
      <c r="D24" s="97"/>
      <c r="E24" s="63">
        <v>0</v>
      </c>
      <c r="F24" s="64"/>
      <c r="G24" s="64" t="s">
        <v>58</v>
      </c>
    </row>
    <row r="25" spans="2:8" ht="18">
      <c r="B25" s="74" t="s">
        <v>45</v>
      </c>
      <c r="C25" s="101"/>
      <c r="D25" s="98"/>
      <c r="E25" s="129">
        <f>SUM(E3:E24)</f>
        <v>-249.18</v>
      </c>
      <c r="F25" s="75"/>
      <c r="G25"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5.xml><?xml version="1.0" encoding="utf-8"?>
<worksheet xmlns="http://schemas.openxmlformats.org/spreadsheetml/2006/main" xmlns:r="http://schemas.openxmlformats.org/officeDocument/2006/relationships">
  <sheetPr>
    <pageSetUpPr autoPageBreaks="0"/>
  </sheetPr>
  <dimension ref="B1:K27"/>
  <sheetViews>
    <sheetView zoomScale="86" zoomScaleNormal="86" zoomScalePageLayoutView="86" workbookViewId="0">
      <selection activeCell="E18" activeCellId="1" sqref="G13 E18"/>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11</v>
      </c>
      <c r="C3" s="91">
        <v>0</v>
      </c>
      <c r="D3" s="92"/>
      <c r="E3" s="95">
        <v>-4.5</v>
      </c>
      <c r="F3" s="61"/>
      <c r="G3" s="61"/>
      <c r="I3" s="10">
        <v>2007.29</v>
      </c>
      <c r="J3" s="10" t="s">
        <v>752</v>
      </c>
      <c r="K3" s="16"/>
    </row>
    <row r="4" spans="2:11" ht="12" customHeight="1">
      <c r="B4" s="71" t="s">
        <v>56</v>
      </c>
      <c r="C4" s="91">
        <v>0</v>
      </c>
      <c r="D4" s="92"/>
      <c r="E4" s="95">
        <v>-925.95</v>
      </c>
      <c r="F4" s="72"/>
      <c r="G4" s="72"/>
      <c r="I4" s="10">
        <v>0</v>
      </c>
      <c r="J4" s="10"/>
      <c r="K4" s="16"/>
    </row>
    <row r="5" spans="2:11" ht="12" customHeight="1">
      <c r="B5" s="71" t="s">
        <v>5</v>
      </c>
      <c r="C5" s="91">
        <v>4882.68</v>
      </c>
      <c r="D5" s="92"/>
      <c r="E5" s="95">
        <v>0</v>
      </c>
      <c r="F5" s="72"/>
      <c r="G5" s="72"/>
      <c r="I5" s="10"/>
      <c r="J5" s="10"/>
      <c r="K5" s="16"/>
    </row>
    <row r="6" spans="2:11">
      <c r="B6" s="99" t="s">
        <v>911</v>
      </c>
      <c r="C6" s="96">
        <v>206</v>
      </c>
      <c r="D6" s="97"/>
      <c r="E6" s="63">
        <v>0</v>
      </c>
      <c r="F6" s="64"/>
      <c r="G6" s="64" t="s">
        <v>58</v>
      </c>
      <c r="I6" s="10"/>
      <c r="J6" s="10"/>
      <c r="K6" s="16"/>
    </row>
    <row r="7" spans="2:11">
      <c r="B7" s="99" t="s">
        <v>144</v>
      </c>
      <c r="C7" s="96">
        <v>0</v>
      </c>
      <c r="D7" s="97"/>
      <c r="E7" s="63">
        <v>0</v>
      </c>
      <c r="F7" s="64"/>
      <c r="G7" s="64" t="s">
        <v>58</v>
      </c>
      <c r="I7" s="10"/>
      <c r="J7" s="10"/>
      <c r="K7" s="16"/>
    </row>
    <row r="8" spans="2:11">
      <c r="B8" s="99" t="s">
        <v>897</v>
      </c>
      <c r="C8" s="96">
        <v>0</v>
      </c>
      <c r="D8" s="97"/>
      <c r="E8" s="63">
        <v>0</v>
      </c>
      <c r="F8" s="64"/>
      <c r="G8" s="64" t="s">
        <v>58</v>
      </c>
      <c r="I8" s="10"/>
      <c r="J8" s="10"/>
      <c r="K8" s="16"/>
    </row>
    <row r="9" spans="2:11">
      <c r="B9" s="99" t="s">
        <v>65</v>
      </c>
      <c r="C9" s="96">
        <v>-50</v>
      </c>
      <c r="D9" s="97"/>
      <c r="E9" s="63">
        <v>0</v>
      </c>
      <c r="F9" s="64"/>
      <c r="G9" s="64" t="s">
        <v>58</v>
      </c>
      <c r="I9" s="144">
        <f>SUM(I3:I8)</f>
        <v>2007.29</v>
      </c>
      <c r="J9" s="144" t="s">
        <v>21</v>
      </c>
      <c r="K9" s="145"/>
    </row>
    <row r="10" spans="2:11" ht="14.25" customHeight="1">
      <c r="B10" s="99" t="s">
        <v>755</v>
      </c>
      <c r="C10" s="96">
        <v>1100</v>
      </c>
      <c r="D10" s="97"/>
      <c r="E10" s="63">
        <v>0</v>
      </c>
      <c r="F10" s="64"/>
      <c r="G10" s="64" t="s">
        <v>58</v>
      </c>
    </row>
    <row r="11" spans="2:11" ht="15.75">
      <c r="B11" s="99" t="s">
        <v>93</v>
      </c>
      <c r="C11" s="96">
        <v>-353.5</v>
      </c>
      <c r="D11" s="97"/>
      <c r="E11" s="63">
        <v>0</v>
      </c>
      <c r="F11" s="64"/>
      <c r="G11" s="64" t="s">
        <v>58</v>
      </c>
      <c r="I11" s="221" t="s">
        <v>913</v>
      </c>
      <c r="J11" s="221" t="s">
        <v>408</v>
      </c>
      <c r="K11" s="221" t="s">
        <v>1</v>
      </c>
    </row>
    <row r="12" spans="2:11">
      <c r="B12" s="99" t="s">
        <v>610</v>
      </c>
      <c r="C12" s="96">
        <v>-1799.27</v>
      </c>
      <c r="D12" s="97"/>
      <c r="E12" s="63">
        <v>0</v>
      </c>
      <c r="F12" s="64"/>
      <c r="G12" s="64" t="s">
        <v>58</v>
      </c>
      <c r="I12" s="10">
        <v>841.03</v>
      </c>
      <c r="J12" s="10" t="s">
        <v>914</v>
      </c>
      <c r="K12" s="16"/>
    </row>
    <row r="13" spans="2:11">
      <c r="B13" s="99" t="s">
        <v>103</v>
      </c>
      <c r="C13" s="96">
        <v>-1962.63</v>
      </c>
      <c r="D13" s="97"/>
      <c r="E13" s="63">
        <v>0</v>
      </c>
      <c r="F13" s="64"/>
      <c r="G13" s="64" t="s">
        <v>58</v>
      </c>
      <c r="I13" s="10">
        <v>843.05</v>
      </c>
      <c r="J13" s="10" t="s">
        <v>915</v>
      </c>
      <c r="K13" s="16"/>
    </row>
    <row r="14" spans="2:11">
      <c r="B14" s="99" t="s">
        <v>73</v>
      </c>
      <c r="C14" s="96">
        <v>-445.12</v>
      </c>
      <c r="D14" s="97"/>
      <c r="E14" s="63">
        <v>0</v>
      </c>
      <c r="F14" s="64"/>
      <c r="G14" s="64" t="s">
        <v>58</v>
      </c>
      <c r="I14" s="10">
        <v>15.6</v>
      </c>
      <c r="J14" s="10" t="s">
        <v>916</v>
      </c>
      <c r="K14" s="16"/>
    </row>
    <row r="15" spans="2:11">
      <c r="B15" s="99" t="s">
        <v>684</v>
      </c>
      <c r="C15" s="96">
        <v>-52.95</v>
      </c>
      <c r="D15" s="97"/>
      <c r="E15" s="63">
        <v>0</v>
      </c>
      <c r="F15" s="64"/>
      <c r="G15" s="64" t="s">
        <v>58</v>
      </c>
    </row>
    <row r="16" spans="2:11">
      <c r="B16" s="99" t="s">
        <v>755</v>
      </c>
      <c r="C16" s="96">
        <v>168</v>
      </c>
      <c r="D16" s="97"/>
      <c r="E16" s="63">
        <v>0</v>
      </c>
      <c r="F16" s="64"/>
      <c r="G16" s="64" t="s">
        <v>58</v>
      </c>
    </row>
    <row r="17" spans="2:8">
      <c r="B17" s="99" t="s">
        <v>41</v>
      </c>
      <c r="C17" s="96">
        <v>-54.93</v>
      </c>
      <c r="D17" s="97"/>
      <c r="E17" s="63">
        <v>0</v>
      </c>
      <c r="F17" s="64"/>
      <c r="G17" s="64" t="s">
        <v>58</v>
      </c>
    </row>
    <row r="18" spans="2:8">
      <c r="B18" s="99" t="s">
        <v>714</v>
      </c>
      <c r="C18" s="96">
        <v>-20</v>
      </c>
      <c r="D18" s="97"/>
      <c r="E18" s="163">
        <f>C18</f>
        <v>-20</v>
      </c>
      <c r="F18" s="164"/>
      <c r="G18" s="164"/>
      <c r="H18" s="143"/>
    </row>
    <row r="19" spans="2:8">
      <c r="B19" s="99" t="s">
        <v>903</v>
      </c>
      <c r="C19" s="96">
        <v>-48.02</v>
      </c>
      <c r="D19" s="97"/>
      <c r="E19" s="63">
        <v>0</v>
      </c>
      <c r="F19" s="64"/>
      <c r="G19" s="64" t="s">
        <v>58</v>
      </c>
    </row>
    <row r="20" spans="2:8">
      <c r="B20" s="99" t="s">
        <v>77</v>
      </c>
      <c r="C20" s="96">
        <v>-161.80000000000001</v>
      </c>
      <c r="D20" s="97"/>
      <c r="E20" s="63">
        <v>0</v>
      </c>
      <c r="F20" s="64"/>
      <c r="G20" s="64" t="s">
        <v>58</v>
      </c>
    </row>
    <row r="21" spans="2:8">
      <c r="B21" s="99" t="s">
        <v>572</v>
      </c>
      <c r="C21" s="96">
        <v>-102.16</v>
      </c>
      <c r="D21" s="97"/>
      <c r="E21" s="63">
        <v>0</v>
      </c>
      <c r="F21" s="64"/>
      <c r="G21" s="64" t="s">
        <v>58</v>
      </c>
    </row>
    <row r="22" spans="2:8">
      <c r="B22" s="99" t="s">
        <v>573</v>
      </c>
      <c r="C22" s="96">
        <v>-68.099999999999994</v>
      </c>
      <c r="D22" s="97"/>
      <c r="E22" s="63">
        <v>0</v>
      </c>
      <c r="F22" s="64"/>
      <c r="G22" s="64" t="s">
        <v>58</v>
      </c>
    </row>
    <row r="23" spans="2:8">
      <c r="B23" s="99" t="s">
        <v>738</v>
      </c>
      <c r="C23" s="96">
        <v>95.16</v>
      </c>
      <c r="D23" s="97"/>
      <c r="E23" s="63">
        <v>0</v>
      </c>
      <c r="F23" s="64"/>
      <c r="G23" s="64" t="s">
        <v>58</v>
      </c>
    </row>
    <row r="24" spans="2:8">
      <c r="B24" s="99" t="s">
        <v>917</v>
      </c>
      <c r="C24" s="96">
        <v>-150</v>
      </c>
      <c r="D24" s="97"/>
      <c r="E24" s="63">
        <v>0</v>
      </c>
      <c r="F24" s="64"/>
      <c r="G24" s="64" t="s">
        <v>58</v>
      </c>
    </row>
    <row r="25" spans="2:8">
      <c r="B25" s="99" t="s">
        <v>918</v>
      </c>
      <c r="C25" s="96">
        <v>-180</v>
      </c>
      <c r="D25" s="97"/>
      <c r="E25" s="63">
        <v>0</v>
      </c>
      <c r="F25" s="64"/>
      <c r="G25" s="64" t="s">
        <v>58</v>
      </c>
    </row>
    <row r="26" spans="2:8">
      <c r="B26" s="99" t="s">
        <v>686</v>
      </c>
      <c r="C26" s="96">
        <v>-440.85</v>
      </c>
      <c r="D26" s="97"/>
      <c r="E26" s="63">
        <v>0</v>
      </c>
      <c r="F26" s="64"/>
      <c r="G26" s="64" t="s">
        <v>58</v>
      </c>
    </row>
    <row r="27" spans="2:8" ht="18">
      <c r="B27" s="74" t="s">
        <v>45</v>
      </c>
      <c r="C27" s="101"/>
      <c r="D27" s="98"/>
      <c r="E27" s="129">
        <f>SUM(E3:E26)</f>
        <v>-950.45</v>
      </c>
      <c r="F27" s="75"/>
      <c r="G27"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6.xml><?xml version="1.0" encoding="utf-8"?>
<worksheet xmlns="http://schemas.openxmlformats.org/spreadsheetml/2006/main" xmlns:r="http://schemas.openxmlformats.org/officeDocument/2006/relationships">
  <sheetPr>
    <pageSetUpPr autoPageBreaks="0"/>
  </sheetPr>
  <dimension ref="B1:K23"/>
  <sheetViews>
    <sheetView zoomScale="86" zoomScaleNormal="86" zoomScalePageLayoutView="86" workbookViewId="0">
      <selection activeCellId="1" sqref="G13 A1"/>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11</v>
      </c>
      <c r="C3" s="91">
        <v>0</v>
      </c>
      <c r="D3" s="92"/>
      <c r="E3" s="95">
        <v>2.2999999999999998</v>
      </c>
      <c r="F3" s="61"/>
      <c r="G3" s="61"/>
      <c r="I3" s="10">
        <v>9832.69</v>
      </c>
      <c r="J3" s="10" t="s">
        <v>592</v>
      </c>
      <c r="K3" s="16"/>
    </row>
    <row r="4" spans="2:11" ht="12" customHeight="1">
      <c r="B4" s="71" t="s">
        <v>56</v>
      </c>
      <c r="C4" s="91">
        <v>0</v>
      </c>
      <c r="D4" s="92"/>
      <c r="E4" s="95">
        <v>-317.58</v>
      </c>
      <c r="F4" s="72"/>
      <c r="G4" s="72"/>
      <c r="I4" s="10">
        <v>3500</v>
      </c>
      <c r="J4" s="10" t="s">
        <v>875</v>
      </c>
      <c r="K4" s="16"/>
    </row>
    <row r="5" spans="2:11" ht="12" customHeight="1">
      <c r="B5" s="71" t="s">
        <v>5</v>
      </c>
      <c r="C5" s="91">
        <v>5342</v>
      </c>
      <c r="D5" s="92"/>
      <c r="E5" s="95">
        <v>0</v>
      </c>
      <c r="F5" s="72"/>
      <c r="G5" s="72"/>
      <c r="I5" s="10"/>
      <c r="J5" s="10"/>
      <c r="K5" s="16"/>
    </row>
    <row r="6" spans="2:11">
      <c r="B6" s="71" t="s">
        <v>641</v>
      </c>
      <c r="C6" s="91">
        <v>3358</v>
      </c>
      <c r="D6" s="92"/>
      <c r="E6" s="95">
        <v>0</v>
      </c>
      <c r="F6" s="72"/>
      <c r="G6" s="72"/>
      <c r="I6" s="10"/>
      <c r="J6" s="10"/>
      <c r="K6" s="16"/>
    </row>
    <row r="7" spans="2:11">
      <c r="B7" s="99" t="s">
        <v>144</v>
      </c>
      <c r="C7" s="96">
        <v>-50</v>
      </c>
      <c r="D7" s="97"/>
      <c r="E7" s="63">
        <v>0</v>
      </c>
      <c r="F7" s="64"/>
      <c r="G7" s="64" t="s">
        <v>58</v>
      </c>
      <c r="I7" s="10"/>
      <c r="J7" s="10"/>
      <c r="K7" s="16"/>
    </row>
    <row r="8" spans="2:11">
      <c r="B8" s="99" t="s">
        <v>93</v>
      </c>
      <c r="C8" s="96">
        <v>-15.6</v>
      </c>
      <c r="D8" s="97"/>
      <c r="E8" s="63">
        <v>0</v>
      </c>
      <c r="F8" s="64"/>
      <c r="G8" s="64" t="s">
        <v>58</v>
      </c>
      <c r="I8" s="10"/>
      <c r="J8" s="10"/>
      <c r="K8" s="16"/>
    </row>
    <row r="9" spans="2:11">
      <c r="B9" s="99" t="s">
        <v>610</v>
      </c>
      <c r="C9" s="96">
        <v>-843.05</v>
      </c>
      <c r="D9" s="97"/>
      <c r="E9" s="63">
        <v>0</v>
      </c>
      <c r="F9" s="64"/>
      <c r="G9" s="64" t="s">
        <v>58</v>
      </c>
      <c r="I9" s="144">
        <f>SUM(I3:I8)</f>
        <v>13332.69</v>
      </c>
      <c r="J9" s="144" t="s">
        <v>21</v>
      </c>
      <c r="K9" s="145"/>
    </row>
    <row r="10" spans="2:11" ht="14.25" customHeight="1">
      <c r="B10" s="99" t="s">
        <v>103</v>
      </c>
      <c r="C10" s="96">
        <v>-841.03</v>
      </c>
      <c r="D10" s="97"/>
      <c r="E10" s="63">
        <v>0</v>
      </c>
      <c r="F10" s="64"/>
      <c r="G10" s="64" t="s">
        <v>58</v>
      </c>
    </row>
    <row r="11" spans="2:11" ht="15.75">
      <c r="B11" s="99" t="s">
        <v>73</v>
      </c>
      <c r="C11" s="96">
        <v>-369.18</v>
      </c>
      <c r="D11" s="97"/>
      <c r="E11" s="63">
        <v>0</v>
      </c>
      <c r="F11" s="64"/>
      <c r="G11" s="64" t="s">
        <v>58</v>
      </c>
      <c r="I11" s="221" t="s">
        <v>913</v>
      </c>
      <c r="J11" s="221" t="s">
        <v>408</v>
      </c>
      <c r="K11" s="221" t="s">
        <v>1</v>
      </c>
    </row>
    <row r="12" spans="2:11">
      <c r="B12" s="99" t="s">
        <v>684</v>
      </c>
      <c r="C12" s="96">
        <v>-52.95</v>
      </c>
      <c r="D12" s="97"/>
      <c r="E12" s="63">
        <v>0</v>
      </c>
      <c r="F12" s="64"/>
      <c r="G12" s="64" t="s">
        <v>58</v>
      </c>
      <c r="I12" s="10">
        <v>804.63</v>
      </c>
      <c r="J12" s="10" t="s">
        <v>914</v>
      </c>
      <c r="K12" s="16"/>
    </row>
    <row r="13" spans="2:11">
      <c r="B13" s="99" t="s">
        <v>919</v>
      </c>
      <c r="C13" s="96">
        <v>-61.9</v>
      </c>
      <c r="D13" s="97"/>
      <c r="E13" s="63">
        <v>0</v>
      </c>
      <c r="F13" s="64"/>
      <c r="G13" s="64" t="s">
        <v>58</v>
      </c>
      <c r="I13" s="10">
        <v>1697</v>
      </c>
      <c r="J13" s="10" t="s">
        <v>915</v>
      </c>
      <c r="K13" s="16"/>
    </row>
    <row r="14" spans="2:11">
      <c r="B14" s="99" t="s">
        <v>41</v>
      </c>
      <c r="C14" s="96">
        <v>-51.21</v>
      </c>
      <c r="D14" s="97"/>
      <c r="E14" s="63">
        <v>0</v>
      </c>
      <c r="F14" s="64"/>
      <c r="G14" s="64" t="s">
        <v>58</v>
      </c>
      <c r="I14" s="10">
        <v>0</v>
      </c>
      <c r="J14" s="10" t="s">
        <v>916</v>
      </c>
      <c r="K14" s="16"/>
    </row>
    <row r="15" spans="2:11">
      <c r="B15" s="99" t="s">
        <v>714</v>
      </c>
      <c r="C15" s="96">
        <v>-10</v>
      </c>
      <c r="D15" s="97"/>
      <c r="E15" s="63">
        <v>0</v>
      </c>
      <c r="F15" s="64"/>
      <c r="G15" s="64" t="s">
        <v>58</v>
      </c>
    </row>
    <row r="16" spans="2:11">
      <c r="B16" s="99" t="s">
        <v>903</v>
      </c>
      <c r="C16" s="96">
        <v>-59.46</v>
      </c>
      <c r="D16" s="97"/>
      <c r="E16" s="63">
        <v>0</v>
      </c>
      <c r="F16" s="64"/>
      <c r="G16" s="64" t="s">
        <v>58</v>
      </c>
    </row>
    <row r="17" spans="2:8">
      <c r="B17" s="99" t="s">
        <v>755</v>
      </c>
      <c r="C17" s="96">
        <v>330</v>
      </c>
      <c r="D17" s="97"/>
      <c r="E17" s="63">
        <v>0</v>
      </c>
      <c r="F17" s="64"/>
      <c r="G17" s="64" t="s">
        <v>58</v>
      </c>
    </row>
    <row r="18" spans="2:8">
      <c r="B18" s="99" t="s">
        <v>102</v>
      </c>
      <c r="C18" s="96">
        <v>-4000</v>
      </c>
      <c r="D18" s="97"/>
      <c r="E18" s="63">
        <v>0</v>
      </c>
      <c r="F18" s="64"/>
      <c r="G18" s="64" t="s">
        <v>58</v>
      </c>
      <c r="H18" s="143"/>
    </row>
    <row r="19" spans="2:8">
      <c r="B19" s="99" t="s">
        <v>920</v>
      </c>
      <c r="C19" s="96">
        <v>-60</v>
      </c>
      <c r="D19" s="97"/>
      <c r="E19" s="63">
        <v>0</v>
      </c>
      <c r="F19" s="64"/>
      <c r="G19" s="64" t="s">
        <v>58</v>
      </c>
    </row>
    <row r="20" spans="2:8">
      <c r="B20" s="99" t="s">
        <v>77</v>
      </c>
      <c r="C20" s="96">
        <v>-161.80000000000001</v>
      </c>
      <c r="D20" s="97"/>
      <c r="E20" s="63">
        <v>0</v>
      </c>
      <c r="F20" s="64"/>
      <c r="G20" s="64" t="s">
        <v>58</v>
      </c>
    </row>
    <row r="21" spans="2:8">
      <c r="B21" s="99" t="s">
        <v>671</v>
      </c>
      <c r="C21" s="96">
        <v>-270</v>
      </c>
      <c r="D21" s="97"/>
      <c r="E21" s="63">
        <v>0</v>
      </c>
      <c r="F21" s="64"/>
      <c r="G21" s="64" t="s">
        <v>58</v>
      </c>
    </row>
    <row r="22" spans="2:8">
      <c r="B22" s="99" t="s">
        <v>686</v>
      </c>
      <c r="C22" s="96">
        <v>-459.06</v>
      </c>
      <c r="D22" s="97"/>
      <c r="E22" s="63">
        <v>0</v>
      </c>
      <c r="F22" s="64"/>
      <c r="G22" s="64" t="s">
        <v>58</v>
      </c>
    </row>
    <row r="23" spans="2:8" ht="18">
      <c r="B23" s="74" t="s">
        <v>45</v>
      </c>
      <c r="C23" s="101"/>
      <c r="D23" s="98"/>
      <c r="E23" s="129">
        <f>SUM(E3:E22)</f>
        <v>-315.27999999999997</v>
      </c>
      <c r="F23" s="75"/>
      <c r="G23"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7.xml><?xml version="1.0" encoding="utf-8"?>
<worksheet xmlns="http://schemas.openxmlformats.org/spreadsheetml/2006/main" xmlns:r="http://schemas.openxmlformats.org/officeDocument/2006/relationships">
  <sheetPr>
    <pageSetUpPr autoPageBreaks="0"/>
  </sheetPr>
  <dimension ref="B1:K23"/>
  <sheetViews>
    <sheetView zoomScale="86" zoomScaleNormal="86" zoomScalePageLayoutView="86" workbookViewId="0">
      <selection activeCell="E11" activeCellId="1" sqref="G13 E11"/>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11</v>
      </c>
      <c r="C3" s="91">
        <v>0</v>
      </c>
      <c r="D3" s="92"/>
      <c r="E3" s="95">
        <v>0</v>
      </c>
      <c r="F3" s="61"/>
      <c r="G3" s="61"/>
      <c r="I3" s="10">
        <v>12088</v>
      </c>
      <c r="J3" s="10" t="s">
        <v>592</v>
      </c>
      <c r="K3" s="16"/>
    </row>
    <row r="4" spans="2:11" ht="12" customHeight="1">
      <c r="B4" s="71" t="s">
        <v>56</v>
      </c>
      <c r="C4" s="91">
        <v>0</v>
      </c>
      <c r="D4" s="92">
        <v>0</v>
      </c>
      <c r="E4" s="95">
        <v>-154.85</v>
      </c>
      <c r="F4" s="72"/>
      <c r="G4" s="72"/>
      <c r="I4" s="10">
        <v>0</v>
      </c>
      <c r="J4" s="10" t="s">
        <v>875</v>
      </c>
      <c r="K4" s="16"/>
    </row>
    <row r="5" spans="2:11" ht="12" customHeight="1">
      <c r="B5" s="71" t="s">
        <v>921</v>
      </c>
      <c r="C5" s="91">
        <f>1800</f>
        <v>1800</v>
      </c>
      <c r="D5" s="92"/>
      <c r="E5" s="95">
        <v>0</v>
      </c>
      <c r="F5" s="72"/>
      <c r="G5" s="72"/>
      <c r="I5" s="10"/>
      <c r="J5" s="10"/>
      <c r="K5" s="16"/>
    </row>
    <row r="6" spans="2:11">
      <c r="B6" s="71" t="s">
        <v>922</v>
      </c>
      <c r="C6" s="91">
        <f>586</f>
        <v>586</v>
      </c>
      <c r="D6" s="92"/>
      <c r="E6" s="95">
        <v>0</v>
      </c>
      <c r="F6" s="72"/>
      <c r="G6" s="72"/>
      <c r="I6" s="10"/>
      <c r="J6" s="10"/>
      <c r="K6" s="16"/>
    </row>
    <row r="7" spans="2:11">
      <c r="B7" s="71" t="s">
        <v>5</v>
      </c>
      <c r="C7" s="91">
        <f>4738.35-3358.32</f>
        <v>1380.0300000000002</v>
      </c>
      <c r="D7" s="92"/>
      <c r="E7" s="95">
        <v>0</v>
      </c>
      <c r="F7" s="72"/>
      <c r="G7" s="72"/>
      <c r="I7" s="10"/>
      <c r="J7" s="10"/>
      <c r="K7" s="16"/>
    </row>
    <row r="8" spans="2:11">
      <c r="B8" s="71" t="s">
        <v>81</v>
      </c>
      <c r="C8" s="91">
        <v>140</v>
      </c>
      <c r="D8" s="92"/>
      <c r="E8" s="95">
        <v>0</v>
      </c>
      <c r="F8" s="72"/>
      <c r="G8" s="72"/>
      <c r="I8" s="10"/>
      <c r="J8" s="10"/>
      <c r="K8" s="16"/>
    </row>
    <row r="9" spans="2:11">
      <c r="B9" s="71" t="s">
        <v>641</v>
      </c>
      <c r="C9" s="91">
        <v>3358.32</v>
      </c>
      <c r="D9" s="92"/>
      <c r="E9" s="95">
        <v>0</v>
      </c>
      <c r="F9" s="72"/>
      <c r="G9" s="72"/>
      <c r="I9" s="144">
        <f>SUM(I3:I8)</f>
        <v>12088</v>
      </c>
      <c r="J9" s="144" t="s">
        <v>21</v>
      </c>
      <c r="K9" s="145"/>
    </row>
    <row r="10" spans="2:11" ht="14.25" customHeight="1">
      <c r="B10" s="99" t="s">
        <v>144</v>
      </c>
      <c r="C10" s="96">
        <v>-400</v>
      </c>
      <c r="D10" s="97"/>
      <c r="E10" s="63">
        <v>0</v>
      </c>
      <c r="F10" s="64"/>
      <c r="G10" s="64" t="s">
        <v>58</v>
      </c>
    </row>
    <row r="11" spans="2:11" ht="15.75">
      <c r="B11" s="99" t="s">
        <v>93</v>
      </c>
      <c r="C11" s="96">
        <v>-15.6</v>
      </c>
      <c r="D11" s="97"/>
      <c r="E11" s="63">
        <v>0</v>
      </c>
      <c r="F11" s="64"/>
      <c r="G11" s="64" t="s">
        <v>58</v>
      </c>
      <c r="I11" s="221" t="s">
        <v>913</v>
      </c>
      <c r="J11" s="221" t="s">
        <v>408</v>
      </c>
      <c r="K11" s="221" t="s">
        <v>1</v>
      </c>
    </row>
    <row r="12" spans="2:11">
      <c r="B12" s="99" t="s">
        <v>610</v>
      </c>
      <c r="C12" s="96">
        <f>-I13</f>
        <v>-1833.9</v>
      </c>
      <c r="D12" s="97"/>
      <c r="E12" s="63">
        <v>0</v>
      </c>
      <c r="F12" s="64"/>
      <c r="G12" s="64" t="s">
        <v>58</v>
      </c>
      <c r="I12" s="10">
        <v>1391.09</v>
      </c>
      <c r="J12" s="10" t="s">
        <v>914</v>
      </c>
      <c r="K12" s="16"/>
    </row>
    <row r="13" spans="2:11">
      <c r="B13" s="99" t="s">
        <v>312</v>
      </c>
      <c r="C13" s="96">
        <v>-50</v>
      </c>
      <c r="D13" s="97"/>
      <c r="E13" s="63">
        <v>0</v>
      </c>
      <c r="F13" s="64"/>
      <c r="G13" s="64" t="s">
        <v>58</v>
      </c>
      <c r="I13" s="10">
        <v>1833.9</v>
      </c>
      <c r="J13" s="10" t="s">
        <v>915</v>
      </c>
      <c r="K13" s="16"/>
    </row>
    <row r="14" spans="2:11">
      <c r="B14" s="99" t="s">
        <v>103</v>
      </c>
      <c r="C14" s="96">
        <f>-I12</f>
        <v>-1391.09</v>
      </c>
      <c r="D14" s="97"/>
      <c r="E14" s="63">
        <v>0</v>
      </c>
      <c r="F14" s="64"/>
      <c r="G14" s="64" t="s">
        <v>58</v>
      </c>
      <c r="I14" s="10">
        <v>0</v>
      </c>
      <c r="J14" s="10" t="s">
        <v>916</v>
      </c>
      <c r="K14" s="16"/>
    </row>
    <row r="15" spans="2:11">
      <c r="B15" s="99" t="s">
        <v>73</v>
      </c>
      <c r="C15" s="96">
        <v>-389.18</v>
      </c>
      <c r="D15" s="97"/>
      <c r="E15" s="63">
        <v>0</v>
      </c>
      <c r="F15" s="64"/>
      <c r="G15" s="64" t="s">
        <v>58</v>
      </c>
    </row>
    <row r="16" spans="2:11">
      <c r="B16" s="99" t="s">
        <v>684</v>
      </c>
      <c r="C16" s="96">
        <v>-52.95</v>
      </c>
      <c r="D16" s="97"/>
      <c r="E16" s="63">
        <v>0</v>
      </c>
      <c r="F16" s="64"/>
      <c r="G16" s="64" t="s">
        <v>58</v>
      </c>
    </row>
    <row r="17" spans="2:8">
      <c r="B17" s="99" t="s">
        <v>41</v>
      </c>
      <c r="C17" s="96">
        <v>-54.65</v>
      </c>
      <c r="D17" s="97"/>
      <c r="E17" s="63">
        <v>0</v>
      </c>
      <c r="F17" s="64"/>
      <c r="G17" s="64" t="s">
        <v>58</v>
      </c>
    </row>
    <row r="18" spans="2:8">
      <c r="B18" s="99" t="s">
        <v>714</v>
      </c>
      <c r="C18" s="96">
        <v>-7.6</v>
      </c>
      <c r="D18" s="97"/>
      <c r="E18" s="63">
        <v>0</v>
      </c>
      <c r="F18" s="64"/>
      <c r="G18" s="64" t="s">
        <v>58</v>
      </c>
      <c r="H18" s="143"/>
    </row>
    <row r="19" spans="2:8">
      <c r="B19" s="99" t="s">
        <v>903</v>
      </c>
      <c r="C19" s="96">
        <v>-62.33</v>
      </c>
      <c r="D19" s="97"/>
      <c r="E19" s="63">
        <v>0</v>
      </c>
      <c r="F19" s="64"/>
      <c r="G19" s="64" t="s">
        <v>58</v>
      </c>
    </row>
    <row r="20" spans="2:8">
      <c r="B20" s="99" t="s">
        <v>102</v>
      </c>
      <c r="C20" s="96">
        <v>-2500</v>
      </c>
      <c r="D20" s="97"/>
      <c r="E20" s="63">
        <v>0</v>
      </c>
      <c r="F20" s="64"/>
      <c r="G20" s="64" t="s">
        <v>58</v>
      </c>
    </row>
    <row r="21" spans="2:8">
      <c r="B21" s="99" t="s">
        <v>77</v>
      </c>
      <c r="C21" s="96">
        <v>-161.80000000000001</v>
      </c>
      <c r="D21" s="97"/>
      <c r="E21" s="63">
        <v>0</v>
      </c>
      <c r="F21" s="64"/>
      <c r="G21" s="64" t="s">
        <v>58</v>
      </c>
    </row>
    <row r="22" spans="2:8">
      <c r="B22" s="99" t="s">
        <v>686</v>
      </c>
      <c r="C22" s="96">
        <v>-435.42</v>
      </c>
      <c r="D22" s="97"/>
      <c r="E22" s="63">
        <v>0</v>
      </c>
      <c r="F22" s="64"/>
      <c r="G22" s="64" t="s">
        <v>58</v>
      </c>
    </row>
    <row r="23" spans="2:8" ht="18">
      <c r="B23" s="74" t="s">
        <v>45</v>
      </c>
      <c r="C23" s="101"/>
      <c r="D23" s="98"/>
      <c r="E23" s="129">
        <f>SUM(E3:E22)</f>
        <v>-154.85</v>
      </c>
      <c r="F23" s="75"/>
      <c r="G23"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8.xml><?xml version="1.0" encoding="utf-8"?>
<worksheet xmlns="http://schemas.openxmlformats.org/spreadsheetml/2006/main" xmlns:r="http://schemas.openxmlformats.org/officeDocument/2006/relationships">
  <sheetPr>
    <pageSetUpPr autoPageBreaks="0"/>
  </sheetPr>
  <dimension ref="B1:K21"/>
  <sheetViews>
    <sheetView zoomScale="86" zoomScaleNormal="86" zoomScalePageLayoutView="86" workbookViewId="0">
      <selection activeCell="E11" activeCellId="1" sqref="G13 E11"/>
    </sheetView>
  </sheetViews>
  <sheetFormatPr defaultColWidth="8.85546875" defaultRowHeight="12.75"/>
  <cols>
    <col min="1" max="1" width="2" customWidth="1"/>
    <col min="2" max="2" width="26.42578125" customWidth="1"/>
    <col min="3" max="3" width="22.140625" customWidth="1"/>
    <col min="4" max="4" width="1.7109375" customWidth="1"/>
    <col min="5" max="5" width="20.85546875" customWidth="1"/>
    <col min="6" max="6" width="11.42578125" customWidth="1"/>
    <col min="7" max="7" width="10" customWidth="1"/>
    <col min="8" max="8" width="1" customWidth="1"/>
    <col min="9" max="9" width="16.71093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56</v>
      </c>
      <c r="C3" s="91">
        <v>0</v>
      </c>
      <c r="D3" s="92">
        <v>0</v>
      </c>
      <c r="E3" s="95">
        <v>-336.3</v>
      </c>
      <c r="F3" s="72"/>
      <c r="G3" s="72"/>
      <c r="I3" s="10">
        <v>12545.58</v>
      </c>
      <c r="J3" s="10" t="s">
        <v>592</v>
      </c>
      <c r="K3" s="16"/>
    </row>
    <row r="4" spans="2:11" ht="12" customHeight="1">
      <c r="B4" s="71" t="s">
        <v>107</v>
      </c>
      <c r="C4" s="91">
        <v>220</v>
      </c>
      <c r="D4" s="92"/>
      <c r="E4" s="95">
        <v>0</v>
      </c>
      <c r="F4" s="72"/>
      <c r="G4" s="72"/>
      <c r="I4" s="10"/>
      <c r="J4" s="10"/>
      <c r="K4" s="16"/>
    </row>
    <row r="5" spans="2:11" ht="12" customHeight="1">
      <c r="B5" s="71" t="s">
        <v>5</v>
      </c>
      <c r="C5" s="91">
        <v>5720.65</v>
      </c>
      <c r="D5" s="92"/>
      <c r="E5" s="95">
        <v>0</v>
      </c>
      <c r="F5" s="72"/>
      <c r="G5" s="72"/>
      <c r="I5" s="10"/>
      <c r="J5" s="10"/>
      <c r="K5" s="16"/>
    </row>
    <row r="6" spans="2:11">
      <c r="B6" s="99" t="s">
        <v>144</v>
      </c>
      <c r="C6" s="96">
        <v>-400</v>
      </c>
      <c r="D6" s="97"/>
      <c r="E6" s="63">
        <v>0</v>
      </c>
      <c r="F6" s="64"/>
      <c r="G6" s="64" t="s">
        <v>58</v>
      </c>
      <c r="I6" s="10"/>
      <c r="J6" s="10"/>
      <c r="K6" s="16"/>
    </row>
    <row r="7" spans="2:11">
      <c r="B7" s="99" t="s">
        <v>93</v>
      </c>
      <c r="C7" s="96">
        <v>-4.5999999999999996</v>
      </c>
      <c r="D7" s="97"/>
      <c r="E7" s="63">
        <v>0</v>
      </c>
      <c r="F7" s="64"/>
      <c r="G7" s="64" t="s">
        <v>58</v>
      </c>
      <c r="I7" s="10"/>
      <c r="J7" s="10"/>
      <c r="K7" s="16"/>
    </row>
    <row r="8" spans="2:11">
      <c r="B8" s="99" t="s">
        <v>610</v>
      </c>
      <c r="C8" s="96">
        <v>-1833.9</v>
      </c>
      <c r="D8" s="97"/>
      <c r="E8" s="63">
        <v>0</v>
      </c>
      <c r="F8" s="64"/>
      <c r="G8" s="64" t="s">
        <v>58</v>
      </c>
      <c r="I8" s="10"/>
      <c r="J8" s="10"/>
      <c r="K8" s="16"/>
    </row>
    <row r="9" spans="2:11">
      <c r="B9" s="99" t="s">
        <v>312</v>
      </c>
      <c r="C9" s="96">
        <v>-100</v>
      </c>
      <c r="D9" s="97"/>
      <c r="E9" s="63">
        <v>0</v>
      </c>
      <c r="F9" s="64"/>
      <c r="G9" s="64" t="s">
        <v>58</v>
      </c>
      <c r="I9" s="144">
        <f>SUM(I3:I8)</f>
        <v>12545.58</v>
      </c>
      <c r="J9" s="144" t="s">
        <v>21</v>
      </c>
      <c r="K9" s="145"/>
    </row>
    <row r="10" spans="2:11" ht="14.25" customHeight="1">
      <c r="B10" s="99" t="s">
        <v>103</v>
      </c>
      <c r="C10" s="96">
        <v>-1375.89</v>
      </c>
      <c r="D10" s="97"/>
      <c r="E10" s="63">
        <v>0</v>
      </c>
      <c r="F10" s="64"/>
      <c r="G10" s="64" t="s">
        <v>58</v>
      </c>
    </row>
    <row r="11" spans="2:11" ht="15.75">
      <c r="B11" s="99" t="s">
        <v>73</v>
      </c>
      <c r="C11" s="96">
        <v>-378.41</v>
      </c>
      <c r="D11" s="97"/>
      <c r="E11" s="63">
        <v>0</v>
      </c>
      <c r="F11" s="64"/>
      <c r="G11" s="64" t="s">
        <v>58</v>
      </c>
      <c r="I11" s="221" t="s">
        <v>913</v>
      </c>
      <c r="J11" s="221" t="s">
        <v>408</v>
      </c>
      <c r="K11" s="221" t="s">
        <v>1</v>
      </c>
    </row>
    <row r="12" spans="2:11">
      <c r="B12" s="99" t="s">
        <v>684</v>
      </c>
      <c r="C12" s="96">
        <v>-52.95</v>
      </c>
      <c r="D12" s="97"/>
      <c r="E12" s="63">
        <v>0</v>
      </c>
      <c r="F12" s="64"/>
      <c r="G12" s="64" t="s">
        <v>58</v>
      </c>
      <c r="I12" s="10">
        <v>0</v>
      </c>
      <c r="J12" s="10" t="s">
        <v>914</v>
      </c>
      <c r="K12" s="16"/>
    </row>
    <row r="13" spans="2:11">
      <c r="B13" s="99" t="s">
        <v>41</v>
      </c>
      <c r="C13" s="96">
        <v>-45.32</v>
      </c>
      <c r="D13" s="97"/>
      <c r="E13" s="63">
        <v>0</v>
      </c>
      <c r="F13" s="64"/>
      <c r="G13" s="64" t="s">
        <v>58</v>
      </c>
      <c r="I13" s="10">
        <v>0</v>
      </c>
      <c r="J13" s="10" t="s">
        <v>915</v>
      </c>
      <c r="K13" s="16"/>
    </row>
    <row r="14" spans="2:11">
      <c r="B14" s="99" t="s">
        <v>923</v>
      </c>
      <c r="C14" s="96">
        <v>-180</v>
      </c>
      <c r="D14" s="97"/>
      <c r="E14" s="63">
        <v>0</v>
      </c>
      <c r="F14" s="64"/>
      <c r="G14" s="64" t="s">
        <v>58</v>
      </c>
      <c r="I14" s="10">
        <v>0</v>
      </c>
      <c r="J14" s="10" t="s">
        <v>916</v>
      </c>
      <c r="K14" s="16"/>
    </row>
    <row r="15" spans="2:11">
      <c r="B15" s="99" t="s">
        <v>714</v>
      </c>
      <c r="C15" s="96">
        <v>-1.5</v>
      </c>
      <c r="D15" s="97"/>
      <c r="E15" s="63">
        <v>0</v>
      </c>
      <c r="F15" s="64"/>
      <c r="G15" s="64" t="s">
        <v>58</v>
      </c>
    </row>
    <row r="16" spans="2:11">
      <c r="B16" s="99" t="s">
        <v>586</v>
      </c>
      <c r="C16" s="96">
        <v>-210.96</v>
      </c>
      <c r="D16" s="97"/>
      <c r="E16" s="63">
        <v>0</v>
      </c>
      <c r="F16" s="64"/>
      <c r="G16" s="64" t="s">
        <v>58</v>
      </c>
    </row>
    <row r="17" spans="2:8">
      <c r="B17" s="99" t="s">
        <v>924</v>
      </c>
      <c r="C17" s="96">
        <v>-38.14</v>
      </c>
      <c r="D17" s="97"/>
      <c r="E17" s="63">
        <v>0</v>
      </c>
      <c r="F17" s="64"/>
      <c r="G17" s="64" t="s">
        <v>58</v>
      </c>
    </row>
    <row r="18" spans="2:8">
      <c r="B18" s="99" t="s">
        <v>102</v>
      </c>
      <c r="C18" s="96">
        <v>-600</v>
      </c>
      <c r="D18" s="97"/>
      <c r="E18" s="63">
        <v>0</v>
      </c>
      <c r="F18" s="64"/>
      <c r="G18" s="64" t="s">
        <v>58</v>
      </c>
      <c r="H18" s="143"/>
    </row>
    <row r="19" spans="2:8">
      <c r="B19" s="99" t="s">
        <v>755</v>
      </c>
      <c r="C19" s="96">
        <v>250</v>
      </c>
      <c r="D19" s="97"/>
      <c r="E19" s="63">
        <v>0</v>
      </c>
      <c r="F19" s="64"/>
      <c r="G19" s="64" t="s">
        <v>58</v>
      </c>
    </row>
    <row r="20" spans="2:8">
      <c r="B20" s="99" t="s">
        <v>686</v>
      </c>
      <c r="C20" s="96">
        <v>-535.70000000000005</v>
      </c>
      <c r="D20" s="97"/>
      <c r="E20" s="63">
        <v>0</v>
      </c>
      <c r="F20" s="64"/>
      <c r="G20" s="64" t="s">
        <v>58</v>
      </c>
    </row>
    <row r="21" spans="2:8" ht="18">
      <c r="B21" s="74" t="s">
        <v>45</v>
      </c>
      <c r="C21" s="101"/>
      <c r="D21" s="98"/>
      <c r="E21" s="129">
        <f>SUM(E3:E20)</f>
        <v>-336.3</v>
      </c>
      <c r="F21" s="75"/>
      <c r="G21"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69.xml><?xml version="1.0" encoding="utf-8"?>
<worksheet xmlns="http://schemas.openxmlformats.org/spreadsheetml/2006/main" xmlns:r="http://schemas.openxmlformats.org/officeDocument/2006/relationships">
  <sheetPr>
    <pageSetUpPr autoPageBreaks="0"/>
  </sheetPr>
  <dimension ref="B1:K19"/>
  <sheetViews>
    <sheetView zoomScale="75" zoomScaleNormal="75" zoomScalePageLayoutView="75" workbookViewId="0">
      <selection activeCell="C18" activeCellId="1" sqref="G13 C18"/>
    </sheetView>
  </sheetViews>
  <sheetFormatPr defaultColWidth="8.85546875" defaultRowHeight="12.75"/>
  <cols>
    <col min="1" max="1" width="2" customWidth="1"/>
    <col min="2" max="2" width="26.42578125" customWidth="1"/>
    <col min="3" max="3" width="22.28515625" customWidth="1"/>
    <col min="4" max="4" width="1.7109375" customWidth="1"/>
    <col min="5" max="5" width="21" customWidth="1"/>
    <col min="6" max="6" width="11.42578125" customWidth="1"/>
    <col min="7" max="7" width="10" customWidth="1"/>
    <col min="8" max="8" width="1" customWidth="1"/>
    <col min="9" max="9" width="17.2851562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56</v>
      </c>
      <c r="C3" s="91">
        <v>0</v>
      </c>
      <c r="D3" s="92">
        <v>0</v>
      </c>
      <c r="E3" s="95">
        <v>-214.22</v>
      </c>
      <c r="F3" s="72"/>
      <c r="G3" s="72"/>
      <c r="I3" s="10">
        <f>13645.75-150</f>
        <v>13495.75</v>
      </c>
      <c r="J3" s="10" t="s">
        <v>592</v>
      </c>
      <c r="K3" s="16"/>
    </row>
    <row r="4" spans="2:11" ht="12" customHeight="1">
      <c r="B4" s="71" t="s">
        <v>107</v>
      </c>
      <c r="C4" s="91">
        <v>185</v>
      </c>
      <c r="D4" s="92"/>
      <c r="E4" s="95">
        <v>0</v>
      </c>
      <c r="F4" s="72"/>
      <c r="G4" s="72"/>
      <c r="I4" s="10">
        <v>0</v>
      </c>
      <c r="J4" s="10" t="s">
        <v>752</v>
      </c>
      <c r="K4" s="16"/>
    </row>
    <row r="5" spans="2:11" ht="12" customHeight="1">
      <c r="B5" s="71" t="s">
        <v>5</v>
      </c>
      <c r="C5" s="91">
        <f>5868.48-185</f>
        <v>5683.48</v>
      </c>
      <c r="D5" s="92"/>
      <c r="E5" s="95">
        <v>0</v>
      </c>
      <c r="F5" s="72"/>
      <c r="G5" s="72"/>
      <c r="I5" s="10"/>
      <c r="J5" s="10"/>
      <c r="K5" s="16"/>
    </row>
    <row r="6" spans="2:11">
      <c r="B6" s="71" t="s">
        <v>107</v>
      </c>
      <c r="C6" s="91">
        <v>228</v>
      </c>
      <c r="D6" s="92"/>
      <c r="E6" s="95">
        <v>0</v>
      </c>
      <c r="F6" s="72"/>
      <c r="G6" s="72"/>
      <c r="I6" s="10"/>
      <c r="J6" s="10"/>
      <c r="K6" s="16"/>
    </row>
    <row r="7" spans="2:11">
      <c r="B7" s="99" t="s">
        <v>144</v>
      </c>
      <c r="C7" s="96">
        <v>-400</v>
      </c>
      <c r="D7" s="97"/>
      <c r="E7" s="63">
        <v>0</v>
      </c>
      <c r="F7" s="64"/>
      <c r="G7" s="64" t="s">
        <v>58</v>
      </c>
      <c r="I7" s="10"/>
      <c r="J7" s="10"/>
      <c r="K7" s="16"/>
    </row>
    <row r="8" spans="2:11">
      <c r="B8" s="99" t="s">
        <v>610</v>
      </c>
      <c r="C8" s="96">
        <v>-1425.61</v>
      </c>
      <c r="D8" s="97"/>
      <c r="E8" s="63">
        <v>0</v>
      </c>
      <c r="F8" s="64"/>
      <c r="G8" s="64" t="s">
        <v>58</v>
      </c>
      <c r="I8" s="10"/>
      <c r="J8" s="10"/>
      <c r="K8" s="16"/>
    </row>
    <row r="9" spans="2:11">
      <c r="B9" s="99" t="s">
        <v>312</v>
      </c>
      <c r="C9" s="96">
        <v>-100</v>
      </c>
      <c r="D9" s="97"/>
      <c r="E9" s="63">
        <v>0</v>
      </c>
      <c r="F9" s="64"/>
      <c r="G9" s="64" t="s">
        <v>58</v>
      </c>
      <c r="I9" s="144">
        <f>SUM(I3:I8)</f>
        <v>13495.75</v>
      </c>
      <c r="J9" s="144" t="s">
        <v>21</v>
      </c>
      <c r="K9" s="145"/>
    </row>
    <row r="10" spans="2:11" ht="14.25" customHeight="1">
      <c r="B10" s="99" t="s">
        <v>103</v>
      </c>
      <c r="C10" s="96">
        <v>-1053.1099999999999</v>
      </c>
      <c r="D10" s="97"/>
      <c r="E10" s="63">
        <v>0</v>
      </c>
      <c r="F10" s="64"/>
      <c r="G10" s="64" t="s">
        <v>58</v>
      </c>
    </row>
    <row r="11" spans="2:11" ht="15.75">
      <c r="B11" s="99" t="s">
        <v>73</v>
      </c>
      <c r="C11" s="96">
        <v>-377.8</v>
      </c>
      <c r="D11" s="97"/>
      <c r="E11" s="63">
        <v>0</v>
      </c>
      <c r="F11" s="64"/>
      <c r="G11" s="64" t="s">
        <v>58</v>
      </c>
      <c r="I11" s="221" t="s">
        <v>913</v>
      </c>
      <c r="J11" s="221" t="s">
        <v>408</v>
      </c>
      <c r="K11" s="221" t="s">
        <v>1</v>
      </c>
    </row>
    <row r="12" spans="2:11">
      <c r="B12" s="99" t="s">
        <v>684</v>
      </c>
      <c r="C12" s="96">
        <v>-52.95</v>
      </c>
      <c r="D12" s="97"/>
      <c r="E12" s="63">
        <v>0</v>
      </c>
      <c r="F12" s="64"/>
      <c r="G12" s="64" t="s">
        <v>58</v>
      </c>
      <c r="I12" s="10">
        <v>1447.3</v>
      </c>
      <c r="J12" s="10" t="s">
        <v>914</v>
      </c>
      <c r="K12" s="16"/>
    </row>
    <row r="13" spans="2:11">
      <c r="B13" s="99" t="s">
        <v>755</v>
      </c>
      <c r="C13" s="96">
        <v>150</v>
      </c>
      <c r="D13" s="97"/>
      <c r="E13" s="63">
        <v>0</v>
      </c>
      <c r="F13" s="64"/>
      <c r="G13" s="64" t="s">
        <v>58</v>
      </c>
      <c r="I13" s="10">
        <v>1486.13</v>
      </c>
      <c r="J13" s="10" t="s">
        <v>915</v>
      </c>
      <c r="K13" s="16"/>
    </row>
    <row r="14" spans="2:11">
      <c r="B14" s="99" t="s">
        <v>41</v>
      </c>
      <c r="C14" s="96">
        <v>-53.73</v>
      </c>
      <c r="D14" s="97"/>
      <c r="E14" s="63">
        <v>0</v>
      </c>
      <c r="F14" s="64"/>
      <c r="G14" s="64" t="s">
        <v>58</v>
      </c>
      <c r="I14" s="10">
        <v>0</v>
      </c>
      <c r="J14" s="10" t="s">
        <v>925</v>
      </c>
      <c r="K14" s="16"/>
    </row>
    <row r="15" spans="2:11">
      <c r="B15" s="99" t="s">
        <v>586</v>
      </c>
      <c r="C15" s="96">
        <v>-209.7</v>
      </c>
      <c r="D15" s="97"/>
      <c r="E15" s="63">
        <v>0</v>
      </c>
      <c r="F15" s="64"/>
      <c r="G15" s="64" t="s">
        <v>58</v>
      </c>
    </row>
    <row r="16" spans="2:11">
      <c r="B16" s="99" t="s">
        <v>924</v>
      </c>
      <c r="C16" s="96">
        <v>-37.9</v>
      </c>
      <c r="D16" s="97"/>
      <c r="E16" s="63">
        <v>0</v>
      </c>
      <c r="F16" s="64"/>
      <c r="G16" s="64" t="s">
        <v>58</v>
      </c>
    </row>
    <row r="17" spans="2:8">
      <c r="B17" s="99" t="s">
        <v>102</v>
      </c>
      <c r="C17" s="96">
        <v>-1000</v>
      </c>
      <c r="D17" s="97"/>
      <c r="E17" s="63">
        <v>0</v>
      </c>
      <c r="F17" s="64"/>
      <c r="G17" s="64" t="s">
        <v>58</v>
      </c>
    </row>
    <row r="18" spans="2:8">
      <c r="B18" s="99" t="s">
        <v>686</v>
      </c>
      <c r="C18" s="96">
        <v>-474.03</v>
      </c>
      <c r="D18" s="97"/>
      <c r="E18" s="63">
        <v>0</v>
      </c>
      <c r="F18" s="64"/>
      <c r="G18" s="64" t="s">
        <v>58</v>
      </c>
      <c r="H18" s="143"/>
    </row>
    <row r="19" spans="2:8" ht="18">
      <c r="B19" s="74" t="s">
        <v>45</v>
      </c>
      <c r="C19" s="101"/>
      <c r="D19" s="98"/>
      <c r="E19" s="129">
        <f>SUM(E3:E18)</f>
        <v>-214.22</v>
      </c>
      <c r="F19" s="75"/>
      <c r="G19"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sheetPr>
    <pageSetUpPr autoPageBreaks="0"/>
  </sheetPr>
  <dimension ref="A2:J25"/>
  <sheetViews>
    <sheetView showGridLines="0" zoomScaleSheetLayoutView="100" workbookViewId="0">
      <selection activeCell="H19" activeCellId="1" sqref="G13 H19"/>
    </sheetView>
  </sheetViews>
  <sheetFormatPr defaultColWidth="8.85546875" defaultRowHeight="12.75"/>
  <cols>
    <col min="1" max="1" width="1" customWidth="1"/>
    <col min="2" max="2" width="25.7109375" customWidth="1"/>
    <col min="3" max="3" width="16.7109375" style="1" customWidth="1"/>
    <col min="4" max="5" width="10.28515625" style="32" customWidth="1"/>
    <col min="6" max="6" width="3" customWidth="1"/>
    <col min="7" max="7" width="12.42578125" customWidth="1"/>
    <col min="8" max="8" width="16.85546875" customWidth="1"/>
    <col min="9" max="9" width="15.42578125" customWidth="1"/>
  </cols>
  <sheetData>
    <row r="2" spans="2:10" ht="18">
      <c r="B2" s="579" t="s">
        <v>0</v>
      </c>
      <c r="C2" s="579"/>
      <c r="D2" s="59" t="s">
        <v>1</v>
      </c>
      <c r="E2" s="59" t="s">
        <v>57</v>
      </c>
    </row>
    <row r="3" spans="2:10">
      <c r="B3" s="60" t="s">
        <v>48</v>
      </c>
      <c r="C3" s="60">
        <v>61.32</v>
      </c>
      <c r="D3" s="61"/>
      <c r="E3" s="61"/>
      <c r="G3" s="8"/>
      <c r="H3" s="1"/>
    </row>
    <row r="4" spans="2:10">
      <c r="B4" s="60" t="s">
        <v>7</v>
      </c>
      <c r="C4" s="60">
        <v>17.95</v>
      </c>
      <c r="D4" s="61"/>
      <c r="E4" s="61"/>
      <c r="G4" s="8"/>
      <c r="H4" s="1"/>
    </row>
    <row r="5" spans="2:10">
      <c r="B5" s="62" t="s">
        <v>11</v>
      </c>
      <c r="C5" s="62">
        <v>-977.09</v>
      </c>
      <c r="D5" s="61"/>
      <c r="E5" s="61"/>
      <c r="G5" s="8"/>
      <c r="H5" s="1"/>
    </row>
    <row r="6" spans="2:10" ht="12" customHeight="1">
      <c r="B6" s="60" t="s">
        <v>56</v>
      </c>
      <c r="C6" s="60">
        <v>7.56</v>
      </c>
      <c r="D6" s="61"/>
      <c r="E6" s="61"/>
      <c r="G6" s="8"/>
      <c r="H6" s="1"/>
    </row>
    <row r="7" spans="2:10" s="8" customFormat="1">
      <c r="B7" s="63" t="s">
        <v>59</v>
      </c>
      <c r="C7" s="63">
        <v>0</v>
      </c>
      <c r="D7" s="64"/>
      <c r="E7" s="64" t="s">
        <v>58</v>
      </c>
      <c r="F7"/>
      <c r="G7"/>
    </row>
    <row r="8" spans="2:10" s="8" customFormat="1">
      <c r="B8" s="63" t="s">
        <v>28</v>
      </c>
      <c r="C8" s="63">
        <v>0</v>
      </c>
      <c r="D8" s="64">
        <v>38933</v>
      </c>
      <c r="E8" s="64" t="s">
        <v>58</v>
      </c>
      <c r="G8"/>
    </row>
    <row r="9" spans="2:10" s="8" customFormat="1">
      <c r="B9" s="63" t="s">
        <v>50</v>
      </c>
      <c r="C9" s="63">
        <v>0</v>
      </c>
      <c r="D9" s="64">
        <v>38930</v>
      </c>
      <c r="E9" s="64" t="s">
        <v>58</v>
      </c>
      <c r="G9"/>
    </row>
    <row r="10" spans="2:10" s="8" customFormat="1">
      <c r="B10" s="63" t="s">
        <v>78</v>
      </c>
      <c r="C10" s="63">
        <v>0</v>
      </c>
      <c r="D10" s="64">
        <v>38930</v>
      </c>
      <c r="E10" s="64" t="s">
        <v>58</v>
      </c>
      <c r="G10"/>
    </row>
    <row r="11" spans="2:10" s="8" customFormat="1">
      <c r="B11" s="63" t="s">
        <v>29</v>
      </c>
      <c r="C11" s="63">
        <v>0</v>
      </c>
      <c r="D11" s="64">
        <v>38936</v>
      </c>
      <c r="E11" s="64" t="s">
        <v>58</v>
      </c>
      <c r="G11"/>
    </row>
    <row r="12" spans="2:10" s="8" customFormat="1">
      <c r="B12" s="63" t="s">
        <v>35</v>
      </c>
      <c r="C12" s="63">
        <v>0</v>
      </c>
      <c r="D12" s="64">
        <v>38930</v>
      </c>
      <c r="E12" s="64" t="s">
        <v>58</v>
      </c>
    </row>
    <row r="13" spans="2:10" s="8" customFormat="1">
      <c r="B13" s="63" t="s">
        <v>79</v>
      </c>
      <c r="C13" s="63">
        <v>0</v>
      </c>
      <c r="D13" s="64">
        <v>38936</v>
      </c>
      <c r="E13" s="64" t="s">
        <v>58</v>
      </c>
      <c r="G13" s="32"/>
      <c r="H13"/>
    </row>
    <row r="14" spans="2:10" s="8" customFormat="1">
      <c r="B14" s="63" t="s">
        <v>41</v>
      </c>
      <c r="C14" s="63">
        <v>0</v>
      </c>
      <c r="D14" s="64">
        <v>38940</v>
      </c>
      <c r="E14" s="64" t="s">
        <v>58</v>
      </c>
      <c r="H14"/>
      <c r="I14"/>
      <c r="J14"/>
    </row>
    <row r="15" spans="2:10" s="8" customFormat="1">
      <c r="B15" s="63" t="s">
        <v>80</v>
      </c>
      <c r="C15" s="63">
        <v>0</v>
      </c>
      <c r="D15" s="64">
        <v>38941</v>
      </c>
      <c r="E15" s="64" t="s">
        <v>58</v>
      </c>
      <c r="G15"/>
      <c r="H15"/>
      <c r="I15"/>
      <c r="J15"/>
    </row>
    <row r="16" spans="2:10" s="8" customFormat="1">
      <c r="B16" s="63" t="s">
        <v>52</v>
      </c>
      <c r="C16" s="63">
        <v>0</v>
      </c>
      <c r="D16" s="64">
        <v>38949</v>
      </c>
      <c r="E16" s="64" t="s">
        <v>58</v>
      </c>
      <c r="G16"/>
      <c r="H16"/>
      <c r="I16"/>
      <c r="J16"/>
    </row>
    <row r="17" spans="1:10" s="8" customFormat="1">
      <c r="A17"/>
      <c r="B17" s="63" t="s">
        <v>60</v>
      </c>
      <c r="C17" s="63">
        <v>0</v>
      </c>
      <c r="D17" s="64">
        <v>38944</v>
      </c>
      <c r="E17" s="64" t="s">
        <v>58</v>
      </c>
      <c r="G17"/>
      <c r="H17"/>
      <c r="I17"/>
      <c r="J17"/>
    </row>
    <row r="18" spans="1:10" s="8" customFormat="1">
      <c r="A18"/>
      <c r="B18" s="63" t="s">
        <v>42</v>
      </c>
      <c r="C18" s="63">
        <v>0</v>
      </c>
      <c r="D18" s="64">
        <v>38957</v>
      </c>
      <c r="E18" s="64" t="s">
        <v>58</v>
      </c>
      <c r="G18"/>
      <c r="H18"/>
      <c r="I18"/>
      <c r="J18"/>
    </row>
    <row r="19" spans="1:10">
      <c r="B19" s="65" t="s">
        <v>14</v>
      </c>
      <c r="C19" s="66">
        <v>-14.39</v>
      </c>
      <c r="D19" s="67">
        <v>38957</v>
      </c>
      <c r="E19" s="67"/>
    </row>
    <row r="20" spans="1:10">
      <c r="A20" s="52"/>
      <c r="B20" s="68" t="s">
        <v>81</v>
      </c>
      <c r="C20" s="69">
        <v>0</v>
      </c>
      <c r="D20" s="70">
        <v>38949</v>
      </c>
      <c r="E20" s="70"/>
      <c r="F20" s="1"/>
    </row>
    <row r="21" spans="1:10">
      <c r="B21" s="65" t="s">
        <v>82</v>
      </c>
      <c r="C21" s="66">
        <v>-45</v>
      </c>
      <c r="D21" s="67">
        <v>38944</v>
      </c>
      <c r="E21" s="67"/>
      <c r="F21" s="1"/>
    </row>
    <row r="22" spans="1:10" ht="12" customHeight="1">
      <c r="B22" s="63" t="s">
        <v>59</v>
      </c>
      <c r="C22" s="63">
        <v>0</v>
      </c>
      <c r="D22" s="64">
        <v>38944</v>
      </c>
      <c r="E22" s="64" t="s">
        <v>58</v>
      </c>
      <c r="F22" s="32"/>
    </row>
    <row r="23" spans="1:10" ht="15.75">
      <c r="B23" s="42" t="s">
        <v>45</v>
      </c>
      <c r="C23" s="43">
        <f>SUM(C3:C22)</f>
        <v>-949.65000000000009</v>
      </c>
      <c r="D23" s="44"/>
      <c r="E23" s="44"/>
      <c r="F23" s="32"/>
    </row>
    <row r="24" spans="1:10" s="8" customFormat="1">
      <c r="B24" s="65" t="s">
        <v>83</v>
      </c>
      <c r="C24" s="66">
        <v>-152.63999999999999</v>
      </c>
      <c r="D24" s="67">
        <v>38944</v>
      </c>
      <c r="E24" s="67"/>
      <c r="G24" s="32"/>
      <c r="H24"/>
    </row>
    <row r="25" spans="1:10">
      <c r="B25" s="65" t="s">
        <v>84</v>
      </c>
      <c r="C25" s="66">
        <v>-130</v>
      </c>
      <c r="D25" s="67">
        <v>38957</v>
      </c>
      <c r="E25" s="67"/>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70.xml><?xml version="1.0" encoding="utf-8"?>
<worksheet xmlns="http://schemas.openxmlformats.org/spreadsheetml/2006/main" xmlns:r="http://schemas.openxmlformats.org/officeDocument/2006/relationships">
  <sheetPr>
    <pageSetUpPr autoPageBreaks="0"/>
  </sheetPr>
  <dimension ref="B1:K23"/>
  <sheetViews>
    <sheetView zoomScale="75" zoomScaleNormal="75" zoomScalePageLayoutView="75" workbookViewId="0">
      <selection activeCell="E20" activeCellId="1" sqref="G13 E20"/>
    </sheetView>
  </sheetViews>
  <sheetFormatPr defaultColWidth="8.85546875" defaultRowHeight="12.75"/>
  <cols>
    <col min="1" max="1" width="2" customWidth="1"/>
    <col min="2" max="2" width="26.42578125" customWidth="1"/>
    <col min="3" max="3" width="22.28515625" customWidth="1"/>
    <col min="4" max="4" width="1.7109375" customWidth="1"/>
    <col min="5" max="5" width="21" customWidth="1"/>
    <col min="6" max="6" width="11.42578125" customWidth="1"/>
    <col min="7" max="7" width="10" customWidth="1"/>
    <col min="8" max="8" width="1" customWidth="1"/>
    <col min="9" max="9" width="17.2851562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56</v>
      </c>
      <c r="C3" s="91">
        <v>0</v>
      </c>
      <c r="D3" s="92">
        <v>0</v>
      </c>
      <c r="E3" s="95">
        <v>-127.72</v>
      </c>
      <c r="F3" s="72"/>
      <c r="G3" s="72"/>
      <c r="I3" s="10">
        <v>14158.74</v>
      </c>
      <c r="J3" s="10" t="s">
        <v>592</v>
      </c>
      <c r="K3" s="16"/>
    </row>
    <row r="4" spans="2:11" ht="12" customHeight="1">
      <c r="B4" s="71" t="s">
        <v>5</v>
      </c>
      <c r="C4" s="91">
        <f>5843.03-125</f>
        <v>5718.03</v>
      </c>
      <c r="D4" s="92"/>
      <c r="E4" s="95">
        <v>0</v>
      </c>
      <c r="F4" s="72"/>
      <c r="G4" s="72"/>
      <c r="I4" s="10">
        <v>0</v>
      </c>
      <c r="J4" s="10" t="s">
        <v>906</v>
      </c>
      <c r="K4" s="16"/>
    </row>
    <row r="5" spans="2:11" ht="12" customHeight="1">
      <c r="B5" s="71" t="s">
        <v>81</v>
      </c>
      <c r="C5" s="91">
        <v>125</v>
      </c>
      <c r="D5" s="92"/>
      <c r="E5" s="95">
        <v>0</v>
      </c>
      <c r="F5" s="72"/>
      <c r="G5" s="72"/>
      <c r="I5" s="10"/>
      <c r="J5" s="10"/>
      <c r="K5" s="16"/>
    </row>
    <row r="6" spans="2:11">
      <c r="B6" s="71" t="s">
        <v>107</v>
      </c>
      <c r="C6" s="91">
        <v>208.7</v>
      </c>
      <c r="D6" s="92"/>
      <c r="E6" s="95">
        <f>C6</f>
        <v>208.7</v>
      </c>
      <c r="F6" s="72"/>
      <c r="G6" s="72"/>
      <c r="I6" s="10"/>
      <c r="J6" s="10"/>
      <c r="K6" s="16"/>
    </row>
    <row r="7" spans="2:11">
      <c r="B7" s="71" t="s">
        <v>926</v>
      </c>
      <c r="C7" s="91">
        <v>119.27</v>
      </c>
      <c r="D7" s="92"/>
      <c r="E7" s="95">
        <v>0</v>
      </c>
      <c r="F7" s="72"/>
      <c r="G7" s="72"/>
      <c r="I7" s="10"/>
      <c r="J7" s="10"/>
      <c r="K7" s="16"/>
    </row>
    <row r="8" spans="2:11">
      <c r="B8" s="71" t="s">
        <v>927</v>
      </c>
      <c r="C8" s="91">
        <v>250</v>
      </c>
      <c r="D8" s="92"/>
      <c r="E8" s="95">
        <f>C8</f>
        <v>250</v>
      </c>
      <c r="F8" s="72"/>
      <c r="G8" s="72"/>
      <c r="I8" s="10"/>
      <c r="J8" s="10"/>
      <c r="K8" s="16"/>
    </row>
    <row r="9" spans="2:11">
      <c r="B9" s="99" t="s">
        <v>144</v>
      </c>
      <c r="C9" s="96">
        <v>-400</v>
      </c>
      <c r="D9" s="97"/>
      <c r="E9" s="63">
        <v>0</v>
      </c>
      <c r="F9" s="64"/>
      <c r="G9" s="64" t="s">
        <v>58</v>
      </c>
      <c r="I9" s="144">
        <f>SUM(I3:I8)</f>
        <v>14158.74</v>
      </c>
      <c r="J9" s="144" t="s">
        <v>21</v>
      </c>
      <c r="K9" s="145"/>
    </row>
    <row r="10" spans="2:11" ht="14.25" customHeight="1">
      <c r="B10" s="99" t="s">
        <v>610</v>
      </c>
      <c r="C10" s="96">
        <v>-1486.13</v>
      </c>
      <c r="D10" s="97"/>
      <c r="E10" s="63">
        <v>0</v>
      </c>
      <c r="F10" s="64"/>
      <c r="G10" s="64" t="s">
        <v>58</v>
      </c>
    </row>
    <row r="11" spans="2:11" ht="15.75">
      <c r="B11" s="99" t="s">
        <v>312</v>
      </c>
      <c r="C11" s="96">
        <v>-200</v>
      </c>
      <c r="D11" s="97"/>
      <c r="E11" s="63">
        <v>0</v>
      </c>
      <c r="F11" s="64"/>
      <c r="G11" s="64" t="s">
        <v>58</v>
      </c>
      <c r="I11" s="221" t="s">
        <v>913</v>
      </c>
      <c r="J11" s="221" t="s">
        <v>408</v>
      </c>
      <c r="K11" s="221" t="s">
        <v>1</v>
      </c>
    </row>
    <row r="12" spans="2:11">
      <c r="B12" s="99" t="s">
        <v>103</v>
      </c>
      <c r="C12" s="96">
        <v>-1447.3</v>
      </c>
      <c r="D12" s="97"/>
      <c r="E12" s="63">
        <v>0</v>
      </c>
      <c r="F12" s="64"/>
      <c r="G12" s="64" t="s">
        <v>58</v>
      </c>
      <c r="I12" s="10">
        <v>2200.6799999999998</v>
      </c>
      <c r="J12" s="10" t="s">
        <v>914</v>
      </c>
      <c r="K12" s="16"/>
    </row>
    <row r="13" spans="2:11">
      <c r="B13" s="99" t="s">
        <v>928</v>
      </c>
      <c r="C13" s="96">
        <v>3000</v>
      </c>
      <c r="D13" s="97"/>
      <c r="E13" s="63">
        <v>0</v>
      </c>
      <c r="F13" s="64"/>
      <c r="G13" s="64" t="s">
        <v>58</v>
      </c>
      <c r="I13" s="10">
        <v>481.29</v>
      </c>
      <c r="J13" s="10" t="s">
        <v>915</v>
      </c>
      <c r="K13" s="16"/>
    </row>
    <row r="14" spans="2:11">
      <c r="B14" s="99" t="s">
        <v>73</v>
      </c>
      <c r="C14" s="96">
        <v>-343.89</v>
      </c>
      <c r="D14" s="97"/>
      <c r="E14" s="63">
        <v>0</v>
      </c>
      <c r="F14" s="64"/>
      <c r="G14" s="64" t="s">
        <v>58</v>
      </c>
      <c r="I14" s="10">
        <v>0</v>
      </c>
      <c r="J14" s="10" t="s">
        <v>925</v>
      </c>
      <c r="K14" s="16"/>
    </row>
    <row r="15" spans="2:11">
      <c r="B15" s="99" t="s">
        <v>684</v>
      </c>
      <c r="C15" s="96">
        <v>-52.95</v>
      </c>
      <c r="D15" s="97"/>
      <c r="E15" s="63">
        <v>0</v>
      </c>
      <c r="F15" s="64"/>
      <c r="G15" s="64" t="s">
        <v>58</v>
      </c>
    </row>
    <row r="16" spans="2:11">
      <c r="B16" s="99" t="s">
        <v>41</v>
      </c>
      <c r="C16" s="96">
        <v>-53.73</v>
      </c>
      <c r="D16" s="97"/>
      <c r="E16" s="63">
        <v>0</v>
      </c>
      <c r="F16" s="64"/>
      <c r="G16" s="64" t="s">
        <v>58</v>
      </c>
    </row>
    <row r="17" spans="2:8">
      <c r="B17" s="99" t="s">
        <v>586</v>
      </c>
      <c r="C17" s="96">
        <v>-209.7</v>
      </c>
      <c r="D17" s="97"/>
      <c r="E17" s="63">
        <v>0</v>
      </c>
      <c r="F17" s="64"/>
      <c r="G17" s="64" t="s">
        <v>58</v>
      </c>
    </row>
    <row r="18" spans="2:8">
      <c r="B18" s="99" t="s">
        <v>924</v>
      </c>
      <c r="C18" s="96">
        <v>-39.14</v>
      </c>
      <c r="D18" s="97"/>
      <c r="E18" s="63">
        <v>0</v>
      </c>
      <c r="F18" s="64"/>
      <c r="G18" s="64" t="s">
        <v>58</v>
      </c>
      <c r="H18" s="143"/>
    </row>
    <row r="19" spans="2:8">
      <c r="B19" s="99" t="s">
        <v>755</v>
      </c>
      <c r="C19" s="96">
        <v>450</v>
      </c>
      <c r="D19" s="97"/>
      <c r="E19" s="63">
        <v>0</v>
      </c>
      <c r="F19" s="64"/>
      <c r="G19" s="64" t="s">
        <v>58</v>
      </c>
    </row>
    <row r="20" spans="2:8">
      <c r="B20" s="99" t="s">
        <v>714</v>
      </c>
      <c r="C20" s="96">
        <v>-20</v>
      </c>
      <c r="D20" s="97"/>
      <c r="E20" s="163">
        <f>C20</f>
        <v>-20</v>
      </c>
      <c r="F20" s="164"/>
      <c r="G20" s="164"/>
    </row>
    <row r="21" spans="2:8">
      <c r="B21" s="99" t="s">
        <v>102</v>
      </c>
      <c r="C21" s="96">
        <v>-1000</v>
      </c>
      <c r="D21" s="97"/>
      <c r="E21" s="63">
        <v>0</v>
      </c>
      <c r="F21" s="64"/>
      <c r="G21" s="64" t="s">
        <v>58</v>
      </c>
    </row>
    <row r="22" spans="2:8">
      <c r="B22" s="99" t="s">
        <v>686</v>
      </c>
      <c r="C22" s="96">
        <v>-555.23</v>
      </c>
      <c r="D22" s="97"/>
      <c r="E22" s="63">
        <v>0</v>
      </c>
      <c r="F22" s="64"/>
      <c r="G22" s="64" t="s">
        <v>58</v>
      </c>
    </row>
    <row r="23" spans="2:8" ht="18">
      <c r="B23" s="74" t="s">
        <v>45</v>
      </c>
      <c r="C23" s="101"/>
      <c r="D23" s="98"/>
      <c r="E23" s="129">
        <f>SUM(E3:E22)</f>
        <v>310.98</v>
      </c>
      <c r="F23" s="75"/>
      <c r="G23"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1.xml><?xml version="1.0" encoding="utf-8"?>
<worksheet xmlns="http://schemas.openxmlformats.org/spreadsheetml/2006/main" xmlns:r="http://schemas.openxmlformats.org/officeDocument/2006/relationships">
  <sheetPr>
    <pageSetUpPr autoPageBreaks="0"/>
  </sheetPr>
  <dimension ref="B1:K29"/>
  <sheetViews>
    <sheetView zoomScale="75" zoomScaleNormal="75" zoomScalePageLayoutView="75" workbookViewId="0">
      <selection activeCell="C24" activeCellId="1" sqref="G13 C24"/>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s>
  <sheetData>
    <row r="1" spans="2:11">
      <c r="E1" s="106"/>
    </row>
    <row r="2" spans="2:11" ht="18">
      <c r="B2" s="220" t="s">
        <v>135</v>
      </c>
      <c r="C2" s="220" t="s">
        <v>136</v>
      </c>
      <c r="D2" s="90"/>
      <c r="E2" s="220" t="s">
        <v>0</v>
      </c>
      <c r="F2" s="82" t="s">
        <v>1</v>
      </c>
      <c r="G2" s="82" t="s">
        <v>57</v>
      </c>
      <c r="I2" s="221" t="s">
        <v>707</v>
      </c>
      <c r="J2" s="221" t="s">
        <v>408</v>
      </c>
      <c r="K2" s="221" t="s">
        <v>1</v>
      </c>
    </row>
    <row r="3" spans="2:11">
      <c r="B3" s="71" t="s">
        <v>56</v>
      </c>
      <c r="C3" s="91">
        <v>0</v>
      </c>
      <c r="D3" s="92">
        <v>0</v>
      </c>
      <c r="E3" s="95">
        <v>-49.63</v>
      </c>
      <c r="F3" s="72"/>
      <c r="G3" s="72"/>
      <c r="I3" s="10">
        <v>18540.66</v>
      </c>
      <c r="J3" s="10" t="s">
        <v>592</v>
      </c>
      <c r="K3" s="16"/>
    </row>
    <row r="4" spans="2:11" ht="12" customHeight="1">
      <c r="B4" s="71" t="s">
        <v>5</v>
      </c>
      <c r="C4" s="91">
        <f>5431.85+2987.52</f>
        <v>8419.3700000000008</v>
      </c>
      <c r="D4" s="92"/>
      <c r="E4" s="95">
        <v>0</v>
      </c>
      <c r="F4" s="72"/>
      <c r="G4" s="72"/>
      <c r="I4" s="10">
        <v>-150</v>
      </c>
      <c r="J4" s="10" t="s">
        <v>929</v>
      </c>
      <c r="K4" s="16"/>
    </row>
    <row r="5" spans="2:11" ht="12" customHeight="1">
      <c r="B5" s="71" t="s">
        <v>81</v>
      </c>
      <c r="C5" s="91">
        <v>125</v>
      </c>
      <c r="D5" s="92"/>
      <c r="E5" s="95">
        <v>0</v>
      </c>
      <c r="F5" s="72"/>
      <c r="G5" s="72"/>
      <c r="I5" s="10"/>
      <c r="J5" s="10"/>
      <c r="K5" s="16"/>
    </row>
    <row r="6" spans="2:11">
      <c r="B6" s="71" t="s">
        <v>225</v>
      </c>
      <c r="C6" s="91">
        <f>4696.37+1400</f>
        <v>6096.37</v>
      </c>
      <c r="D6" s="92"/>
      <c r="E6" s="95">
        <v>0</v>
      </c>
      <c r="F6" s="72"/>
      <c r="G6" s="72"/>
      <c r="I6" s="10"/>
      <c r="J6" s="10"/>
      <c r="K6" s="16"/>
    </row>
    <row r="7" spans="2:11">
      <c r="B7" s="71" t="s">
        <v>107</v>
      </c>
      <c r="C7" s="91">
        <v>203.7</v>
      </c>
      <c r="D7" s="92"/>
      <c r="E7" s="95">
        <v>0</v>
      </c>
      <c r="F7" s="72"/>
      <c r="G7" s="72"/>
      <c r="I7" s="10">
        <f>1500+4000</f>
        <v>5500</v>
      </c>
      <c r="J7" s="10" t="s">
        <v>930</v>
      </c>
      <c r="K7" s="16"/>
    </row>
    <row r="8" spans="2:11">
      <c r="B8" s="71" t="s">
        <v>927</v>
      </c>
      <c r="C8" s="91">
        <v>230</v>
      </c>
      <c r="D8" s="92"/>
      <c r="E8" s="95">
        <v>0</v>
      </c>
      <c r="F8" s="72"/>
      <c r="G8" s="72"/>
      <c r="I8" s="10"/>
      <c r="J8" s="10"/>
      <c r="K8" s="16"/>
    </row>
    <row r="9" spans="2:11">
      <c r="B9" s="99" t="s">
        <v>144</v>
      </c>
      <c r="C9" s="96">
        <v>-400</v>
      </c>
      <c r="D9" s="97"/>
      <c r="E9" s="63">
        <v>0</v>
      </c>
      <c r="F9" s="64"/>
      <c r="G9" s="64" t="s">
        <v>58</v>
      </c>
      <c r="I9" s="144">
        <f>SUM(I3:I8)</f>
        <v>23890.66</v>
      </c>
      <c r="J9" s="144" t="s">
        <v>21</v>
      </c>
      <c r="K9" s="145"/>
    </row>
    <row r="10" spans="2:11" ht="14.25" customHeight="1">
      <c r="B10" s="99" t="s">
        <v>610</v>
      </c>
      <c r="C10" s="96">
        <v>-481.29</v>
      </c>
      <c r="D10" s="97"/>
      <c r="E10" s="63">
        <v>0</v>
      </c>
      <c r="F10" s="64"/>
      <c r="G10" s="64" t="s">
        <v>58</v>
      </c>
    </row>
    <row r="11" spans="2:11" ht="15.75">
      <c r="B11" s="99" t="s">
        <v>312</v>
      </c>
      <c r="C11" s="96">
        <v>-100</v>
      </c>
      <c r="D11" s="97"/>
      <c r="E11" s="63">
        <v>0</v>
      </c>
      <c r="F11" s="64"/>
      <c r="G11" s="64" t="s">
        <v>58</v>
      </c>
      <c r="I11" s="221" t="s">
        <v>913</v>
      </c>
      <c r="J11" s="221" t="s">
        <v>408</v>
      </c>
      <c r="K11" s="221" t="s">
        <v>1</v>
      </c>
    </row>
    <row r="12" spans="2:11">
      <c r="B12" s="99" t="s">
        <v>103</v>
      </c>
      <c r="C12" s="96">
        <v>-2200.6799999999998</v>
      </c>
      <c r="D12" s="97"/>
      <c r="E12" s="63">
        <v>0</v>
      </c>
      <c r="F12" s="64"/>
      <c r="G12" s="64" t="s">
        <v>58</v>
      </c>
      <c r="I12" s="10">
        <v>2202.2199999999998</v>
      </c>
      <c r="J12" s="10" t="s">
        <v>914</v>
      </c>
      <c r="K12" s="16"/>
    </row>
    <row r="13" spans="2:11">
      <c r="B13" s="99" t="s">
        <v>46</v>
      </c>
      <c r="C13" s="96">
        <v>1023.19</v>
      </c>
      <c r="D13" s="97"/>
      <c r="E13" s="63">
        <v>0</v>
      </c>
      <c r="F13" s="64"/>
      <c r="G13" s="64" t="s">
        <v>58</v>
      </c>
      <c r="I13" s="10">
        <v>250</v>
      </c>
      <c r="J13" s="10" t="s">
        <v>915</v>
      </c>
      <c r="K13" s="16"/>
    </row>
    <row r="14" spans="2:11">
      <c r="B14" s="99" t="s">
        <v>125</v>
      </c>
      <c r="C14" s="96">
        <v>-1800</v>
      </c>
      <c r="D14" s="97"/>
      <c r="E14" s="63">
        <v>0</v>
      </c>
      <c r="F14" s="64"/>
      <c r="G14" s="64" t="s">
        <v>58</v>
      </c>
      <c r="I14" s="10"/>
      <c r="J14" s="10"/>
      <c r="K14" s="16"/>
    </row>
    <row r="15" spans="2:11">
      <c r="B15" s="99" t="s">
        <v>931</v>
      </c>
      <c r="C15" s="96">
        <v>-2000</v>
      </c>
      <c r="D15" s="97"/>
      <c r="E15" s="63">
        <v>0</v>
      </c>
      <c r="F15" s="64"/>
      <c r="G15" s="64" t="s">
        <v>58</v>
      </c>
    </row>
    <row r="16" spans="2:11" ht="15.75">
      <c r="B16" s="99" t="s">
        <v>73</v>
      </c>
      <c r="C16" s="96">
        <v>-481.71</v>
      </c>
      <c r="D16" s="97"/>
      <c r="E16" s="63">
        <v>0</v>
      </c>
      <c r="F16" s="64"/>
      <c r="G16" s="64" t="s">
        <v>58</v>
      </c>
      <c r="I16" s="221" t="s">
        <v>125</v>
      </c>
      <c r="J16" s="221" t="s">
        <v>408</v>
      </c>
      <c r="K16" s="221" t="s">
        <v>1</v>
      </c>
    </row>
    <row r="17" spans="2:11">
      <c r="B17" s="99" t="s">
        <v>684</v>
      </c>
      <c r="C17" s="96">
        <v>-52.95</v>
      </c>
      <c r="D17" s="97"/>
      <c r="E17" s="63">
        <v>0</v>
      </c>
      <c r="F17" s="64"/>
      <c r="G17" s="64" t="s">
        <v>58</v>
      </c>
      <c r="I17" s="10"/>
      <c r="J17" s="10"/>
      <c r="K17" s="16"/>
    </row>
    <row r="18" spans="2:11">
      <c r="B18" s="99" t="s">
        <v>41</v>
      </c>
      <c r="C18" s="96">
        <v>-60.37</v>
      </c>
      <c r="D18" s="97"/>
      <c r="E18" s="63">
        <v>0</v>
      </c>
      <c r="F18" s="64"/>
      <c r="G18" s="64" t="s">
        <v>58</v>
      </c>
      <c r="H18" s="143"/>
      <c r="I18" s="10"/>
      <c r="J18" s="10"/>
      <c r="K18" s="16"/>
    </row>
    <row r="19" spans="2:11">
      <c r="B19" s="99" t="s">
        <v>586</v>
      </c>
      <c r="C19" s="96">
        <v>-209.7</v>
      </c>
      <c r="D19" s="97"/>
      <c r="E19" s="63">
        <v>0</v>
      </c>
      <c r="F19" s="64"/>
      <c r="G19" s="64" t="s">
        <v>58</v>
      </c>
      <c r="I19" s="10"/>
      <c r="J19" s="10"/>
      <c r="K19" s="16"/>
    </row>
    <row r="20" spans="2:11">
      <c r="B20" s="99" t="s">
        <v>932</v>
      </c>
      <c r="C20" s="96">
        <v>-138</v>
      </c>
      <c r="D20" s="97"/>
      <c r="E20" s="63">
        <v>0</v>
      </c>
      <c r="F20" s="64"/>
      <c r="G20" s="64" t="s">
        <v>58</v>
      </c>
      <c r="I20" s="10"/>
      <c r="J20" s="10"/>
      <c r="K20" s="16"/>
    </row>
    <row r="21" spans="2:11">
      <c r="B21" s="99" t="s">
        <v>83</v>
      </c>
      <c r="C21" s="96">
        <v>-70</v>
      </c>
      <c r="D21" s="97"/>
      <c r="E21" s="63">
        <v>0</v>
      </c>
      <c r="F21" s="64"/>
      <c r="G21" s="64" t="s">
        <v>58</v>
      </c>
      <c r="I21" s="10"/>
      <c r="J21" s="10"/>
      <c r="K21" s="16"/>
    </row>
    <row r="22" spans="2:11">
      <c r="B22" s="99" t="s">
        <v>924</v>
      </c>
      <c r="C22" s="96">
        <v>-54.01</v>
      </c>
      <c r="D22" s="97"/>
      <c r="E22" s="63">
        <v>0</v>
      </c>
      <c r="F22" s="64"/>
      <c r="G22" s="64" t="s">
        <v>58</v>
      </c>
      <c r="I22" s="10"/>
      <c r="J22" s="10"/>
      <c r="K22" s="16"/>
    </row>
    <row r="23" spans="2:11">
      <c r="B23" s="99" t="s">
        <v>171</v>
      </c>
      <c r="C23" s="96">
        <v>-183</v>
      </c>
      <c r="D23" s="97"/>
      <c r="E23" s="63">
        <v>0</v>
      </c>
      <c r="F23" s="64"/>
      <c r="G23" s="64" t="s">
        <v>58</v>
      </c>
    </row>
    <row r="24" spans="2:11">
      <c r="B24" s="99" t="s">
        <v>102</v>
      </c>
      <c r="C24" s="96">
        <v>-7250</v>
      </c>
      <c r="D24" s="97"/>
      <c r="E24" s="63">
        <v>0</v>
      </c>
      <c r="F24" s="64"/>
      <c r="G24" s="64" t="s">
        <v>58</v>
      </c>
    </row>
    <row r="25" spans="2:11">
      <c r="B25" s="99" t="s">
        <v>714</v>
      </c>
      <c r="C25" s="96">
        <v>-40</v>
      </c>
      <c r="D25" s="97"/>
      <c r="E25" s="63">
        <v>0</v>
      </c>
      <c r="F25" s="64"/>
      <c r="G25" s="64" t="s">
        <v>58</v>
      </c>
    </row>
    <row r="26" spans="2:11">
      <c r="B26" s="99" t="s">
        <v>755</v>
      </c>
      <c r="C26" s="96">
        <v>150</v>
      </c>
      <c r="D26" s="97"/>
      <c r="E26" s="63">
        <v>0</v>
      </c>
      <c r="F26" s="64"/>
      <c r="G26" s="64" t="s">
        <v>58</v>
      </c>
    </row>
    <row r="27" spans="2:11">
      <c r="B27" s="99" t="s">
        <v>755</v>
      </c>
      <c r="C27" s="96">
        <v>3000</v>
      </c>
      <c r="D27" s="97"/>
      <c r="E27" s="63">
        <v>0</v>
      </c>
      <c r="F27" s="64"/>
      <c r="G27" s="64" t="s">
        <v>58</v>
      </c>
    </row>
    <row r="28" spans="2:11">
      <c r="B28" s="99" t="s">
        <v>686</v>
      </c>
      <c r="C28" s="96">
        <v>-604.79</v>
      </c>
      <c r="D28" s="97"/>
      <c r="E28" s="63">
        <v>0</v>
      </c>
      <c r="F28" s="64"/>
      <c r="G28" s="64" t="s">
        <v>58</v>
      </c>
    </row>
    <row r="29" spans="2:11" ht="18">
      <c r="B29" s="74" t="s">
        <v>45</v>
      </c>
      <c r="C29" s="101"/>
      <c r="D29" s="98"/>
      <c r="E29" s="129">
        <f>SUM(E3:E28)</f>
        <v>-49.63</v>
      </c>
      <c r="F29" s="75"/>
      <c r="G29"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2.xml><?xml version="1.0" encoding="utf-8"?>
<worksheet xmlns="http://schemas.openxmlformats.org/spreadsheetml/2006/main" xmlns:r="http://schemas.openxmlformats.org/officeDocument/2006/relationships">
  <sheetPr>
    <pageSetUpPr autoPageBreaks="0"/>
  </sheetPr>
  <dimension ref="B1:O34"/>
  <sheetViews>
    <sheetView zoomScale="75" zoomScaleNormal="75" zoomScalePageLayoutView="75" workbookViewId="0">
      <selection activeCell="C6" activeCellId="1" sqref="G13 C6"/>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s>
  <sheetData>
    <row r="1" spans="2:15">
      <c r="E1" s="106"/>
    </row>
    <row r="2" spans="2:15" ht="18">
      <c r="B2" s="220" t="s">
        <v>135</v>
      </c>
      <c r="C2" s="220" t="s">
        <v>136</v>
      </c>
      <c r="D2" s="90"/>
      <c r="E2" s="220" t="s">
        <v>0</v>
      </c>
      <c r="F2" s="82" t="s">
        <v>1</v>
      </c>
      <c r="G2" s="82" t="s">
        <v>57</v>
      </c>
      <c r="I2" s="221" t="s">
        <v>707</v>
      </c>
      <c r="J2" s="221" t="s">
        <v>408</v>
      </c>
      <c r="K2" s="221" t="s">
        <v>1</v>
      </c>
      <c r="M2" s="221" t="s">
        <v>933</v>
      </c>
      <c r="N2" s="221" t="s">
        <v>408</v>
      </c>
      <c r="O2" s="221" t="s">
        <v>1</v>
      </c>
    </row>
    <row r="3" spans="2:15">
      <c r="B3" s="71" t="s">
        <v>56</v>
      </c>
      <c r="C3" s="91">
        <v>0</v>
      </c>
      <c r="D3" s="92">
        <v>0</v>
      </c>
      <c r="E3" s="95">
        <v>-617.84</v>
      </c>
      <c r="F3" s="72"/>
      <c r="G3" s="72"/>
      <c r="I3" s="10">
        <v>0</v>
      </c>
      <c r="J3" s="10" t="s">
        <v>592</v>
      </c>
      <c r="K3" s="16"/>
      <c r="M3" s="10">
        <v>185.9</v>
      </c>
      <c r="N3" s="10" t="s">
        <v>592</v>
      </c>
      <c r="O3" s="16">
        <v>40881</v>
      </c>
    </row>
    <row r="4" spans="2:15" ht="12" customHeight="1">
      <c r="B4" s="71" t="s">
        <v>5</v>
      </c>
      <c r="C4" s="91">
        <f>5431.25+2987.52</f>
        <v>8418.77</v>
      </c>
      <c r="D4" s="92"/>
      <c r="E4" s="95">
        <v>0</v>
      </c>
      <c r="F4" s="72"/>
      <c r="G4" s="72"/>
      <c r="I4" s="10"/>
      <c r="J4" s="10"/>
      <c r="K4" s="16"/>
      <c r="M4" s="10"/>
      <c r="N4" s="10"/>
      <c r="O4" s="16"/>
    </row>
    <row r="5" spans="2:15" ht="12" customHeight="1">
      <c r="B5" s="71" t="s">
        <v>81</v>
      </c>
      <c r="C5" s="91">
        <v>125</v>
      </c>
      <c r="D5" s="92"/>
      <c r="E5" s="95">
        <v>0</v>
      </c>
      <c r="F5" s="72"/>
      <c r="G5" s="72"/>
      <c r="I5" s="10"/>
      <c r="J5" s="10"/>
      <c r="K5" s="16"/>
      <c r="M5" s="10"/>
      <c r="N5" s="10"/>
      <c r="O5" s="16"/>
    </row>
    <row r="6" spans="2:15">
      <c r="B6" s="71" t="s">
        <v>609</v>
      </c>
      <c r="C6" s="91">
        <v>2889.26</v>
      </c>
      <c r="D6" s="92"/>
      <c r="E6" s="95">
        <v>0</v>
      </c>
      <c r="F6" s="72"/>
      <c r="G6" s="72"/>
      <c r="I6" s="10"/>
      <c r="J6" s="10"/>
      <c r="K6" s="16"/>
      <c r="M6" s="10"/>
      <c r="N6" s="10"/>
      <c r="O6" s="16"/>
    </row>
    <row r="7" spans="2:15">
      <c r="B7" s="71" t="s">
        <v>107</v>
      </c>
      <c r="C7" s="91">
        <v>233.6</v>
      </c>
      <c r="D7" s="92"/>
      <c r="E7" s="95">
        <v>0</v>
      </c>
      <c r="F7" s="72"/>
      <c r="G7" s="72"/>
      <c r="I7" s="10"/>
      <c r="J7" s="10"/>
      <c r="K7" s="16"/>
      <c r="M7" s="10"/>
      <c r="N7" s="10"/>
      <c r="O7" s="16"/>
    </row>
    <row r="8" spans="2:15">
      <c r="B8" s="71" t="s">
        <v>927</v>
      </c>
      <c r="C8" s="91">
        <v>167.25</v>
      </c>
      <c r="D8" s="92"/>
      <c r="E8" s="95">
        <v>0</v>
      </c>
      <c r="F8" s="72"/>
      <c r="G8" s="72"/>
      <c r="I8" s="10"/>
      <c r="J8" s="10"/>
      <c r="K8" s="16"/>
      <c r="M8" s="10"/>
      <c r="N8" s="10"/>
      <c r="O8" s="16"/>
    </row>
    <row r="9" spans="2:15">
      <c r="B9" s="99" t="s">
        <v>144</v>
      </c>
      <c r="C9" s="96">
        <v>-400</v>
      </c>
      <c r="D9" s="97"/>
      <c r="E9" s="63">
        <v>0</v>
      </c>
      <c r="F9" s="64"/>
      <c r="G9" s="64" t="s">
        <v>58</v>
      </c>
      <c r="I9" s="144">
        <f>SUM(I3:I8)</f>
        <v>0</v>
      </c>
      <c r="J9" s="144" t="s">
        <v>21</v>
      </c>
      <c r="K9" s="145"/>
      <c r="M9" s="144">
        <f>SUM(M3:M8)</f>
        <v>185.9</v>
      </c>
      <c r="N9" s="144" t="s">
        <v>21</v>
      </c>
      <c r="O9" s="145"/>
    </row>
    <row r="10" spans="2:15" ht="14.25" customHeight="1">
      <c r="B10" s="99" t="s">
        <v>610</v>
      </c>
      <c r="C10" s="96">
        <v>-201.48</v>
      </c>
      <c r="D10" s="97"/>
      <c r="E10" s="63">
        <v>0</v>
      </c>
      <c r="F10" s="64"/>
      <c r="G10" s="64" t="s">
        <v>58</v>
      </c>
    </row>
    <row r="11" spans="2:15" ht="15.75">
      <c r="B11" s="99" t="s">
        <v>312</v>
      </c>
      <c r="C11" s="96">
        <v>-100</v>
      </c>
      <c r="D11" s="97"/>
      <c r="E11" s="63">
        <v>0</v>
      </c>
      <c r="F11" s="64"/>
      <c r="G11" s="64" t="s">
        <v>58</v>
      </c>
      <c r="I11" s="221" t="s">
        <v>913</v>
      </c>
      <c r="J11" s="221" t="s">
        <v>408</v>
      </c>
      <c r="K11" s="221" t="s">
        <v>1</v>
      </c>
    </row>
    <row r="12" spans="2:15">
      <c r="B12" s="99" t="s">
        <v>103</v>
      </c>
      <c r="C12" s="96">
        <v>-2655.98</v>
      </c>
      <c r="D12" s="97"/>
      <c r="E12" s="63">
        <v>0</v>
      </c>
      <c r="F12" s="64"/>
      <c r="G12" s="64" t="s">
        <v>58</v>
      </c>
      <c r="I12" s="10">
        <v>4333.22</v>
      </c>
      <c r="J12" s="10" t="s">
        <v>914</v>
      </c>
      <c r="K12" s="16"/>
    </row>
    <row r="13" spans="2:15">
      <c r="B13" s="99" t="s">
        <v>934</v>
      </c>
      <c r="C13" s="96">
        <v>-185.9</v>
      </c>
      <c r="D13" s="97"/>
      <c r="E13" s="63">
        <v>0</v>
      </c>
      <c r="F13" s="64"/>
      <c r="G13" s="64" t="s">
        <v>58</v>
      </c>
      <c r="I13" s="10">
        <v>201.48</v>
      </c>
      <c r="J13" s="10" t="s">
        <v>915</v>
      </c>
      <c r="K13" s="16"/>
    </row>
    <row r="14" spans="2:15">
      <c r="B14" s="99" t="s">
        <v>73</v>
      </c>
      <c r="C14" s="96">
        <v>-347.37</v>
      </c>
      <c r="D14" s="97"/>
      <c r="E14" s="63">
        <v>0</v>
      </c>
      <c r="F14" s="64"/>
      <c r="G14" s="64" t="s">
        <v>58</v>
      </c>
      <c r="I14" s="10"/>
      <c r="J14" s="10"/>
      <c r="K14" s="16"/>
    </row>
    <row r="15" spans="2:15">
      <c r="B15" s="99" t="s">
        <v>684</v>
      </c>
      <c r="C15" s="96">
        <v>-52.95</v>
      </c>
      <c r="D15" s="97"/>
      <c r="E15" s="63">
        <v>0</v>
      </c>
      <c r="F15" s="64"/>
      <c r="G15" s="64" t="s">
        <v>58</v>
      </c>
    </row>
    <row r="16" spans="2:15" ht="15.75">
      <c r="B16" s="99" t="s">
        <v>755</v>
      </c>
      <c r="C16" s="96">
        <v>22942</v>
      </c>
      <c r="D16" s="97"/>
      <c r="E16" s="63">
        <v>0</v>
      </c>
      <c r="F16" s="64"/>
      <c r="G16" s="64" t="s">
        <v>58</v>
      </c>
      <c r="I16" s="221" t="s">
        <v>125</v>
      </c>
      <c r="J16" s="221" t="s">
        <v>408</v>
      </c>
      <c r="K16" s="221" t="s">
        <v>1</v>
      </c>
    </row>
    <row r="17" spans="2:11">
      <c r="B17" s="99" t="s">
        <v>935</v>
      </c>
      <c r="C17" s="96">
        <v>-121.59</v>
      </c>
      <c r="D17" s="97"/>
      <c r="E17" s="63">
        <v>0</v>
      </c>
      <c r="F17" s="64"/>
      <c r="G17" s="64" t="s">
        <v>58</v>
      </c>
      <c r="I17" s="10"/>
      <c r="J17" s="10"/>
      <c r="K17" s="16"/>
    </row>
    <row r="18" spans="2:11">
      <c r="B18" s="99" t="s">
        <v>38</v>
      </c>
      <c r="C18" s="96">
        <v>-22000</v>
      </c>
      <c r="D18" s="97"/>
      <c r="E18" s="63">
        <v>0</v>
      </c>
      <c r="F18" s="64"/>
      <c r="G18" s="64" t="s">
        <v>58</v>
      </c>
      <c r="H18" s="143"/>
      <c r="I18" s="10"/>
      <c r="J18" s="10"/>
      <c r="K18" s="16"/>
    </row>
    <row r="19" spans="2:11">
      <c r="B19" s="99" t="s">
        <v>41</v>
      </c>
      <c r="C19" s="96">
        <v>-63.1</v>
      </c>
      <c r="D19" s="97"/>
      <c r="E19" s="163">
        <f>C19</f>
        <v>-63.1</v>
      </c>
      <c r="F19" s="164"/>
      <c r="G19" s="164"/>
      <c r="I19" s="10"/>
      <c r="J19" s="10"/>
      <c r="K19" s="16"/>
    </row>
    <row r="20" spans="2:11">
      <c r="B20" s="99" t="s">
        <v>936</v>
      </c>
      <c r="C20" s="96">
        <f>-1143+990</f>
        <v>-153</v>
      </c>
      <c r="D20" s="97"/>
      <c r="E20" s="63">
        <v>0</v>
      </c>
      <c r="F20" s="64"/>
      <c r="G20" s="64" t="s">
        <v>58</v>
      </c>
      <c r="I20" s="10"/>
      <c r="J20" s="10"/>
      <c r="K20" s="16"/>
    </row>
    <row r="21" spans="2:11">
      <c r="B21" s="99" t="s">
        <v>937</v>
      </c>
      <c r="C21" s="96">
        <v>-130</v>
      </c>
      <c r="D21" s="97"/>
      <c r="E21" s="63">
        <v>0</v>
      </c>
      <c r="F21" s="64"/>
      <c r="G21" s="64" t="s">
        <v>58</v>
      </c>
      <c r="I21" s="10"/>
      <c r="J21" s="10"/>
      <c r="K21" s="16"/>
    </row>
    <row r="22" spans="2:11">
      <c r="B22" s="99" t="s">
        <v>938</v>
      </c>
      <c r="C22" s="96">
        <v>-150</v>
      </c>
      <c r="D22" s="97"/>
      <c r="E22" s="63">
        <v>0</v>
      </c>
      <c r="F22" s="64"/>
      <c r="G22" s="64" t="s">
        <v>58</v>
      </c>
      <c r="I22" s="10"/>
      <c r="J22" s="10"/>
      <c r="K22" s="16"/>
    </row>
    <row r="23" spans="2:11">
      <c r="B23" s="99" t="s">
        <v>586</v>
      </c>
      <c r="C23" s="96">
        <v>-209.7</v>
      </c>
      <c r="D23" s="97"/>
      <c r="E23" s="63">
        <v>0</v>
      </c>
      <c r="F23" s="64"/>
      <c r="G23" s="64" t="s">
        <v>58</v>
      </c>
    </row>
    <row r="24" spans="2:11">
      <c r="B24" s="99" t="s">
        <v>939</v>
      </c>
      <c r="C24" s="96">
        <v>-50</v>
      </c>
      <c r="D24" s="97"/>
      <c r="E24" s="63">
        <v>0</v>
      </c>
      <c r="F24" s="64"/>
      <c r="G24" s="64" t="s">
        <v>58</v>
      </c>
    </row>
    <row r="25" spans="2:11">
      <c r="B25" s="99" t="s">
        <v>940</v>
      </c>
      <c r="C25" s="96">
        <v>-90</v>
      </c>
      <c r="D25" s="97"/>
      <c r="E25" s="63">
        <v>0</v>
      </c>
      <c r="F25" s="64"/>
      <c r="G25" s="64" t="s">
        <v>58</v>
      </c>
    </row>
    <row r="26" spans="2:11">
      <c r="B26" s="99" t="s">
        <v>83</v>
      </c>
      <c r="C26" s="96">
        <f>-85.13+17.02</f>
        <v>-68.11</v>
      </c>
      <c r="D26" s="97"/>
      <c r="E26" s="63">
        <v>0</v>
      </c>
      <c r="F26" s="64"/>
      <c r="G26" s="64" t="s">
        <v>58</v>
      </c>
    </row>
    <row r="27" spans="2:11">
      <c r="B27" s="99" t="s">
        <v>941</v>
      </c>
      <c r="C27" s="96">
        <f>-85.13+17.02</f>
        <v>-68.11</v>
      </c>
      <c r="D27" s="97"/>
      <c r="E27" s="63">
        <v>0</v>
      </c>
      <c r="F27" s="64"/>
      <c r="G27" s="64" t="s">
        <v>58</v>
      </c>
    </row>
    <row r="28" spans="2:11">
      <c r="B28" s="99" t="s">
        <v>924</v>
      </c>
      <c r="C28" s="96">
        <v>-92.64</v>
      </c>
      <c r="D28" s="97"/>
      <c r="E28" s="163">
        <f>C28</f>
        <v>-92.64</v>
      </c>
      <c r="F28" s="164"/>
      <c r="G28" s="164"/>
    </row>
    <row r="29" spans="2:11">
      <c r="B29" s="99" t="s">
        <v>942</v>
      </c>
      <c r="C29" s="96">
        <v>-550</v>
      </c>
      <c r="D29" s="97"/>
      <c r="E29" s="63">
        <v>0</v>
      </c>
      <c r="F29" s="64"/>
      <c r="G29" s="64" t="s">
        <v>58</v>
      </c>
    </row>
    <row r="30" spans="2:11">
      <c r="B30" s="99" t="s">
        <v>943</v>
      </c>
      <c r="C30" s="96">
        <f>121.59+68.11-45</f>
        <v>144.69999999999999</v>
      </c>
      <c r="D30" s="97"/>
      <c r="E30" s="63">
        <v>0</v>
      </c>
      <c r="F30" s="64"/>
      <c r="G30" s="64" t="s">
        <v>58</v>
      </c>
    </row>
    <row r="31" spans="2:11">
      <c r="B31" s="99" t="s">
        <v>102</v>
      </c>
      <c r="C31" s="96">
        <v>-4500</v>
      </c>
      <c r="D31" s="97"/>
      <c r="E31" s="63">
        <v>0</v>
      </c>
      <c r="F31" s="64"/>
      <c r="G31" s="64" t="s">
        <v>58</v>
      </c>
    </row>
    <row r="32" spans="2:11">
      <c r="B32" s="99" t="s">
        <v>714</v>
      </c>
      <c r="C32" s="96">
        <v>-20</v>
      </c>
      <c r="D32" s="97"/>
      <c r="E32" s="163">
        <f>C32</f>
        <v>-20</v>
      </c>
      <c r="F32" s="164">
        <v>40889</v>
      </c>
      <c r="G32" s="164"/>
    </row>
    <row r="33" spans="2:7">
      <c r="B33" s="99" t="s">
        <v>686</v>
      </c>
      <c r="C33" s="96">
        <v>-556.82000000000005</v>
      </c>
      <c r="D33" s="97"/>
      <c r="E33" s="63">
        <v>0</v>
      </c>
      <c r="F33" s="64"/>
      <c r="G33" s="64" t="s">
        <v>58</v>
      </c>
    </row>
    <row r="34" spans="2:7" ht="18">
      <c r="B34" s="74" t="s">
        <v>45</v>
      </c>
      <c r="C34" s="101"/>
      <c r="D34" s="98"/>
      <c r="E34" s="129">
        <f>SUM(E3:E33)</f>
        <v>-793.58</v>
      </c>
      <c r="F34" s="75"/>
      <c r="G34"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3.xml><?xml version="1.0" encoding="utf-8"?>
<worksheet xmlns="http://schemas.openxmlformats.org/spreadsheetml/2006/main" xmlns:r="http://schemas.openxmlformats.org/officeDocument/2006/relationships">
  <sheetPr>
    <pageSetUpPr autoPageBreaks="0"/>
  </sheetPr>
  <dimension ref="B1:O47"/>
  <sheetViews>
    <sheetView zoomScale="75" zoomScaleNormal="75" zoomScalePageLayoutView="75" workbookViewId="0">
      <selection activeCell="B34" activeCellId="1" sqref="G13 B34"/>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s>
  <sheetData>
    <row r="1" spans="2:15">
      <c r="E1" s="106"/>
    </row>
    <row r="2" spans="2:15" ht="18">
      <c r="B2" s="220" t="s">
        <v>135</v>
      </c>
      <c r="C2" s="220" t="s">
        <v>136</v>
      </c>
      <c r="D2" s="90"/>
      <c r="E2" s="220" t="s">
        <v>0</v>
      </c>
      <c r="F2" s="82" t="s">
        <v>1</v>
      </c>
      <c r="G2" s="82" t="s">
        <v>57</v>
      </c>
      <c r="I2" s="221" t="s">
        <v>707</v>
      </c>
      <c r="J2" s="221" t="s">
        <v>408</v>
      </c>
      <c r="K2" s="221" t="s">
        <v>1</v>
      </c>
      <c r="M2" s="221" t="s">
        <v>933</v>
      </c>
      <c r="N2" s="221" t="s">
        <v>408</v>
      </c>
      <c r="O2" s="221" t="s">
        <v>1</v>
      </c>
    </row>
    <row r="3" spans="2:15">
      <c r="B3" s="71" t="s">
        <v>56</v>
      </c>
      <c r="C3" s="91">
        <v>0</v>
      </c>
      <c r="D3" s="92">
        <v>0</v>
      </c>
      <c r="E3" s="95">
        <v>-7.95</v>
      </c>
      <c r="F3" s="72"/>
      <c r="G3" s="72"/>
      <c r="I3" s="10">
        <v>8544.31</v>
      </c>
      <c r="J3" s="10" t="s">
        <v>592</v>
      </c>
      <c r="K3" s="16"/>
      <c r="M3" s="10">
        <v>558.24</v>
      </c>
      <c r="N3" s="10" t="s">
        <v>592</v>
      </c>
      <c r="O3" s="16">
        <v>40881</v>
      </c>
    </row>
    <row r="4" spans="2:15" ht="12" customHeight="1">
      <c r="B4" s="71" t="s">
        <v>5</v>
      </c>
      <c r="C4" s="91">
        <v>6177.61</v>
      </c>
      <c r="D4" s="92"/>
      <c r="E4" s="95">
        <v>0</v>
      </c>
      <c r="F4" s="72"/>
      <c r="G4" s="72"/>
      <c r="I4" s="10">
        <v>-280</v>
      </c>
      <c r="J4" s="10" t="s">
        <v>944</v>
      </c>
      <c r="K4" s="16"/>
      <c r="M4" s="10"/>
      <c r="N4" s="10"/>
      <c r="O4" s="16"/>
    </row>
    <row r="5" spans="2:15" ht="12" customHeight="1">
      <c r="B5" s="71" t="s">
        <v>81</v>
      </c>
      <c r="C5" s="91">
        <f>125*2</f>
        <v>250</v>
      </c>
      <c r="D5" s="92"/>
      <c r="E5" s="95">
        <f>C5</f>
        <v>250</v>
      </c>
      <c r="F5" s="72"/>
      <c r="G5" s="72"/>
      <c r="I5" s="10">
        <v>-6500</v>
      </c>
      <c r="J5" s="10"/>
      <c r="K5" s="16"/>
      <c r="M5" s="10"/>
      <c r="N5" s="10"/>
      <c r="O5" s="16"/>
    </row>
    <row r="6" spans="2:15">
      <c r="B6" s="71" t="s">
        <v>945</v>
      </c>
      <c r="C6" s="91">
        <v>8568.26</v>
      </c>
      <c r="D6" s="92"/>
      <c r="E6" s="95">
        <v>0</v>
      </c>
      <c r="F6" s="72"/>
      <c r="G6" s="72"/>
      <c r="I6" s="10">
        <v>-1500</v>
      </c>
      <c r="J6" s="10"/>
      <c r="K6" s="16"/>
      <c r="M6" s="10"/>
      <c r="N6" s="10"/>
      <c r="O6" s="16"/>
    </row>
    <row r="7" spans="2:15">
      <c r="B7" s="71" t="s">
        <v>875</v>
      </c>
      <c r="C7" s="91">
        <v>4209.6499999999996</v>
      </c>
      <c r="D7" s="92"/>
      <c r="E7" s="95">
        <v>0</v>
      </c>
      <c r="F7" s="72"/>
      <c r="G7" s="72"/>
      <c r="I7" s="10"/>
      <c r="J7" s="10"/>
      <c r="K7" s="16"/>
      <c r="M7" s="10"/>
      <c r="N7" s="10"/>
      <c r="O7" s="16"/>
    </row>
    <row r="8" spans="2:15">
      <c r="B8" s="71" t="s">
        <v>931</v>
      </c>
      <c r="C8" s="91">
        <v>310</v>
      </c>
      <c r="D8" s="92"/>
      <c r="E8" s="95">
        <v>0</v>
      </c>
      <c r="F8" s="72"/>
      <c r="G8" s="72"/>
      <c r="I8" s="10"/>
      <c r="J8" s="10"/>
      <c r="K8" s="16"/>
      <c r="M8" s="10"/>
      <c r="N8" s="10"/>
      <c r="O8" s="16"/>
    </row>
    <row r="9" spans="2:15">
      <c r="B9" s="71" t="s">
        <v>946</v>
      </c>
      <c r="C9" s="91">
        <v>29.87</v>
      </c>
      <c r="D9" s="92"/>
      <c r="E9" s="95">
        <f>C9</f>
        <v>29.87</v>
      </c>
      <c r="F9" s="72"/>
      <c r="G9" s="72"/>
      <c r="I9" s="144">
        <f>SUM(I3:I8)</f>
        <v>264.30999999999949</v>
      </c>
      <c r="J9" s="144" t="s">
        <v>21</v>
      </c>
      <c r="K9" s="145"/>
      <c r="M9" s="144">
        <f>SUM(M3:M8)</f>
        <v>558.24</v>
      </c>
      <c r="N9" s="144" t="s">
        <v>21</v>
      </c>
      <c r="O9" s="145"/>
    </row>
    <row r="10" spans="2:15" ht="14.25" customHeight="1">
      <c r="B10" s="99" t="s">
        <v>947</v>
      </c>
      <c r="C10" s="96">
        <v>-500</v>
      </c>
      <c r="D10" s="97"/>
      <c r="E10" s="63">
        <v>0</v>
      </c>
      <c r="F10" s="64"/>
      <c r="G10" s="64" t="s">
        <v>58</v>
      </c>
    </row>
    <row r="11" spans="2:15" ht="15.75">
      <c r="B11" s="99" t="s">
        <v>948</v>
      </c>
      <c r="C11" s="96">
        <v>-201.48</v>
      </c>
      <c r="D11" s="97"/>
      <c r="E11" s="63">
        <v>0</v>
      </c>
      <c r="F11" s="64"/>
      <c r="G11" s="64" t="s">
        <v>58</v>
      </c>
      <c r="I11" s="221" t="s">
        <v>913</v>
      </c>
      <c r="J11" s="221" t="s">
        <v>408</v>
      </c>
      <c r="K11" s="221" t="s">
        <v>1</v>
      </c>
    </row>
    <row r="12" spans="2:15">
      <c r="B12" s="99" t="s">
        <v>949</v>
      </c>
      <c r="C12" s="96">
        <v>0</v>
      </c>
      <c r="D12" s="97"/>
      <c r="E12" s="63">
        <f>C12</f>
        <v>0</v>
      </c>
      <c r="F12" s="64"/>
      <c r="G12" s="64" t="s">
        <v>58</v>
      </c>
      <c r="I12" s="10">
        <v>-3716.34</v>
      </c>
      <c r="J12" s="10" t="s">
        <v>914</v>
      </c>
      <c r="K12" s="16"/>
    </row>
    <row r="13" spans="2:15">
      <c r="B13" s="99" t="s">
        <v>950</v>
      </c>
      <c r="C13" s="96">
        <f>-I12</f>
        <v>3716.34</v>
      </c>
      <c r="D13" s="97"/>
      <c r="E13" s="63">
        <v>0</v>
      </c>
      <c r="F13" s="64"/>
      <c r="G13" s="64" t="s">
        <v>58</v>
      </c>
      <c r="I13" s="10">
        <v>-201.48</v>
      </c>
      <c r="J13" s="10" t="s">
        <v>915</v>
      </c>
      <c r="K13" s="16"/>
    </row>
    <row r="14" spans="2:15">
      <c r="B14" s="99" t="s">
        <v>951</v>
      </c>
      <c r="C14" s="96">
        <v>-185.9</v>
      </c>
      <c r="D14" s="97"/>
      <c r="E14" s="63">
        <v>0</v>
      </c>
      <c r="F14" s="64"/>
      <c r="G14" s="64" t="s">
        <v>58</v>
      </c>
      <c r="I14" s="10"/>
      <c r="J14" s="10"/>
      <c r="K14" s="16"/>
    </row>
    <row r="15" spans="2:15">
      <c r="B15" s="99" t="s">
        <v>952</v>
      </c>
      <c r="C15" s="96">
        <v>-387.41</v>
      </c>
      <c r="D15" s="97"/>
      <c r="E15" s="63">
        <v>0</v>
      </c>
      <c r="F15" s="64"/>
      <c r="G15" s="64" t="s">
        <v>58</v>
      </c>
    </row>
    <row r="16" spans="2:15" ht="15.75">
      <c r="B16" s="99" t="s">
        <v>953</v>
      </c>
      <c r="C16" s="96">
        <v>-57.87</v>
      </c>
      <c r="D16" s="97"/>
      <c r="E16" s="63">
        <v>0</v>
      </c>
      <c r="F16" s="64"/>
      <c r="G16" s="64" t="s">
        <v>58</v>
      </c>
      <c r="I16" s="221" t="s">
        <v>125</v>
      </c>
      <c r="J16" s="221" t="s">
        <v>408</v>
      </c>
      <c r="K16" s="221" t="s">
        <v>1</v>
      </c>
    </row>
    <row r="17" spans="2:11">
      <c r="B17" s="99" t="s">
        <v>764</v>
      </c>
      <c r="C17" s="96">
        <v>-63.1</v>
      </c>
      <c r="D17" s="97"/>
      <c r="E17" s="63">
        <v>0</v>
      </c>
      <c r="F17" s="64"/>
      <c r="G17" s="64" t="s">
        <v>58</v>
      </c>
      <c r="I17" s="10"/>
      <c r="J17" s="10"/>
      <c r="K17" s="16"/>
    </row>
    <row r="18" spans="2:11">
      <c r="B18" s="99" t="s">
        <v>881</v>
      </c>
      <c r="C18" s="96">
        <v>-54.8</v>
      </c>
      <c r="D18" s="97"/>
      <c r="E18" s="63">
        <v>0</v>
      </c>
      <c r="F18" s="64"/>
      <c r="G18" s="64" t="s">
        <v>58</v>
      </c>
      <c r="H18" s="143"/>
      <c r="I18" s="10"/>
      <c r="J18" s="10"/>
      <c r="K18" s="16"/>
    </row>
    <row r="19" spans="2:11">
      <c r="B19" s="99" t="s">
        <v>954</v>
      </c>
      <c r="C19" s="96">
        <v>-127</v>
      </c>
      <c r="D19" s="97"/>
      <c r="E19" s="63">
        <v>0</v>
      </c>
      <c r="F19" s="64"/>
      <c r="G19" s="64" t="s">
        <v>58</v>
      </c>
      <c r="I19" s="10"/>
      <c r="J19" s="10"/>
      <c r="K19" s="16"/>
    </row>
    <row r="20" spans="2:11">
      <c r="B20" s="99" t="s">
        <v>955</v>
      </c>
      <c r="C20" s="96">
        <v>-200</v>
      </c>
      <c r="D20" s="97"/>
      <c r="E20" s="63">
        <v>0</v>
      </c>
      <c r="F20" s="64"/>
      <c r="G20" s="64" t="s">
        <v>58</v>
      </c>
      <c r="I20" s="10"/>
      <c r="J20" s="10"/>
      <c r="K20" s="16"/>
    </row>
    <row r="21" spans="2:11">
      <c r="B21" s="99" t="s">
        <v>956</v>
      </c>
      <c r="C21" s="96">
        <v>-750</v>
      </c>
      <c r="D21" s="97"/>
      <c r="E21" s="63">
        <v>0</v>
      </c>
      <c r="F21" s="64"/>
      <c r="G21" s="64" t="s">
        <v>58</v>
      </c>
      <c r="I21" s="10"/>
      <c r="J21" s="10"/>
      <c r="K21" s="16"/>
    </row>
    <row r="22" spans="2:11">
      <c r="B22" s="99" t="s">
        <v>957</v>
      </c>
      <c r="C22" s="96">
        <v>-2300</v>
      </c>
      <c r="D22" s="97"/>
      <c r="E22" s="163">
        <f>C22</f>
        <v>-2300</v>
      </c>
      <c r="F22" s="164"/>
      <c r="G22" s="164"/>
      <c r="I22" s="10"/>
      <c r="J22" s="10"/>
      <c r="K22" s="16"/>
    </row>
    <row r="23" spans="2:11">
      <c r="B23" s="99" t="s">
        <v>958</v>
      </c>
      <c r="C23" s="96">
        <v>-92.64</v>
      </c>
      <c r="D23" s="97"/>
      <c r="E23" s="63">
        <v>0</v>
      </c>
      <c r="F23" s="64"/>
      <c r="G23" s="64" t="s">
        <v>58</v>
      </c>
    </row>
    <row r="24" spans="2:11">
      <c r="B24" s="99" t="s">
        <v>959</v>
      </c>
      <c r="C24" s="96">
        <v>-8000</v>
      </c>
      <c r="D24" s="97"/>
      <c r="E24" s="63">
        <v>0</v>
      </c>
      <c r="F24" s="64"/>
      <c r="G24" s="64" t="s">
        <v>58</v>
      </c>
    </row>
    <row r="25" spans="2:11">
      <c r="B25" s="99" t="s">
        <v>701</v>
      </c>
      <c r="C25" s="96">
        <v>-253.59</v>
      </c>
      <c r="D25" s="97"/>
      <c r="E25" s="63">
        <v>0</v>
      </c>
      <c r="F25" s="64"/>
      <c r="G25" s="64" t="s">
        <v>58</v>
      </c>
    </row>
    <row r="26" spans="2:11">
      <c r="B26" s="99" t="s">
        <v>960</v>
      </c>
      <c r="C26" s="96">
        <v>-4000</v>
      </c>
      <c r="D26" s="97"/>
      <c r="E26" s="63">
        <v>0</v>
      </c>
      <c r="F26" s="64"/>
      <c r="G26" s="64" t="s">
        <v>58</v>
      </c>
    </row>
    <row r="27" spans="2:11">
      <c r="B27" s="99" t="s">
        <v>961</v>
      </c>
      <c r="C27" s="96">
        <v>-53.27</v>
      </c>
      <c r="D27" s="97"/>
      <c r="E27" s="63">
        <v>0</v>
      </c>
      <c r="F27" s="64"/>
      <c r="G27" s="64" t="s">
        <v>58</v>
      </c>
    </row>
    <row r="28" spans="2:11">
      <c r="B28" s="99" t="s">
        <v>962</v>
      </c>
      <c r="C28" s="96">
        <v>-10.82</v>
      </c>
      <c r="D28" s="97"/>
      <c r="E28" s="63">
        <v>0</v>
      </c>
      <c r="F28" s="64"/>
      <c r="G28" s="64" t="s">
        <v>58</v>
      </c>
    </row>
    <row r="29" spans="2:11">
      <c r="B29" s="99" t="s">
        <v>963</v>
      </c>
      <c r="C29" s="96">
        <v>-30</v>
      </c>
      <c r="D29" s="97"/>
      <c r="E29" s="163">
        <f>C29</f>
        <v>-30</v>
      </c>
      <c r="F29" s="164"/>
      <c r="G29" s="164"/>
    </row>
    <row r="30" spans="2:11">
      <c r="B30" s="99" t="s">
        <v>964</v>
      </c>
      <c r="C30" s="96">
        <v>-545.07000000000005</v>
      </c>
      <c r="D30" s="97"/>
      <c r="E30" s="63">
        <v>0</v>
      </c>
      <c r="F30" s="64"/>
      <c r="G30" s="64" t="s">
        <v>58</v>
      </c>
    </row>
    <row r="31" spans="2:11">
      <c r="B31" s="99" t="s">
        <v>965</v>
      </c>
      <c r="C31" s="96">
        <v>-500</v>
      </c>
      <c r="D31" s="97"/>
      <c r="E31" s="163">
        <f>C31</f>
        <v>-500</v>
      </c>
      <c r="F31" s="164"/>
      <c r="G31" s="164"/>
    </row>
    <row r="32" spans="2:11">
      <c r="B32" s="99" t="s">
        <v>966</v>
      </c>
      <c r="C32" s="96">
        <v>-201.48</v>
      </c>
      <c r="D32" s="97"/>
      <c r="E32" s="163">
        <f>C32</f>
        <v>-201.48</v>
      </c>
      <c r="F32" s="164"/>
      <c r="G32" s="164"/>
    </row>
    <row r="33" spans="2:7">
      <c r="B33" s="99" t="s">
        <v>967</v>
      </c>
      <c r="C33" s="96">
        <v>-100</v>
      </c>
      <c r="D33" s="97"/>
      <c r="E33" s="163">
        <f>C33</f>
        <v>-100</v>
      </c>
      <c r="F33" s="164"/>
      <c r="G33" s="164"/>
    </row>
    <row r="34" spans="2:7">
      <c r="B34" s="99" t="s">
        <v>968</v>
      </c>
      <c r="C34" s="96">
        <f>I12</f>
        <v>-3716.34</v>
      </c>
      <c r="D34" s="97"/>
      <c r="E34" s="163">
        <f>C34</f>
        <v>-3716.34</v>
      </c>
      <c r="F34" s="164"/>
      <c r="G34" s="164"/>
    </row>
    <row r="35" spans="2:7">
      <c r="B35" s="99" t="s">
        <v>969</v>
      </c>
      <c r="C35" s="96">
        <v>-185.9</v>
      </c>
      <c r="D35" s="97"/>
      <c r="E35" s="63">
        <v>0</v>
      </c>
      <c r="F35" s="64"/>
      <c r="G35" s="64" t="s">
        <v>58</v>
      </c>
    </row>
    <row r="36" spans="2:7">
      <c r="B36" s="99" t="s">
        <v>970</v>
      </c>
      <c r="C36" s="96">
        <v>1500</v>
      </c>
      <c r="D36" s="97"/>
      <c r="E36" s="63">
        <v>0</v>
      </c>
      <c r="F36" s="64"/>
      <c r="G36" s="64" t="s">
        <v>58</v>
      </c>
    </row>
    <row r="37" spans="2:7">
      <c r="B37" s="99" t="s">
        <v>971</v>
      </c>
      <c r="C37" s="96">
        <v>1500</v>
      </c>
      <c r="D37" s="97"/>
      <c r="E37" s="163">
        <f>C37</f>
        <v>1500</v>
      </c>
      <c r="F37" s="164"/>
      <c r="G37" s="164"/>
    </row>
    <row r="38" spans="2:7">
      <c r="B38" s="99" t="s">
        <v>972</v>
      </c>
      <c r="C38" s="96">
        <v>6500</v>
      </c>
      <c r="D38" s="97"/>
      <c r="E38" s="163">
        <f>C38</f>
        <v>6500</v>
      </c>
      <c r="F38" s="164"/>
      <c r="G38" s="164"/>
    </row>
    <row r="39" spans="2:7">
      <c r="B39" s="99" t="s">
        <v>973</v>
      </c>
      <c r="C39" s="96">
        <f>C15</f>
        <v>-387.41</v>
      </c>
      <c r="D39" s="97"/>
      <c r="E39" s="163">
        <f>C39</f>
        <v>-387.41</v>
      </c>
      <c r="F39" s="164"/>
      <c r="G39" s="164"/>
    </row>
    <row r="40" spans="2:7">
      <c r="B40" s="99" t="s">
        <v>974</v>
      </c>
      <c r="C40" s="96">
        <f>-1821.66-11</f>
        <v>-1832.66</v>
      </c>
      <c r="D40" s="97"/>
      <c r="E40" s="63">
        <v>0</v>
      </c>
      <c r="F40" s="64"/>
      <c r="G40" s="64" t="s">
        <v>58</v>
      </c>
    </row>
    <row r="41" spans="2:7">
      <c r="B41" s="99" t="s">
        <v>117</v>
      </c>
      <c r="C41" s="96">
        <f>-454.21-138.32</f>
        <v>-592.53</v>
      </c>
      <c r="D41" s="97"/>
      <c r="E41" s="163">
        <f t="shared" ref="E41:E46" si="0">C41</f>
        <v>-592.53</v>
      </c>
      <c r="F41" s="164"/>
      <c r="G41" s="164"/>
    </row>
    <row r="42" spans="2:7">
      <c r="B42" s="99" t="s">
        <v>975</v>
      </c>
      <c r="C42" s="96">
        <v>-54.8</v>
      </c>
      <c r="D42" s="97"/>
      <c r="E42" s="163">
        <f t="shared" si="0"/>
        <v>-54.8</v>
      </c>
      <c r="F42" s="164"/>
      <c r="G42" s="164"/>
    </row>
    <row r="43" spans="2:7">
      <c r="B43" s="99" t="s">
        <v>976</v>
      </c>
      <c r="C43" s="96">
        <v>-127</v>
      </c>
      <c r="D43" s="97"/>
      <c r="E43" s="163">
        <f t="shared" si="0"/>
        <v>-127</v>
      </c>
      <c r="F43" s="164"/>
      <c r="G43" s="164"/>
    </row>
    <row r="44" spans="2:7">
      <c r="B44" s="99" t="s">
        <v>977</v>
      </c>
      <c r="C44" s="96">
        <v>-53.27</v>
      </c>
      <c r="D44" s="97"/>
      <c r="E44" s="163">
        <f t="shared" si="0"/>
        <v>-53.27</v>
      </c>
      <c r="F44" s="164"/>
      <c r="G44" s="164"/>
    </row>
    <row r="45" spans="2:7">
      <c r="B45" s="99" t="s">
        <v>978</v>
      </c>
      <c r="C45" s="96">
        <v>-30</v>
      </c>
      <c r="D45" s="97"/>
      <c r="E45" s="163">
        <f t="shared" si="0"/>
        <v>-30</v>
      </c>
      <c r="F45" s="164"/>
      <c r="G45" s="164"/>
    </row>
    <row r="46" spans="2:7">
      <c r="B46" s="99" t="s">
        <v>979</v>
      </c>
      <c r="C46" s="96">
        <v>-556.82000000000005</v>
      </c>
      <c r="D46" s="97"/>
      <c r="E46" s="163">
        <f t="shared" si="0"/>
        <v>-556.82000000000005</v>
      </c>
      <c r="F46" s="164"/>
      <c r="G46" s="164"/>
    </row>
    <row r="47" spans="2:7" ht="18">
      <c r="B47" s="74" t="s">
        <v>45</v>
      </c>
      <c r="C47" s="101"/>
      <c r="D47" s="98"/>
      <c r="E47" s="129">
        <f>SUM(E3:E46)</f>
        <v>-377.72999999999979</v>
      </c>
      <c r="F47" s="75"/>
      <c r="G47"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4.xml><?xml version="1.0" encoding="utf-8"?>
<worksheet xmlns="http://schemas.openxmlformats.org/spreadsheetml/2006/main" xmlns:r="http://schemas.openxmlformats.org/officeDocument/2006/relationships">
  <sheetPr>
    <pageSetUpPr autoPageBreaks="0"/>
  </sheetPr>
  <dimension ref="B1:O26"/>
  <sheetViews>
    <sheetView zoomScale="75" zoomScaleNormal="75" zoomScalePageLayoutView="75" workbookViewId="0">
      <selection activeCell="C8" activeCellId="1" sqref="G13 C8"/>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s>
  <sheetData>
    <row r="1" spans="2:15">
      <c r="E1" s="106"/>
    </row>
    <row r="2" spans="2:15" ht="18">
      <c r="B2" s="220" t="s">
        <v>135</v>
      </c>
      <c r="C2" s="220" t="s">
        <v>136</v>
      </c>
      <c r="D2" s="90"/>
      <c r="E2" s="220" t="s">
        <v>0</v>
      </c>
      <c r="F2" s="82" t="s">
        <v>1</v>
      </c>
      <c r="G2" s="82" t="s">
        <v>57</v>
      </c>
      <c r="I2" s="221" t="s">
        <v>707</v>
      </c>
      <c r="J2" s="221" t="s">
        <v>408</v>
      </c>
      <c r="K2" s="221" t="s">
        <v>1</v>
      </c>
      <c r="M2" s="221" t="s">
        <v>933</v>
      </c>
      <c r="N2" s="221" t="s">
        <v>408</v>
      </c>
      <c r="O2" s="221" t="s">
        <v>1</v>
      </c>
    </row>
    <row r="3" spans="2:15">
      <c r="B3" s="71" t="s">
        <v>56</v>
      </c>
      <c r="C3" s="91">
        <v>0</v>
      </c>
      <c r="D3" s="92">
        <v>0</v>
      </c>
      <c r="E3" s="95">
        <v>-44.25</v>
      </c>
      <c r="F3" s="72"/>
      <c r="G3" s="72"/>
      <c r="I3" s="10">
        <v>6431.69</v>
      </c>
      <c r="J3" s="10" t="s">
        <v>592</v>
      </c>
      <c r="K3" s="16"/>
      <c r="M3" s="10">
        <v>561.75</v>
      </c>
      <c r="N3" s="10" t="s">
        <v>592</v>
      </c>
      <c r="O3" s="16">
        <v>40881</v>
      </c>
    </row>
    <row r="4" spans="2:15" ht="12" customHeight="1">
      <c r="B4" s="71" t="s">
        <v>5</v>
      </c>
      <c r="C4" s="91">
        <v>0</v>
      </c>
      <c r="D4" s="92"/>
      <c r="E4" s="95">
        <v>0</v>
      </c>
      <c r="F4" s="72"/>
      <c r="G4" s="72"/>
      <c r="I4" s="10"/>
      <c r="J4" s="10"/>
      <c r="K4" s="16"/>
      <c r="M4" s="10"/>
      <c r="N4" s="10"/>
      <c r="O4" s="16"/>
    </row>
    <row r="5" spans="2:15" ht="12" customHeight="1">
      <c r="B5" s="71" t="s">
        <v>81</v>
      </c>
      <c r="C5" s="91">
        <v>125</v>
      </c>
      <c r="D5" s="92"/>
      <c r="E5" s="95">
        <v>0</v>
      </c>
      <c r="F5" s="72"/>
      <c r="G5" s="72"/>
      <c r="I5" s="10"/>
      <c r="J5" s="10"/>
      <c r="K5" s="16"/>
      <c r="M5" s="10"/>
      <c r="N5" s="10"/>
      <c r="O5" s="16"/>
    </row>
    <row r="6" spans="2:15">
      <c r="B6" s="71" t="s">
        <v>945</v>
      </c>
      <c r="C6" s="91">
        <v>0</v>
      </c>
      <c r="D6" s="92"/>
      <c r="E6" s="95">
        <v>0</v>
      </c>
      <c r="F6" s="72"/>
      <c r="G6" s="72"/>
      <c r="I6" s="10"/>
      <c r="J6" s="10"/>
      <c r="K6" s="16"/>
      <c r="M6" s="10"/>
      <c r="N6" s="10"/>
      <c r="O6" s="16"/>
    </row>
    <row r="7" spans="2:15">
      <c r="B7" s="71" t="s">
        <v>875</v>
      </c>
      <c r="C7" s="91">
        <v>0</v>
      </c>
      <c r="D7" s="92"/>
      <c r="E7" s="95">
        <v>0</v>
      </c>
      <c r="F7" s="72"/>
      <c r="G7" s="72"/>
      <c r="I7" s="10"/>
      <c r="J7" s="10"/>
      <c r="K7" s="16"/>
      <c r="M7" s="10"/>
      <c r="N7" s="10"/>
      <c r="O7" s="16"/>
    </row>
    <row r="8" spans="2:15">
      <c r="B8" s="71" t="s">
        <v>980</v>
      </c>
      <c r="C8" s="91">
        <f>6840.25*(1-0.27)</f>
        <v>4993.3824999999997</v>
      </c>
      <c r="D8" s="92"/>
      <c r="E8" s="95">
        <v>0</v>
      </c>
      <c r="F8" s="72"/>
      <c r="G8" s="72"/>
      <c r="I8" s="10"/>
      <c r="J8" s="10"/>
      <c r="K8" s="16"/>
      <c r="M8" s="10"/>
      <c r="N8" s="10"/>
      <c r="O8" s="16"/>
    </row>
    <row r="9" spans="2:15">
      <c r="B9" s="71" t="s">
        <v>931</v>
      </c>
      <c r="C9" s="91">
        <v>500</v>
      </c>
      <c r="D9" s="92"/>
      <c r="E9" s="95">
        <v>0</v>
      </c>
      <c r="F9" s="72"/>
      <c r="G9" s="72"/>
      <c r="I9" s="144">
        <f>SUM(I3:I8)</f>
        <v>6431.69</v>
      </c>
      <c r="J9" s="144" t="s">
        <v>21</v>
      </c>
      <c r="K9" s="145"/>
      <c r="M9" s="144">
        <f>SUM(M3:M8)</f>
        <v>561.75</v>
      </c>
      <c r="N9" s="144" t="s">
        <v>21</v>
      </c>
      <c r="O9" s="145"/>
    </row>
    <row r="10" spans="2:15" ht="14.25" customHeight="1">
      <c r="B10" s="71" t="s">
        <v>946</v>
      </c>
      <c r="C10" s="91">
        <v>29.87</v>
      </c>
      <c r="D10" s="92"/>
      <c r="E10" s="95">
        <v>0</v>
      </c>
      <c r="F10" s="72"/>
      <c r="G10" s="72"/>
    </row>
    <row r="11" spans="2:15" ht="15.75">
      <c r="B11" s="99" t="s">
        <v>963</v>
      </c>
      <c r="C11" s="96">
        <v>-20</v>
      </c>
      <c r="D11" s="97"/>
      <c r="E11" s="63">
        <v>0</v>
      </c>
      <c r="F11" s="64"/>
      <c r="G11" s="64" t="s">
        <v>58</v>
      </c>
      <c r="I11" s="221" t="s">
        <v>913</v>
      </c>
      <c r="J11" s="221" t="s">
        <v>408</v>
      </c>
      <c r="K11" s="221" t="s">
        <v>1</v>
      </c>
    </row>
    <row r="12" spans="2:15">
      <c r="B12" s="99" t="s">
        <v>965</v>
      </c>
      <c r="C12" s="96">
        <v>-500</v>
      </c>
      <c r="D12" s="97"/>
      <c r="E12" s="63">
        <v>0</v>
      </c>
      <c r="F12" s="64"/>
      <c r="G12" s="64" t="s">
        <v>58</v>
      </c>
      <c r="I12" s="10">
        <v>0</v>
      </c>
      <c r="J12" s="10" t="s">
        <v>914</v>
      </c>
      <c r="K12" s="16"/>
    </row>
    <row r="13" spans="2:15">
      <c r="B13" s="99" t="s">
        <v>966</v>
      </c>
      <c r="C13" s="96">
        <v>-201.48</v>
      </c>
      <c r="D13" s="97"/>
      <c r="E13" s="63">
        <v>0</v>
      </c>
      <c r="F13" s="64"/>
      <c r="G13" s="64" t="s">
        <v>58</v>
      </c>
      <c r="I13" s="10">
        <v>0</v>
      </c>
      <c r="J13" s="10" t="s">
        <v>915</v>
      </c>
      <c r="K13" s="16"/>
    </row>
    <row r="14" spans="2:15">
      <c r="B14" s="99" t="s">
        <v>967</v>
      </c>
      <c r="C14" s="96">
        <v>-100</v>
      </c>
      <c r="D14" s="97"/>
      <c r="E14" s="63">
        <v>0</v>
      </c>
      <c r="F14" s="64"/>
      <c r="G14" s="64" t="s">
        <v>58</v>
      </c>
      <c r="I14" s="10"/>
      <c r="J14" s="10"/>
      <c r="K14" s="16"/>
    </row>
    <row r="15" spans="2:15">
      <c r="B15" s="99" t="s">
        <v>968</v>
      </c>
      <c r="C15" s="96">
        <v>-3716.34</v>
      </c>
      <c r="D15" s="97"/>
      <c r="E15" s="63">
        <v>0</v>
      </c>
      <c r="F15" s="64"/>
      <c r="G15" s="64" t="s">
        <v>58</v>
      </c>
    </row>
    <row r="16" spans="2:15" ht="15.75">
      <c r="B16" s="99" t="s">
        <v>971</v>
      </c>
      <c r="C16" s="96">
        <v>1500</v>
      </c>
      <c r="D16" s="97"/>
      <c r="E16" s="63">
        <v>0</v>
      </c>
      <c r="F16" s="64"/>
      <c r="G16" s="64" t="s">
        <v>58</v>
      </c>
      <c r="I16" s="221" t="s">
        <v>125</v>
      </c>
      <c r="J16" s="221" t="s">
        <v>408</v>
      </c>
      <c r="K16" s="221" t="s">
        <v>1</v>
      </c>
    </row>
    <row r="17" spans="2:11">
      <c r="B17" s="99" t="s">
        <v>981</v>
      </c>
      <c r="C17" s="96">
        <v>-450</v>
      </c>
      <c r="D17" s="97"/>
      <c r="E17" s="63">
        <v>0</v>
      </c>
      <c r="F17" s="64"/>
      <c r="G17" s="64" t="s">
        <v>58</v>
      </c>
      <c r="I17" s="10"/>
      <c r="J17" s="10"/>
      <c r="K17" s="16"/>
    </row>
    <row r="18" spans="2:11">
      <c r="B18" s="99" t="s">
        <v>973</v>
      </c>
      <c r="C18" s="96">
        <v>-483.68</v>
      </c>
      <c r="D18" s="97"/>
      <c r="E18" s="63">
        <v>0</v>
      </c>
      <c r="F18" s="64"/>
      <c r="G18" s="64" t="s">
        <v>58</v>
      </c>
      <c r="H18" s="143"/>
      <c r="I18" s="10"/>
      <c r="J18" s="10"/>
      <c r="K18" s="16"/>
    </row>
    <row r="19" spans="2:11">
      <c r="B19" s="99" t="s">
        <v>117</v>
      </c>
      <c r="C19" s="96">
        <f>-454.21-138.32</f>
        <v>-592.53</v>
      </c>
      <c r="D19" s="97"/>
      <c r="E19" s="63">
        <v>0</v>
      </c>
      <c r="F19" s="64"/>
      <c r="G19" s="64" t="s">
        <v>58</v>
      </c>
      <c r="I19" s="10"/>
      <c r="J19" s="10"/>
      <c r="K19" s="16"/>
    </row>
    <row r="20" spans="2:11">
      <c r="B20" s="99" t="s">
        <v>755</v>
      </c>
      <c r="C20" s="96">
        <v>650</v>
      </c>
      <c r="D20" s="97"/>
      <c r="E20" s="63">
        <v>0</v>
      </c>
      <c r="F20" s="64"/>
      <c r="G20" s="64" t="s">
        <v>58</v>
      </c>
      <c r="I20" s="10"/>
      <c r="J20" s="10"/>
      <c r="K20" s="16"/>
    </row>
    <row r="21" spans="2:11">
      <c r="B21" s="99" t="s">
        <v>975</v>
      </c>
      <c r="C21" s="96">
        <v>-54.8</v>
      </c>
      <c r="D21" s="97"/>
      <c r="E21" s="63">
        <v>0</v>
      </c>
      <c r="F21" s="64"/>
      <c r="G21" s="64" t="s">
        <v>58</v>
      </c>
      <c r="I21" s="10"/>
      <c r="J21" s="10"/>
      <c r="K21" s="16"/>
    </row>
    <row r="22" spans="2:11">
      <c r="B22" s="99" t="s">
        <v>976</v>
      </c>
      <c r="C22" s="96">
        <v>-128</v>
      </c>
      <c r="D22" s="97"/>
      <c r="E22" s="63">
        <v>0</v>
      </c>
      <c r="F22" s="64"/>
      <c r="G22" s="64" t="s">
        <v>58</v>
      </c>
      <c r="I22" s="10"/>
      <c r="J22" s="10"/>
      <c r="K22" s="16"/>
    </row>
    <row r="23" spans="2:11">
      <c r="B23" s="99" t="s">
        <v>977</v>
      </c>
      <c r="C23" s="96">
        <v>-53.27</v>
      </c>
      <c r="D23" s="97"/>
      <c r="E23" s="63">
        <v>0</v>
      </c>
      <c r="F23" s="64"/>
      <c r="G23" s="64" t="s">
        <v>58</v>
      </c>
    </row>
    <row r="24" spans="2:11">
      <c r="B24" s="99" t="s">
        <v>978</v>
      </c>
      <c r="C24" s="96">
        <v>-4</v>
      </c>
      <c r="D24" s="97">
        <v>-5</v>
      </c>
      <c r="E24" s="163">
        <f>C24</f>
        <v>-4</v>
      </c>
      <c r="F24" s="164"/>
      <c r="G24" s="164"/>
    </row>
    <row r="25" spans="2:11">
      <c r="B25" s="99" t="s">
        <v>979</v>
      </c>
      <c r="C25" s="96">
        <v>-521.48</v>
      </c>
      <c r="D25" s="97"/>
      <c r="E25" s="63">
        <v>0</v>
      </c>
      <c r="F25" s="64"/>
      <c r="G25" s="64" t="s">
        <v>58</v>
      </c>
    </row>
    <row r="26" spans="2:11" ht="18">
      <c r="B26" s="74" t="s">
        <v>45</v>
      </c>
      <c r="C26" s="101"/>
      <c r="D26" s="98"/>
      <c r="E26" s="129">
        <f>SUM(E3:E25)</f>
        <v>-48.25</v>
      </c>
      <c r="F26" s="75"/>
      <c r="G26"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5.xml><?xml version="1.0" encoding="utf-8"?>
<worksheet xmlns="http://schemas.openxmlformats.org/spreadsheetml/2006/main" xmlns:r="http://schemas.openxmlformats.org/officeDocument/2006/relationships">
  <sheetPr>
    <pageSetUpPr autoPageBreaks="0"/>
  </sheetPr>
  <dimension ref="B1:O30"/>
  <sheetViews>
    <sheetView zoomScale="75" zoomScaleNormal="75" zoomScalePageLayoutView="75" workbookViewId="0">
      <selection activeCell="B18" activeCellId="1" sqref="G13 B18"/>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 min="14" max="14" width="14.85546875" customWidth="1"/>
  </cols>
  <sheetData>
    <row r="1" spans="2:15">
      <c r="E1" s="106"/>
    </row>
    <row r="2" spans="2:15" ht="18">
      <c r="B2" s="220" t="s">
        <v>135</v>
      </c>
      <c r="C2" s="220" t="s">
        <v>136</v>
      </c>
      <c r="D2" s="90"/>
      <c r="E2" s="220" t="s">
        <v>0</v>
      </c>
      <c r="F2" s="82" t="s">
        <v>1</v>
      </c>
      <c r="G2" s="82" t="s">
        <v>57</v>
      </c>
      <c r="I2" s="221" t="s">
        <v>707</v>
      </c>
      <c r="J2" s="221" t="s">
        <v>408</v>
      </c>
      <c r="K2" s="221" t="s">
        <v>1</v>
      </c>
      <c r="M2" s="221" t="s">
        <v>933</v>
      </c>
      <c r="N2" s="221" t="s">
        <v>408</v>
      </c>
      <c r="O2" s="221" t="s">
        <v>1</v>
      </c>
    </row>
    <row r="3" spans="2:15">
      <c r="B3" s="71" t="s">
        <v>56</v>
      </c>
      <c r="C3" s="91">
        <v>0</v>
      </c>
      <c r="D3" s="92">
        <v>0</v>
      </c>
      <c r="E3" s="95">
        <v>425.38</v>
      </c>
      <c r="F3" s="72"/>
      <c r="G3" s="72"/>
      <c r="I3" s="10">
        <v>7024.87</v>
      </c>
      <c r="J3" s="10"/>
      <c r="K3" s="16"/>
      <c r="M3" s="10">
        <v>0</v>
      </c>
      <c r="N3" s="10" t="s">
        <v>592</v>
      </c>
      <c r="O3" s="16">
        <v>40881</v>
      </c>
    </row>
    <row r="4" spans="2:15" ht="12" customHeight="1">
      <c r="B4" s="71" t="s">
        <v>5</v>
      </c>
      <c r="C4" s="91">
        <v>6621.55</v>
      </c>
      <c r="D4" s="92"/>
      <c r="E4" s="95">
        <v>0</v>
      </c>
      <c r="F4" s="72"/>
      <c r="G4" s="72"/>
      <c r="I4" s="10">
        <v>0</v>
      </c>
      <c r="J4" s="10"/>
      <c r="K4" s="16"/>
      <c r="M4" s="10">
        <f>-E17</f>
        <v>0</v>
      </c>
      <c r="N4" s="10" t="s">
        <v>982</v>
      </c>
      <c r="O4" s="16"/>
    </row>
    <row r="5" spans="2:15" ht="12" customHeight="1">
      <c r="B5" s="71" t="s">
        <v>983</v>
      </c>
      <c r="C5" s="91">
        <v>136</v>
      </c>
      <c r="D5" s="92"/>
      <c r="E5" s="95">
        <v>0</v>
      </c>
      <c r="F5" s="72"/>
      <c r="G5" s="72"/>
      <c r="I5" s="10"/>
      <c r="J5" s="10"/>
      <c r="K5" s="16"/>
      <c r="M5" s="10"/>
      <c r="N5" s="10"/>
      <c r="O5" s="16"/>
    </row>
    <row r="6" spans="2:15">
      <c r="B6" s="71" t="s">
        <v>984</v>
      </c>
      <c r="C6" s="91">
        <v>250</v>
      </c>
      <c r="D6" s="92"/>
      <c r="E6" s="95">
        <v>0</v>
      </c>
      <c r="F6" s="72"/>
      <c r="G6" s="72"/>
      <c r="I6" s="10"/>
      <c r="J6" s="10"/>
      <c r="K6" s="16"/>
      <c r="M6" s="10"/>
      <c r="N6" s="10"/>
      <c r="O6" s="16"/>
    </row>
    <row r="7" spans="2:15">
      <c r="B7" s="71" t="s">
        <v>909</v>
      </c>
      <c r="C7" s="91">
        <f>439.2</f>
        <v>439.2</v>
      </c>
      <c r="D7" s="92"/>
      <c r="E7" s="95">
        <v>0</v>
      </c>
      <c r="F7" s="72"/>
      <c r="G7" s="72"/>
      <c r="I7" s="10"/>
      <c r="J7" s="10"/>
      <c r="K7" s="16"/>
      <c r="M7" s="10"/>
      <c r="N7" s="10"/>
      <c r="O7" s="16"/>
    </row>
    <row r="8" spans="2:15">
      <c r="B8" s="71" t="s">
        <v>909</v>
      </c>
      <c r="C8" s="91">
        <f>179.8</f>
        <v>179.8</v>
      </c>
      <c r="D8" s="92"/>
      <c r="E8" s="95">
        <v>0</v>
      </c>
      <c r="F8" s="72"/>
      <c r="G8" s="72"/>
      <c r="I8" s="10"/>
      <c r="J8" s="10"/>
      <c r="K8" s="16"/>
      <c r="M8" s="10"/>
      <c r="N8" s="10"/>
      <c r="O8" s="16"/>
    </row>
    <row r="9" spans="2:15">
      <c r="B9" s="71" t="s">
        <v>985</v>
      </c>
      <c r="C9" s="91">
        <v>29</v>
      </c>
      <c r="D9" s="92"/>
      <c r="E9" s="95">
        <v>0</v>
      </c>
      <c r="F9" s="72"/>
      <c r="G9" s="72"/>
      <c r="I9" s="144">
        <f>SUM(I3:I8)</f>
        <v>7024.87</v>
      </c>
      <c r="J9" s="144" t="s">
        <v>21</v>
      </c>
      <c r="K9" s="145"/>
      <c r="M9" s="144">
        <f>SUM(M3:M8)</f>
        <v>0</v>
      </c>
      <c r="N9" s="144" t="s">
        <v>21</v>
      </c>
      <c r="O9" s="145"/>
    </row>
    <row r="10" spans="2:15" ht="14.25" customHeight="1">
      <c r="B10" s="71" t="s">
        <v>986</v>
      </c>
      <c r="C10" s="91">
        <v>540</v>
      </c>
      <c r="D10" s="92"/>
      <c r="E10" s="95">
        <v>0</v>
      </c>
      <c r="F10" s="72"/>
      <c r="G10" s="72"/>
    </row>
    <row r="11" spans="2:15" ht="15.75">
      <c r="B11" s="71" t="s">
        <v>107</v>
      </c>
      <c r="C11" s="91">
        <v>409</v>
      </c>
      <c r="D11" s="92"/>
      <c r="E11" s="95">
        <v>0</v>
      </c>
      <c r="F11" s="72"/>
      <c r="G11" s="72"/>
      <c r="I11" s="221" t="s">
        <v>913</v>
      </c>
      <c r="J11" s="221" t="s">
        <v>408</v>
      </c>
      <c r="K11" s="221" t="s">
        <v>1</v>
      </c>
      <c r="M11" s="221" t="s">
        <v>987</v>
      </c>
      <c r="N11" s="221" t="s">
        <v>408</v>
      </c>
      <c r="O11" s="221" t="s">
        <v>1</v>
      </c>
    </row>
    <row r="12" spans="2:15">
      <c r="B12" s="71" t="s">
        <v>931</v>
      </c>
      <c r="C12" s="91">
        <v>0</v>
      </c>
      <c r="D12" s="92"/>
      <c r="E12" s="95">
        <f>C12</f>
        <v>0</v>
      </c>
      <c r="F12" s="72"/>
      <c r="G12" s="72"/>
      <c r="I12" s="10">
        <v>3293.26</v>
      </c>
      <c r="J12" s="10" t="s">
        <v>914</v>
      </c>
      <c r="K12" s="16"/>
      <c r="M12" s="10">
        <v>754.45</v>
      </c>
      <c r="N12" s="10" t="s">
        <v>988</v>
      </c>
      <c r="O12" s="16">
        <v>40968</v>
      </c>
    </row>
    <row r="13" spans="2:15">
      <c r="B13" s="99" t="s">
        <v>978</v>
      </c>
      <c r="C13" s="96">
        <v>-4</v>
      </c>
      <c r="D13" s="97"/>
      <c r="E13" s="63">
        <v>0</v>
      </c>
      <c r="F13" s="64"/>
      <c r="G13" s="64" t="s">
        <v>58</v>
      </c>
      <c r="I13" s="10">
        <v>0</v>
      </c>
      <c r="J13" s="10" t="s">
        <v>915</v>
      </c>
      <c r="K13" s="16"/>
      <c r="M13" s="10">
        <v>756.03</v>
      </c>
      <c r="N13" s="10"/>
      <c r="O13" s="16"/>
    </row>
    <row r="14" spans="2:15">
      <c r="B14" s="99" t="s">
        <v>989</v>
      </c>
      <c r="C14" s="96">
        <v>-30</v>
      </c>
      <c r="D14" s="97"/>
      <c r="E14" s="63">
        <v>0</v>
      </c>
      <c r="F14" s="64"/>
      <c r="G14" s="64" t="s">
        <v>58</v>
      </c>
      <c r="I14" s="10"/>
      <c r="J14" s="10"/>
      <c r="K14" s="16"/>
      <c r="M14" s="10"/>
      <c r="N14" s="10"/>
      <c r="O14" s="16"/>
    </row>
    <row r="15" spans="2:15">
      <c r="B15" s="99" t="s">
        <v>990</v>
      </c>
      <c r="C15" s="96">
        <v>-196.45</v>
      </c>
      <c r="D15" s="97"/>
      <c r="E15" s="63">
        <v>0</v>
      </c>
      <c r="F15" s="64"/>
      <c r="G15" s="64" t="s">
        <v>58</v>
      </c>
      <c r="M15" s="10"/>
      <c r="N15" s="10"/>
      <c r="O15" s="16"/>
    </row>
    <row r="16" spans="2:15" ht="15.75">
      <c r="B16" s="99" t="s">
        <v>965</v>
      </c>
      <c r="C16" s="96">
        <v>-600</v>
      </c>
      <c r="D16" s="97"/>
      <c r="E16" s="63">
        <v>0</v>
      </c>
      <c r="F16" s="64"/>
      <c r="G16" s="64" t="s">
        <v>58</v>
      </c>
      <c r="I16" s="221" t="s">
        <v>125</v>
      </c>
      <c r="J16" s="221" t="s">
        <v>408</v>
      </c>
      <c r="K16" s="221" t="s">
        <v>1</v>
      </c>
      <c r="M16" s="10"/>
      <c r="N16" s="10"/>
      <c r="O16" s="16"/>
    </row>
    <row r="17" spans="2:15">
      <c r="B17" s="99" t="s">
        <v>934</v>
      </c>
      <c r="C17" s="96">
        <v>-200</v>
      </c>
      <c r="D17" s="97"/>
      <c r="E17" s="63">
        <v>0</v>
      </c>
      <c r="F17" s="64"/>
      <c r="G17" s="64" t="s">
        <v>58</v>
      </c>
      <c r="I17" s="10"/>
      <c r="J17" s="10"/>
      <c r="K17" s="16"/>
      <c r="M17" s="10"/>
      <c r="N17" s="10"/>
      <c r="O17" s="16"/>
    </row>
    <row r="18" spans="2:15">
      <c r="B18" s="99" t="s">
        <v>991</v>
      </c>
      <c r="C18" s="96">
        <v>-808.17</v>
      </c>
      <c r="D18" s="97"/>
      <c r="E18" s="63">
        <v>0</v>
      </c>
      <c r="F18" s="64"/>
      <c r="G18" s="64" t="s">
        <v>58</v>
      </c>
      <c r="H18" s="143"/>
      <c r="I18" s="10"/>
      <c r="J18" s="10"/>
      <c r="K18" s="16"/>
      <c r="M18" s="144"/>
      <c r="N18" s="144"/>
      <c r="O18" s="145"/>
    </row>
    <row r="19" spans="2:15">
      <c r="B19" s="99" t="s">
        <v>966</v>
      </c>
      <c r="C19" s="96">
        <v>0</v>
      </c>
      <c r="D19" s="97"/>
      <c r="E19" s="63">
        <v>0</v>
      </c>
      <c r="F19" s="64"/>
      <c r="G19" s="64" t="s">
        <v>58</v>
      </c>
      <c r="I19" s="10"/>
      <c r="J19" s="10"/>
      <c r="K19" s="16"/>
    </row>
    <row r="20" spans="2:15">
      <c r="B20" s="99" t="s">
        <v>462</v>
      </c>
      <c r="C20" s="96">
        <v>0</v>
      </c>
      <c r="D20" s="97"/>
      <c r="E20" s="63">
        <v>0</v>
      </c>
      <c r="F20" s="64"/>
      <c r="G20" s="64" t="s">
        <v>58</v>
      </c>
      <c r="I20" s="10"/>
      <c r="J20" s="10"/>
      <c r="K20" s="16"/>
    </row>
    <row r="21" spans="2:15">
      <c r="B21" s="99" t="s">
        <v>967</v>
      </c>
      <c r="C21" s="96">
        <v>-100</v>
      </c>
      <c r="D21" s="97"/>
      <c r="E21" s="63">
        <v>0</v>
      </c>
      <c r="F21" s="64"/>
      <c r="G21" s="64" t="s">
        <v>58</v>
      </c>
      <c r="I21" s="10"/>
      <c r="J21" s="10"/>
      <c r="K21" s="16"/>
    </row>
    <row r="22" spans="2:15">
      <c r="B22" s="99" t="s">
        <v>968</v>
      </c>
      <c r="C22" s="96">
        <v>-3045.28</v>
      </c>
      <c r="D22" s="97"/>
      <c r="E22" s="63">
        <v>0</v>
      </c>
      <c r="F22" s="64"/>
      <c r="G22" s="64" t="s">
        <v>58</v>
      </c>
      <c r="I22" s="10"/>
      <c r="J22" s="10"/>
      <c r="K22" s="16"/>
    </row>
    <row r="23" spans="2:15">
      <c r="B23" s="99" t="s">
        <v>973</v>
      </c>
      <c r="C23" s="96">
        <v>-359.63</v>
      </c>
      <c r="D23" s="97"/>
      <c r="E23" s="63">
        <v>0</v>
      </c>
      <c r="F23" s="64"/>
      <c r="G23" s="64" t="s">
        <v>58</v>
      </c>
    </row>
    <row r="24" spans="2:15">
      <c r="B24" s="99" t="s">
        <v>975</v>
      </c>
      <c r="C24" s="96">
        <v>-70.23</v>
      </c>
      <c r="D24" s="97"/>
      <c r="E24" s="63">
        <v>0</v>
      </c>
      <c r="F24" s="64"/>
      <c r="G24" s="64" t="s">
        <v>58</v>
      </c>
    </row>
    <row r="25" spans="2:15">
      <c r="B25" s="99" t="s">
        <v>976</v>
      </c>
      <c r="C25" s="96">
        <v>-129.80000000000001</v>
      </c>
      <c r="D25" s="97"/>
      <c r="E25" s="63">
        <v>0</v>
      </c>
      <c r="F25" s="64"/>
      <c r="G25" s="64" t="s">
        <v>58</v>
      </c>
    </row>
    <row r="26" spans="2:15">
      <c r="B26" s="99" t="s">
        <v>102</v>
      </c>
      <c r="C26" s="96">
        <v>-1750</v>
      </c>
      <c r="D26" s="97"/>
      <c r="E26" s="63">
        <v>0</v>
      </c>
      <c r="F26" s="64"/>
      <c r="G26" s="64" t="s">
        <v>58</v>
      </c>
    </row>
    <row r="27" spans="2:15">
      <c r="B27" s="99" t="s">
        <v>977</v>
      </c>
      <c r="C27" s="96">
        <v>-38.68</v>
      </c>
      <c r="D27" s="97"/>
      <c r="E27" s="63">
        <v>0</v>
      </c>
      <c r="F27" s="64"/>
      <c r="G27" s="64" t="s">
        <v>58</v>
      </c>
    </row>
    <row r="28" spans="2:15">
      <c r="B28" s="99" t="s">
        <v>992</v>
      </c>
      <c r="C28" s="96">
        <v>-53.27</v>
      </c>
      <c r="D28" s="97"/>
      <c r="E28" s="63">
        <v>0</v>
      </c>
      <c r="F28" s="64"/>
      <c r="G28" s="64" t="s">
        <v>58</v>
      </c>
    </row>
    <row r="29" spans="2:15">
      <c r="B29" s="99" t="s">
        <v>979</v>
      </c>
      <c r="C29" s="96">
        <v>-576.48</v>
      </c>
      <c r="D29" s="97"/>
      <c r="E29" s="63">
        <v>0</v>
      </c>
      <c r="F29" s="64"/>
      <c r="G29" s="64" t="s">
        <v>58</v>
      </c>
    </row>
    <row r="30" spans="2:15" ht="18">
      <c r="B30" s="74" t="s">
        <v>45</v>
      </c>
      <c r="C30" s="101"/>
      <c r="D30" s="98"/>
      <c r="E30" s="129">
        <f>SUM(E3:E29)</f>
        <v>425.38</v>
      </c>
      <c r="F30" s="75"/>
      <c r="G30"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6.xml><?xml version="1.0" encoding="utf-8"?>
<worksheet xmlns="http://schemas.openxmlformats.org/spreadsheetml/2006/main" xmlns:r="http://schemas.openxmlformats.org/officeDocument/2006/relationships">
  <sheetPr>
    <pageSetUpPr autoPageBreaks="0"/>
  </sheetPr>
  <dimension ref="B1:O28"/>
  <sheetViews>
    <sheetView zoomScale="75" zoomScaleNormal="75" zoomScalePageLayoutView="75" workbookViewId="0">
      <selection activeCell="E15" activeCellId="1" sqref="G13 E15"/>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 min="14" max="14" width="19" customWidth="1"/>
  </cols>
  <sheetData>
    <row r="1" spans="2:15">
      <c r="E1" s="106"/>
    </row>
    <row r="2" spans="2:15" ht="18">
      <c r="B2" s="220" t="s">
        <v>135</v>
      </c>
      <c r="C2" s="220" t="s">
        <v>136</v>
      </c>
      <c r="D2" s="90"/>
      <c r="E2" s="220" t="s">
        <v>0</v>
      </c>
      <c r="F2" s="82" t="s">
        <v>1</v>
      </c>
      <c r="G2" s="82" t="s">
        <v>57</v>
      </c>
      <c r="I2" s="221" t="s">
        <v>707</v>
      </c>
      <c r="J2" s="221" t="s">
        <v>408</v>
      </c>
      <c r="K2" s="221" t="s">
        <v>1</v>
      </c>
      <c r="M2" s="221" t="s">
        <v>993</v>
      </c>
      <c r="N2" s="221" t="s">
        <v>408</v>
      </c>
      <c r="O2" s="221" t="s">
        <v>1</v>
      </c>
    </row>
    <row r="3" spans="2:15">
      <c r="B3" s="71" t="s">
        <v>56</v>
      </c>
      <c r="C3" s="91">
        <v>0</v>
      </c>
      <c r="D3" s="92">
        <v>0</v>
      </c>
      <c r="E3" s="95">
        <v>-50.14</v>
      </c>
      <c r="F3" s="72"/>
      <c r="G3" s="72"/>
      <c r="I3" s="10">
        <v>1523.88</v>
      </c>
      <c r="J3" s="10"/>
      <c r="K3" s="16"/>
      <c r="M3" s="10">
        <v>754.45</v>
      </c>
      <c r="N3" s="10" t="s">
        <v>994</v>
      </c>
      <c r="O3" s="16">
        <v>40968</v>
      </c>
    </row>
    <row r="4" spans="2:15" ht="12" customHeight="1">
      <c r="B4" s="71" t="s">
        <v>5</v>
      </c>
      <c r="C4" s="91">
        <v>6083.1</v>
      </c>
      <c r="D4" s="92"/>
      <c r="E4" s="95">
        <v>0</v>
      </c>
      <c r="F4" s="72"/>
      <c r="G4" s="72"/>
      <c r="I4" s="10"/>
      <c r="J4" s="10"/>
      <c r="K4" s="16"/>
      <c r="M4" s="10">
        <v>768.62</v>
      </c>
      <c r="N4" s="10" t="s">
        <v>995</v>
      </c>
      <c r="O4" s="16"/>
    </row>
    <row r="5" spans="2:15" ht="12" customHeight="1">
      <c r="B5" s="71" t="s">
        <v>983</v>
      </c>
      <c r="C5" s="91">
        <v>136</v>
      </c>
      <c r="D5" s="92"/>
      <c r="E5" s="95">
        <v>0</v>
      </c>
      <c r="F5" s="72"/>
      <c r="G5" s="72"/>
      <c r="I5" s="10"/>
      <c r="J5" s="10"/>
      <c r="K5" s="16"/>
      <c r="M5" s="10"/>
      <c r="N5" s="10"/>
      <c r="O5" s="16"/>
    </row>
    <row r="6" spans="2:15">
      <c r="B6" s="71" t="s">
        <v>984</v>
      </c>
      <c r="C6" s="91">
        <v>0</v>
      </c>
      <c r="D6" s="92"/>
      <c r="E6" s="95">
        <v>0</v>
      </c>
      <c r="F6" s="72"/>
      <c r="G6" s="72"/>
      <c r="I6" s="10"/>
      <c r="J6" s="10"/>
      <c r="K6" s="16"/>
      <c r="M6" s="10">
        <v>182</v>
      </c>
      <c r="N6" s="10" t="s">
        <v>996</v>
      </c>
      <c r="O6" s="16">
        <v>40996</v>
      </c>
    </row>
    <row r="7" spans="2:15">
      <c r="B7" s="71" t="s">
        <v>985</v>
      </c>
      <c r="C7" s="91">
        <v>29</v>
      </c>
      <c r="D7" s="92"/>
      <c r="E7" s="95">
        <v>0</v>
      </c>
      <c r="F7" s="72"/>
      <c r="G7" s="72"/>
      <c r="I7" s="10"/>
      <c r="J7" s="10"/>
      <c r="K7" s="16"/>
      <c r="M7" s="10"/>
      <c r="N7" s="10"/>
      <c r="O7" s="16"/>
    </row>
    <row r="8" spans="2:15">
      <c r="B8" s="71" t="s">
        <v>986</v>
      </c>
      <c r="C8" s="91">
        <v>155</v>
      </c>
      <c r="D8" s="92"/>
      <c r="E8" s="95">
        <v>0</v>
      </c>
      <c r="F8" s="72"/>
      <c r="G8" s="72"/>
      <c r="I8" s="10"/>
      <c r="J8" s="10"/>
      <c r="K8" s="16"/>
      <c r="M8" s="10"/>
      <c r="N8" s="10"/>
      <c r="O8" s="16"/>
    </row>
    <row r="9" spans="2:15">
      <c r="B9" s="71" t="s">
        <v>107</v>
      </c>
      <c r="C9" s="91">
        <v>384.5</v>
      </c>
      <c r="D9" s="92"/>
      <c r="E9" s="95">
        <v>0</v>
      </c>
      <c r="F9" s="72"/>
      <c r="G9" s="72"/>
      <c r="I9" s="144">
        <f>SUM(I3:I8)</f>
        <v>1523.88</v>
      </c>
      <c r="J9" s="144" t="s">
        <v>21</v>
      </c>
      <c r="K9" s="145"/>
      <c r="M9" s="144"/>
      <c r="N9" s="144"/>
      <c r="O9" s="145"/>
    </row>
    <row r="10" spans="2:15" ht="14.25" customHeight="1">
      <c r="B10" s="71" t="s">
        <v>997</v>
      </c>
      <c r="C10" s="91">
        <v>260</v>
      </c>
      <c r="D10" s="92"/>
      <c r="E10" s="95">
        <v>0</v>
      </c>
      <c r="F10" s="72"/>
      <c r="G10" s="72"/>
    </row>
    <row r="11" spans="2:15" ht="15.75">
      <c r="B11" s="71" t="s">
        <v>998</v>
      </c>
      <c r="C11" s="91">
        <v>267.3</v>
      </c>
      <c r="D11" s="92"/>
      <c r="E11" s="95">
        <v>0</v>
      </c>
      <c r="F11" s="72"/>
      <c r="G11" s="72"/>
      <c r="I11" s="221" t="s">
        <v>913</v>
      </c>
      <c r="J11" s="221" t="s">
        <v>408</v>
      </c>
      <c r="K11" s="221" t="s">
        <v>1</v>
      </c>
      <c r="M11" s="221" t="s">
        <v>707</v>
      </c>
      <c r="N11" s="221" t="s">
        <v>408</v>
      </c>
      <c r="O11" s="221" t="s">
        <v>1</v>
      </c>
    </row>
    <row r="12" spans="2:15">
      <c r="B12" s="71" t="s">
        <v>999</v>
      </c>
      <c r="C12" s="91">
        <v>211.49</v>
      </c>
      <c r="D12" s="92"/>
      <c r="E12" s="95">
        <v>0</v>
      </c>
      <c r="F12" s="72"/>
      <c r="G12" s="72"/>
      <c r="I12" s="10">
        <v>4073.47</v>
      </c>
      <c r="J12" s="10" t="s">
        <v>914</v>
      </c>
      <c r="K12" s="16"/>
      <c r="M12" s="10">
        <v>5119.5</v>
      </c>
      <c r="N12" s="10" t="s">
        <v>1000</v>
      </c>
      <c r="O12" s="16">
        <v>41008</v>
      </c>
    </row>
    <row r="13" spans="2:15">
      <c r="B13" s="71" t="s">
        <v>931</v>
      </c>
      <c r="C13" s="91">
        <v>500</v>
      </c>
      <c r="D13" s="92"/>
      <c r="E13" s="95">
        <v>0</v>
      </c>
      <c r="F13" s="72"/>
      <c r="G13" s="72"/>
      <c r="I13" s="10">
        <v>0</v>
      </c>
      <c r="J13" s="10" t="s">
        <v>915</v>
      </c>
      <c r="K13" s="16"/>
      <c r="M13" s="10">
        <v>5124.38</v>
      </c>
      <c r="N13" s="10" t="s">
        <v>1001</v>
      </c>
      <c r="O13" s="16"/>
    </row>
    <row r="14" spans="2:15">
      <c r="B14" s="99" t="s">
        <v>989</v>
      </c>
      <c r="C14" s="96">
        <v>-11.82</v>
      </c>
      <c r="D14" s="97"/>
      <c r="E14" s="63">
        <v>0</v>
      </c>
      <c r="F14" s="64"/>
      <c r="G14" s="64" t="s">
        <v>58</v>
      </c>
      <c r="I14" s="10"/>
      <c r="J14" s="10"/>
      <c r="K14" s="16"/>
      <c r="M14" s="10"/>
      <c r="N14" s="10"/>
      <c r="O14" s="16"/>
    </row>
    <row r="15" spans="2:15">
      <c r="B15" s="99" t="s">
        <v>1002</v>
      </c>
      <c r="C15" s="96">
        <v>-30</v>
      </c>
      <c r="D15" s="97"/>
      <c r="E15" s="63">
        <v>0</v>
      </c>
      <c r="F15" s="64"/>
      <c r="G15" s="64" t="s">
        <v>58</v>
      </c>
      <c r="M15" s="10"/>
      <c r="N15" s="10"/>
      <c r="O15" s="16"/>
    </row>
    <row r="16" spans="2:15" ht="15.75">
      <c r="B16" s="99" t="s">
        <v>965</v>
      </c>
      <c r="C16" s="96">
        <v>-600</v>
      </c>
      <c r="D16" s="97"/>
      <c r="E16" s="63">
        <v>0</v>
      </c>
      <c r="F16" s="64"/>
      <c r="G16" s="64" t="s">
        <v>58</v>
      </c>
      <c r="I16" s="221" t="s">
        <v>125</v>
      </c>
      <c r="J16" s="221" t="s">
        <v>408</v>
      </c>
      <c r="K16" s="221" t="s">
        <v>1</v>
      </c>
      <c r="M16" s="10"/>
      <c r="N16" s="10"/>
      <c r="O16" s="16"/>
    </row>
    <row r="17" spans="2:15">
      <c r="B17" s="99" t="s">
        <v>934</v>
      </c>
      <c r="C17" s="96">
        <v>-182</v>
      </c>
      <c r="D17" s="97"/>
      <c r="E17" s="63">
        <v>0</v>
      </c>
      <c r="F17" s="64"/>
      <c r="G17" s="64" t="s">
        <v>58</v>
      </c>
      <c r="I17" s="10"/>
      <c r="J17" s="10"/>
      <c r="K17" s="16"/>
      <c r="M17" s="10"/>
      <c r="N17" s="10"/>
      <c r="O17" s="16"/>
    </row>
    <row r="18" spans="2:15">
      <c r="B18" s="99" t="s">
        <v>1003</v>
      </c>
      <c r="C18" s="96">
        <v>-808.17</v>
      </c>
      <c r="D18" s="97"/>
      <c r="E18" s="63">
        <v>0</v>
      </c>
      <c r="F18" s="64"/>
      <c r="G18" s="64" t="s">
        <v>58</v>
      </c>
      <c r="H18" s="143"/>
      <c r="I18" s="10"/>
      <c r="J18" s="10"/>
      <c r="K18" s="16"/>
      <c r="M18" s="144"/>
      <c r="N18" s="144"/>
      <c r="O18" s="145"/>
    </row>
    <row r="19" spans="2:15">
      <c r="B19" s="99" t="s">
        <v>966</v>
      </c>
      <c r="C19" s="96">
        <v>0</v>
      </c>
      <c r="D19" s="97"/>
      <c r="E19" s="63">
        <v>0</v>
      </c>
      <c r="F19" s="64"/>
      <c r="G19" s="64" t="s">
        <v>58</v>
      </c>
      <c r="I19" s="10"/>
      <c r="J19" s="10"/>
      <c r="K19" s="16"/>
    </row>
    <row r="20" spans="2:15">
      <c r="B20" s="99" t="s">
        <v>967</v>
      </c>
      <c r="C20" s="96">
        <v>-100</v>
      </c>
      <c r="D20" s="97"/>
      <c r="E20" s="63">
        <v>0</v>
      </c>
      <c r="F20" s="64"/>
      <c r="G20" s="64" t="s">
        <v>58</v>
      </c>
      <c r="I20" s="10"/>
      <c r="J20" s="10"/>
      <c r="K20" s="16"/>
    </row>
    <row r="21" spans="2:15">
      <c r="B21" s="99" t="s">
        <v>968</v>
      </c>
      <c r="C21" s="96">
        <v>-4604.13</v>
      </c>
      <c r="D21" s="97"/>
      <c r="E21" s="63">
        <v>0</v>
      </c>
      <c r="F21" s="64"/>
      <c r="G21" s="64" t="s">
        <v>58</v>
      </c>
      <c r="I21" s="10"/>
      <c r="J21" s="10"/>
      <c r="K21" s="16"/>
    </row>
    <row r="22" spans="2:15">
      <c r="B22" s="99" t="s">
        <v>973</v>
      </c>
      <c r="C22" s="96">
        <v>-367.53</v>
      </c>
      <c r="D22" s="97"/>
      <c r="E22" s="63">
        <v>0</v>
      </c>
      <c r="F22" s="64"/>
      <c r="G22" s="64" t="s">
        <v>58</v>
      </c>
      <c r="I22" s="10"/>
      <c r="J22" s="10"/>
      <c r="K22" s="16"/>
    </row>
    <row r="23" spans="2:15">
      <c r="B23" s="99" t="s">
        <v>755</v>
      </c>
      <c r="C23" s="96">
        <v>400</v>
      </c>
      <c r="D23" s="97"/>
      <c r="E23" s="63">
        <v>0</v>
      </c>
      <c r="F23" s="64"/>
      <c r="G23" s="64" t="s">
        <v>58</v>
      </c>
    </row>
    <row r="24" spans="2:15">
      <c r="B24" s="99" t="s">
        <v>975</v>
      </c>
      <c r="C24" s="96">
        <v>-64.05</v>
      </c>
      <c r="D24" s="97"/>
      <c r="E24" s="63">
        <v>0</v>
      </c>
      <c r="F24" s="64"/>
      <c r="G24" s="64" t="s">
        <v>58</v>
      </c>
    </row>
    <row r="25" spans="2:15">
      <c r="B25" s="99" t="s">
        <v>976</v>
      </c>
      <c r="C25" s="96">
        <v>-129.80000000000001</v>
      </c>
      <c r="D25" s="97"/>
      <c r="E25" s="63">
        <v>0</v>
      </c>
      <c r="F25" s="64"/>
      <c r="G25" s="64" t="s">
        <v>58</v>
      </c>
    </row>
    <row r="26" spans="2:15">
      <c r="B26" s="99" t="s">
        <v>977</v>
      </c>
      <c r="C26" s="96">
        <v>-38.65</v>
      </c>
      <c r="D26" s="97"/>
      <c r="E26" s="63">
        <v>0</v>
      </c>
      <c r="F26" s="64"/>
      <c r="G26" s="64" t="s">
        <v>58</v>
      </c>
    </row>
    <row r="27" spans="2:15">
      <c r="B27" s="99" t="s">
        <v>979</v>
      </c>
      <c r="C27" s="96">
        <v>-556.41</v>
      </c>
      <c r="D27" s="97"/>
      <c r="E27" s="63">
        <v>0</v>
      </c>
      <c r="F27" s="64"/>
      <c r="G27" s="64" t="s">
        <v>58</v>
      </c>
    </row>
    <row r="28" spans="2:15" ht="18">
      <c r="B28" s="74" t="s">
        <v>45</v>
      </c>
      <c r="C28" s="101"/>
      <c r="D28" s="98"/>
      <c r="E28" s="129">
        <f>SUM(E3:E27)</f>
        <v>-50.14</v>
      </c>
      <c r="F28" s="75"/>
      <c r="G28"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7.xml><?xml version="1.0" encoding="utf-8"?>
<worksheet xmlns="http://schemas.openxmlformats.org/spreadsheetml/2006/main" xmlns:r="http://schemas.openxmlformats.org/officeDocument/2006/relationships">
  <sheetPr>
    <pageSetUpPr autoPageBreaks="0"/>
  </sheetPr>
  <dimension ref="B1:O22"/>
  <sheetViews>
    <sheetView zoomScale="75" zoomScaleNormal="75" zoomScalePageLayoutView="75" workbookViewId="0">
      <selection activeCell="E13" activeCellId="1" sqref="G13 E13"/>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 min="14" max="14" width="19" customWidth="1"/>
  </cols>
  <sheetData>
    <row r="1" spans="2:15">
      <c r="E1" s="106"/>
    </row>
    <row r="2" spans="2:15" ht="18">
      <c r="B2" s="220" t="s">
        <v>135</v>
      </c>
      <c r="C2" s="220" t="s">
        <v>136</v>
      </c>
      <c r="D2" s="90"/>
      <c r="E2" s="220" t="s">
        <v>0</v>
      </c>
      <c r="F2" s="82" t="s">
        <v>1</v>
      </c>
      <c r="G2" s="82" t="s">
        <v>57</v>
      </c>
      <c r="I2" s="221" t="s">
        <v>707</v>
      </c>
      <c r="J2" s="221" t="s">
        <v>408</v>
      </c>
      <c r="K2" s="221" t="s">
        <v>1</v>
      </c>
      <c r="M2" s="221" t="s">
        <v>993</v>
      </c>
      <c r="N2" s="221" t="s">
        <v>408</v>
      </c>
      <c r="O2" s="221" t="s">
        <v>1</v>
      </c>
    </row>
    <row r="3" spans="2:15">
      <c r="B3" s="71" t="s">
        <v>56</v>
      </c>
      <c r="C3" s="91">
        <v>0</v>
      </c>
      <c r="D3" s="92">
        <v>0</v>
      </c>
      <c r="E3" s="95">
        <v>-75.040000000000006</v>
      </c>
      <c r="F3" s="72"/>
      <c r="G3" s="72"/>
      <c r="I3" s="10">
        <v>683.33</v>
      </c>
      <c r="J3" s="10"/>
      <c r="K3" s="16"/>
      <c r="M3" s="10">
        <v>754.45</v>
      </c>
      <c r="N3" s="10" t="s">
        <v>994</v>
      </c>
      <c r="O3" s="16">
        <v>40968</v>
      </c>
    </row>
    <row r="4" spans="2:15" ht="12" customHeight="1">
      <c r="B4" s="71" t="s">
        <v>5</v>
      </c>
      <c r="C4" s="91">
        <v>6177.5</v>
      </c>
      <c r="D4" s="92"/>
      <c r="E4" s="95">
        <v>0</v>
      </c>
      <c r="F4" s="72"/>
      <c r="G4" s="72"/>
      <c r="I4" s="10">
        <v>0</v>
      </c>
      <c r="J4" s="10"/>
      <c r="K4" s="16"/>
      <c r="M4" s="10">
        <v>788.2</v>
      </c>
      <c r="N4" s="10" t="s">
        <v>995</v>
      </c>
      <c r="O4" s="16"/>
    </row>
    <row r="5" spans="2:15" ht="12" customHeight="1">
      <c r="B5" s="71" t="s">
        <v>1004</v>
      </c>
      <c r="C5" s="91">
        <v>510</v>
      </c>
      <c r="D5" s="92"/>
      <c r="E5" s="95">
        <v>0</v>
      </c>
      <c r="F5" s="72"/>
      <c r="G5" s="72"/>
      <c r="I5" s="10"/>
      <c r="J5" s="10"/>
      <c r="K5" s="16"/>
      <c r="M5" s="10"/>
      <c r="N5" s="10"/>
      <c r="O5" s="16"/>
    </row>
    <row r="6" spans="2:15">
      <c r="B6" s="71" t="s">
        <v>107</v>
      </c>
      <c r="C6" s="91">
        <v>384.5</v>
      </c>
      <c r="D6" s="92"/>
      <c r="E6" s="95">
        <v>0</v>
      </c>
      <c r="F6" s="72"/>
      <c r="G6" s="72"/>
      <c r="I6" s="10"/>
      <c r="J6" s="10"/>
      <c r="K6" s="16"/>
      <c r="M6" s="10">
        <f>183.11+185</f>
        <v>368.11</v>
      </c>
      <c r="N6" s="10" t="s">
        <v>996</v>
      </c>
      <c r="O6" s="16">
        <v>40996</v>
      </c>
    </row>
    <row r="7" spans="2:15">
      <c r="B7" s="71" t="s">
        <v>107</v>
      </c>
      <c r="C7" s="91">
        <v>297</v>
      </c>
      <c r="D7" s="92"/>
      <c r="E7" s="95">
        <v>0</v>
      </c>
      <c r="F7" s="72"/>
      <c r="G7" s="72"/>
      <c r="I7" s="10"/>
      <c r="J7" s="10"/>
      <c r="K7" s="16"/>
      <c r="M7" s="10"/>
      <c r="N7" s="10"/>
      <c r="O7" s="16"/>
    </row>
    <row r="8" spans="2:15">
      <c r="B8" s="99" t="s">
        <v>1002</v>
      </c>
      <c r="C8" s="96">
        <v>-6.5</v>
      </c>
      <c r="D8" s="97"/>
      <c r="E8" s="63">
        <v>0</v>
      </c>
      <c r="F8" s="64"/>
      <c r="G8" s="64" t="s">
        <v>58</v>
      </c>
      <c r="I8" s="10"/>
      <c r="J8" s="10"/>
      <c r="K8" s="16"/>
      <c r="M8" s="10"/>
      <c r="N8" s="10"/>
      <c r="O8" s="16"/>
    </row>
    <row r="9" spans="2:15">
      <c r="B9" s="99" t="s">
        <v>965</v>
      </c>
      <c r="C9" s="96">
        <v>-600</v>
      </c>
      <c r="D9" s="97"/>
      <c r="E9" s="63">
        <v>0</v>
      </c>
      <c r="F9" s="64"/>
      <c r="G9" s="64" t="s">
        <v>58</v>
      </c>
      <c r="I9" s="144">
        <f>SUM(I3:I8)</f>
        <v>683.33</v>
      </c>
      <c r="J9" s="144" t="s">
        <v>21</v>
      </c>
      <c r="K9" s="145"/>
      <c r="M9" s="144"/>
      <c r="N9" s="144"/>
      <c r="O9" s="145"/>
    </row>
    <row r="10" spans="2:15" ht="14.25" customHeight="1">
      <c r="B10" s="99" t="s">
        <v>934</v>
      </c>
      <c r="C10" s="96">
        <v>-185</v>
      </c>
      <c r="D10" s="97"/>
      <c r="E10" s="63">
        <v>0</v>
      </c>
      <c r="F10" s="64"/>
      <c r="G10" s="64" t="s">
        <v>58</v>
      </c>
    </row>
    <row r="11" spans="2:15" ht="15.75">
      <c r="B11" s="99" t="s">
        <v>1005</v>
      </c>
      <c r="C11" s="96">
        <v>-950</v>
      </c>
      <c r="D11" s="97"/>
      <c r="E11" s="63">
        <v>0</v>
      </c>
      <c r="F11" s="64"/>
      <c r="G11" s="64" t="s">
        <v>58</v>
      </c>
      <c r="I11" s="221" t="s">
        <v>913</v>
      </c>
      <c r="J11" s="221" t="s">
        <v>408</v>
      </c>
      <c r="K11" s="221" t="s">
        <v>1</v>
      </c>
      <c r="M11" s="221" t="s">
        <v>707</v>
      </c>
      <c r="N11" s="221" t="s">
        <v>408</v>
      </c>
      <c r="O11" s="221" t="s">
        <v>1</v>
      </c>
    </row>
    <row r="12" spans="2:15">
      <c r="B12" s="99" t="s">
        <v>966</v>
      </c>
      <c r="C12" s="96">
        <v>0</v>
      </c>
      <c r="D12" s="97"/>
      <c r="E12" s="63">
        <v>0</v>
      </c>
      <c r="F12" s="64"/>
      <c r="G12" s="64" t="s">
        <v>58</v>
      </c>
      <c r="I12" s="10">
        <f>2447.29+1050</f>
        <v>3497.29</v>
      </c>
      <c r="J12" s="10" t="s">
        <v>914</v>
      </c>
      <c r="K12" s="16"/>
      <c r="M12" s="10">
        <v>5119.5</v>
      </c>
      <c r="N12" s="10" t="s">
        <v>1000</v>
      </c>
      <c r="O12" s="16">
        <v>41008</v>
      </c>
    </row>
    <row r="13" spans="2:15">
      <c r="B13" s="99" t="s">
        <v>967</v>
      </c>
      <c r="C13" s="96">
        <v>-100</v>
      </c>
      <c r="D13" s="97"/>
      <c r="E13" s="63">
        <v>0</v>
      </c>
      <c r="F13" s="64"/>
      <c r="G13" s="64" t="s">
        <v>58</v>
      </c>
      <c r="I13" s="10">
        <v>0</v>
      </c>
      <c r="J13" s="10" t="s">
        <v>915</v>
      </c>
      <c r="K13" s="16"/>
      <c r="M13" s="10">
        <v>5233.96</v>
      </c>
      <c r="N13" s="10" t="s">
        <v>1001</v>
      </c>
      <c r="O13" s="16"/>
    </row>
    <row r="14" spans="2:15">
      <c r="B14" s="99" t="s">
        <v>968</v>
      </c>
      <c r="C14" s="96">
        <v>-4073.47</v>
      </c>
      <c r="D14" s="97"/>
      <c r="E14" s="63">
        <v>0</v>
      </c>
      <c r="F14" s="64"/>
      <c r="G14" s="64" t="s">
        <v>58</v>
      </c>
      <c r="I14" s="10"/>
      <c r="J14" s="10"/>
      <c r="K14" s="16"/>
      <c r="M14" s="10"/>
      <c r="N14" s="10"/>
      <c r="O14" s="16"/>
    </row>
    <row r="15" spans="2:15">
      <c r="B15" s="99" t="s">
        <v>973</v>
      </c>
      <c r="C15" s="96">
        <v>-348.2</v>
      </c>
      <c r="D15" s="97"/>
      <c r="E15" s="63">
        <v>0</v>
      </c>
      <c r="F15" s="64"/>
      <c r="G15" s="64" t="s">
        <v>58</v>
      </c>
      <c r="M15" s="10"/>
      <c r="N15" s="10"/>
      <c r="O15" s="16"/>
    </row>
    <row r="16" spans="2:15" ht="15.75">
      <c r="B16" s="99" t="s">
        <v>755</v>
      </c>
      <c r="C16" s="96">
        <v>0</v>
      </c>
      <c r="D16" s="97"/>
      <c r="E16" s="63">
        <v>0</v>
      </c>
      <c r="F16" s="64"/>
      <c r="G16" s="64" t="s">
        <v>58</v>
      </c>
      <c r="I16" s="221" t="s">
        <v>125</v>
      </c>
      <c r="J16" s="221" t="s">
        <v>408</v>
      </c>
      <c r="K16" s="221" t="s">
        <v>1</v>
      </c>
      <c r="M16" s="10"/>
      <c r="N16" s="10"/>
      <c r="O16" s="16"/>
    </row>
    <row r="17" spans="2:15">
      <c r="B17" s="99" t="s">
        <v>975</v>
      </c>
      <c r="C17" s="96">
        <v>-70.400000000000006</v>
      </c>
      <c r="D17" s="97"/>
      <c r="E17" s="63">
        <v>0</v>
      </c>
      <c r="F17" s="64"/>
      <c r="G17" s="64" t="s">
        <v>58</v>
      </c>
      <c r="I17" s="10"/>
      <c r="J17" s="10"/>
      <c r="K17" s="16"/>
      <c r="M17" s="10"/>
      <c r="N17" s="10"/>
      <c r="O17" s="16"/>
    </row>
    <row r="18" spans="2:15">
      <c r="B18" s="99" t="s">
        <v>976</v>
      </c>
      <c r="C18" s="96">
        <v>-129.80000000000001</v>
      </c>
      <c r="D18" s="97"/>
      <c r="E18" s="63">
        <v>0</v>
      </c>
      <c r="F18" s="64"/>
      <c r="G18" s="64" t="s">
        <v>58</v>
      </c>
      <c r="H18" s="143"/>
      <c r="I18" s="10"/>
      <c r="J18" s="10"/>
      <c r="K18" s="16"/>
      <c r="M18" s="144"/>
      <c r="N18" s="144"/>
      <c r="O18" s="145"/>
    </row>
    <row r="19" spans="2:15">
      <c r="B19" s="99" t="s">
        <v>977</v>
      </c>
      <c r="C19" s="96">
        <v>-55.09</v>
      </c>
      <c r="D19" s="97"/>
      <c r="E19" s="63">
        <v>0</v>
      </c>
      <c r="F19" s="64"/>
      <c r="G19" s="64" t="s">
        <v>58</v>
      </c>
      <c r="I19" s="10"/>
      <c r="J19" s="10"/>
      <c r="K19" s="16"/>
    </row>
    <row r="20" spans="2:15">
      <c r="B20" s="99" t="s">
        <v>979</v>
      </c>
      <c r="C20" s="96">
        <v>-556.41</v>
      </c>
      <c r="D20" s="97"/>
      <c r="E20" s="63">
        <v>0</v>
      </c>
      <c r="F20" s="64"/>
      <c r="G20" s="64" t="s">
        <v>58</v>
      </c>
      <c r="I20" s="10"/>
      <c r="J20" s="10"/>
      <c r="K20" s="16"/>
    </row>
    <row r="21" spans="2:15" ht="18">
      <c r="B21" s="74" t="s">
        <v>45</v>
      </c>
      <c r="C21" s="101"/>
      <c r="D21" s="98"/>
      <c r="E21" s="129">
        <f>SUM(E3:E20)</f>
        <v>-75.040000000000006</v>
      </c>
      <c r="F21" s="75"/>
      <c r="G21" s="75"/>
      <c r="I21" s="10"/>
      <c r="J21" s="10"/>
      <c r="K21" s="16"/>
    </row>
    <row r="22" spans="2:15">
      <c r="I22" s="10"/>
      <c r="J22" s="10"/>
      <c r="K22" s="16"/>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8.xml><?xml version="1.0" encoding="utf-8"?>
<worksheet xmlns="http://schemas.openxmlformats.org/spreadsheetml/2006/main" xmlns:r="http://schemas.openxmlformats.org/officeDocument/2006/relationships">
  <sheetPr>
    <pageSetUpPr autoPageBreaks="0"/>
  </sheetPr>
  <dimension ref="B1:O29"/>
  <sheetViews>
    <sheetView zoomScale="75" zoomScaleNormal="75" zoomScalePageLayoutView="75" workbookViewId="0">
      <selection activeCell="E8" activeCellId="1" sqref="G13 E8"/>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3" width="17.7109375" customWidth="1"/>
    <col min="14" max="14" width="19" customWidth="1"/>
  </cols>
  <sheetData>
    <row r="1" spans="2:15">
      <c r="E1" s="106"/>
    </row>
    <row r="2" spans="2:15" ht="18">
      <c r="B2" s="220" t="s">
        <v>135</v>
      </c>
      <c r="C2" s="220" t="s">
        <v>136</v>
      </c>
      <c r="D2" s="90"/>
      <c r="E2" s="220" t="s">
        <v>0</v>
      </c>
      <c r="F2" s="82" t="s">
        <v>1</v>
      </c>
      <c r="G2" s="82" t="s">
        <v>57</v>
      </c>
      <c r="I2" s="221" t="s">
        <v>707</v>
      </c>
      <c r="J2" s="221" t="s">
        <v>408</v>
      </c>
      <c r="K2" s="221" t="s">
        <v>1</v>
      </c>
      <c r="M2" s="221" t="s">
        <v>993</v>
      </c>
      <c r="N2" s="221" t="s">
        <v>408</v>
      </c>
      <c r="O2" s="221" t="s">
        <v>1</v>
      </c>
    </row>
    <row r="3" spans="2:15">
      <c r="B3" s="71" t="s">
        <v>56</v>
      </c>
      <c r="C3" s="91">
        <v>0</v>
      </c>
      <c r="D3" s="92">
        <v>0</v>
      </c>
      <c r="E3" s="95">
        <v>-2458.8000000000002</v>
      </c>
      <c r="F3" s="72"/>
      <c r="G3" s="72"/>
      <c r="I3" s="10"/>
      <c r="J3" s="10"/>
      <c r="K3" s="16"/>
      <c r="M3" s="10"/>
      <c r="N3" s="10"/>
      <c r="O3" s="16"/>
    </row>
    <row r="4" spans="2:15" ht="12" customHeight="1">
      <c r="B4" s="71" t="s">
        <v>5</v>
      </c>
      <c r="C4" s="91">
        <f>10455.74-4200</f>
        <v>6255.74</v>
      </c>
      <c r="D4" s="92"/>
      <c r="E4" s="95">
        <v>0</v>
      </c>
      <c r="F4" s="72"/>
      <c r="G4" s="72"/>
      <c r="I4" s="10"/>
      <c r="J4" s="10"/>
      <c r="K4" s="16"/>
      <c r="M4" s="10">
        <v>793.79</v>
      </c>
      <c r="N4" s="10" t="s">
        <v>995</v>
      </c>
      <c r="O4" s="16"/>
    </row>
    <row r="5" spans="2:15" ht="12" customHeight="1">
      <c r="B5" s="71" t="s">
        <v>1004</v>
      </c>
      <c r="C5" s="91">
        <v>155</v>
      </c>
      <c r="D5" s="92"/>
      <c r="E5" s="95">
        <v>0</v>
      </c>
      <c r="F5" s="72"/>
      <c r="G5" s="72"/>
      <c r="I5" s="10"/>
      <c r="J5" s="10"/>
      <c r="K5" s="16"/>
      <c r="M5" s="10"/>
      <c r="N5" s="10"/>
      <c r="O5" s="16"/>
    </row>
    <row r="6" spans="2:15">
      <c r="B6" s="71" t="s">
        <v>1006</v>
      </c>
      <c r="C6" s="91">
        <v>4200</v>
      </c>
      <c r="D6" s="92"/>
      <c r="E6" s="95">
        <v>0</v>
      </c>
      <c r="F6" s="72"/>
      <c r="G6" s="72"/>
      <c r="I6" s="10"/>
      <c r="J6" s="10"/>
      <c r="K6" s="16"/>
      <c r="M6" s="10">
        <f>186.01+384.02</f>
        <v>570.03</v>
      </c>
      <c r="N6" s="10" t="s">
        <v>996</v>
      </c>
      <c r="O6" s="16">
        <v>40996</v>
      </c>
    </row>
    <row r="7" spans="2:15">
      <c r="B7" s="71" t="s">
        <v>107</v>
      </c>
      <c r="C7" s="91">
        <v>94</v>
      </c>
      <c r="D7" s="92"/>
      <c r="E7" s="95">
        <v>0</v>
      </c>
      <c r="F7" s="72"/>
      <c r="G7" s="72"/>
      <c r="I7" s="10"/>
      <c r="J7" s="10"/>
      <c r="K7" s="16"/>
      <c r="M7" s="10"/>
      <c r="N7" s="10"/>
      <c r="O7" s="16"/>
    </row>
    <row r="8" spans="2:15">
      <c r="B8" s="99" t="s">
        <v>714</v>
      </c>
      <c r="C8" s="96">
        <v>-11.84</v>
      </c>
      <c r="D8" s="97"/>
      <c r="E8" s="63">
        <v>0</v>
      </c>
      <c r="F8" s="64"/>
      <c r="G8" s="64" t="s">
        <v>58</v>
      </c>
      <c r="I8" s="10"/>
      <c r="J8" s="10"/>
      <c r="K8" s="16"/>
      <c r="M8" s="10"/>
      <c r="N8" s="10"/>
      <c r="O8" s="16"/>
    </row>
    <row r="9" spans="2:15">
      <c r="B9" s="99" t="s">
        <v>965</v>
      </c>
      <c r="C9" s="96">
        <v>-600</v>
      </c>
      <c r="D9" s="97"/>
      <c r="E9" s="63">
        <v>0</v>
      </c>
      <c r="F9" s="64"/>
      <c r="G9" s="64" t="s">
        <v>58</v>
      </c>
      <c r="I9" s="144">
        <f>SUM(I3:I8)</f>
        <v>0</v>
      </c>
      <c r="J9" s="144" t="s">
        <v>21</v>
      </c>
      <c r="K9" s="145"/>
      <c r="M9" s="144"/>
      <c r="N9" s="144"/>
      <c r="O9" s="145"/>
    </row>
    <row r="10" spans="2:15" ht="14.25" customHeight="1">
      <c r="B10" s="99" t="s">
        <v>934</v>
      </c>
      <c r="C10" s="96">
        <v>-200</v>
      </c>
      <c r="D10" s="97"/>
      <c r="E10" s="63">
        <v>0</v>
      </c>
      <c r="F10" s="64"/>
      <c r="G10" s="64" t="s">
        <v>58</v>
      </c>
    </row>
    <row r="11" spans="2:15" ht="15.75">
      <c r="B11" s="99" t="s">
        <v>1005</v>
      </c>
      <c r="C11" s="96">
        <v>-950</v>
      </c>
      <c r="D11" s="97"/>
      <c r="E11" s="63">
        <v>0</v>
      </c>
      <c r="F11" s="64"/>
      <c r="G11" s="64" t="s">
        <v>58</v>
      </c>
      <c r="I11" s="221" t="s">
        <v>913</v>
      </c>
      <c r="J11" s="221" t="s">
        <v>408</v>
      </c>
      <c r="K11" s="221" t="s">
        <v>1</v>
      </c>
      <c r="M11" s="221" t="s">
        <v>707</v>
      </c>
      <c r="N11" s="221" t="s">
        <v>408</v>
      </c>
      <c r="O11" s="221" t="s">
        <v>1</v>
      </c>
    </row>
    <row r="12" spans="2:15">
      <c r="B12" s="99" t="s">
        <v>966</v>
      </c>
      <c r="C12" s="96">
        <v>0</v>
      </c>
      <c r="D12" s="97"/>
      <c r="E12" s="63">
        <v>0</v>
      </c>
      <c r="F12" s="64"/>
      <c r="G12" s="64" t="s">
        <v>58</v>
      </c>
      <c r="I12" s="10">
        <v>2905.06</v>
      </c>
      <c r="J12" s="10" t="s">
        <v>914</v>
      </c>
      <c r="K12" s="16"/>
      <c r="M12" s="10">
        <v>9675.18</v>
      </c>
      <c r="N12" s="10" t="s">
        <v>1001</v>
      </c>
      <c r="O12" s="16"/>
    </row>
    <row r="13" spans="2:15">
      <c r="B13" s="99" t="s">
        <v>312</v>
      </c>
      <c r="C13" s="96">
        <v>-100</v>
      </c>
      <c r="D13" s="97"/>
      <c r="E13" s="63">
        <v>0</v>
      </c>
      <c r="F13" s="64"/>
      <c r="G13" s="64" t="s">
        <v>58</v>
      </c>
      <c r="I13" s="10">
        <v>0</v>
      </c>
      <c r="J13" s="10" t="s">
        <v>915</v>
      </c>
      <c r="K13" s="16"/>
      <c r="M13" s="10"/>
      <c r="N13" s="10"/>
      <c r="O13" s="16"/>
    </row>
    <row r="14" spans="2:15">
      <c r="B14" s="99" t="s">
        <v>103</v>
      </c>
      <c r="C14" s="96">
        <v>-3967.69</v>
      </c>
      <c r="D14" s="97"/>
      <c r="E14" s="63">
        <v>0</v>
      </c>
      <c r="F14" s="64"/>
      <c r="G14" s="64" t="s">
        <v>58</v>
      </c>
      <c r="I14" s="10"/>
      <c r="J14" s="10"/>
      <c r="K14" s="16"/>
      <c r="M14" s="10"/>
      <c r="N14" s="10"/>
      <c r="O14" s="16"/>
    </row>
    <row r="15" spans="2:15">
      <c r="B15" s="99" t="s">
        <v>73</v>
      </c>
      <c r="C15" s="96">
        <v>-311.27999999999997</v>
      </c>
      <c r="D15" s="97"/>
      <c r="E15" s="63">
        <v>0</v>
      </c>
      <c r="F15" s="64"/>
      <c r="G15" s="64" t="s">
        <v>58</v>
      </c>
      <c r="M15" s="10"/>
      <c r="N15" s="10"/>
      <c r="O15" s="16"/>
    </row>
    <row r="16" spans="2:15" ht="15.75">
      <c r="B16" s="99" t="s">
        <v>143</v>
      </c>
      <c r="C16" s="96">
        <v>100</v>
      </c>
      <c r="D16" s="97"/>
      <c r="E16" s="63">
        <v>0</v>
      </c>
      <c r="F16" s="64"/>
      <c r="G16" s="64" t="s">
        <v>58</v>
      </c>
      <c r="I16" s="221" t="s">
        <v>125</v>
      </c>
      <c r="J16" s="221" t="s">
        <v>408</v>
      </c>
      <c r="K16" s="221" t="s">
        <v>1</v>
      </c>
      <c r="M16" s="10"/>
      <c r="N16" s="10"/>
      <c r="O16" s="16"/>
    </row>
    <row r="17" spans="2:15">
      <c r="B17" s="99" t="s">
        <v>187</v>
      </c>
      <c r="C17" s="96">
        <v>-4395.33</v>
      </c>
      <c r="D17" s="97"/>
      <c r="E17" s="63">
        <v>0</v>
      </c>
      <c r="F17" s="64"/>
      <c r="G17" s="64" t="s">
        <v>58</v>
      </c>
      <c r="I17" s="10"/>
      <c r="J17" s="10"/>
      <c r="K17" s="16"/>
      <c r="M17" s="10"/>
      <c r="N17" s="10"/>
      <c r="O17" s="16"/>
    </row>
    <row r="18" spans="2:15">
      <c r="B18" s="99" t="s">
        <v>189</v>
      </c>
      <c r="C18" s="96">
        <v>-500</v>
      </c>
      <c r="D18" s="97"/>
      <c r="E18" s="63">
        <v>0</v>
      </c>
      <c r="F18" s="64"/>
      <c r="G18" s="64" t="s">
        <v>58</v>
      </c>
      <c r="H18" s="143"/>
      <c r="I18" s="10"/>
      <c r="J18" s="10"/>
      <c r="K18" s="16"/>
      <c r="M18" s="144"/>
      <c r="N18" s="144"/>
      <c r="O18" s="145"/>
    </row>
    <row r="19" spans="2:15">
      <c r="B19" s="99" t="s">
        <v>1007</v>
      </c>
      <c r="C19" s="96">
        <v>-50</v>
      </c>
      <c r="D19" s="97"/>
      <c r="E19" s="63">
        <v>0</v>
      </c>
      <c r="F19" s="64"/>
      <c r="G19" s="64" t="s">
        <v>58</v>
      </c>
      <c r="I19" s="10"/>
      <c r="J19" s="10"/>
      <c r="K19" s="16"/>
    </row>
    <row r="20" spans="2:15">
      <c r="B20" s="99" t="s">
        <v>1008</v>
      </c>
      <c r="C20" s="96">
        <v>-37.659999999999997</v>
      </c>
      <c r="D20" s="97"/>
      <c r="E20" s="63">
        <v>0</v>
      </c>
      <c r="F20" s="64"/>
      <c r="G20" s="64" t="s">
        <v>58</v>
      </c>
      <c r="I20" s="10"/>
      <c r="J20" s="10"/>
      <c r="K20" s="16"/>
    </row>
    <row r="21" spans="2:15">
      <c r="B21" s="99" t="s">
        <v>9</v>
      </c>
      <c r="C21" s="96">
        <v>37.6</v>
      </c>
      <c r="D21" s="97"/>
      <c r="E21" s="63">
        <v>0</v>
      </c>
      <c r="F21" s="64"/>
      <c r="G21" s="64" t="s">
        <v>58</v>
      </c>
      <c r="I21" s="10"/>
      <c r="J21" s="10"/>
      <c r="K21" s="16"/>
    </row>
    <row r="22" spans="2:15">
      <c r="B22" s="99" t="s">
        <v>685</v>
      </c>
      <c r="C22" s="96">
        <v>-44.36</v>
      </c>
      <c r="D22" s="97"/>
      <c r="E22" s="63">
        <v>0</v>
      </c>
      <c r="F22" s="64"/>
      <c r="G22" s="64" t="s">
        <v>58</v>
      </c>
      <c r="I22" s="10"/>
      <c r="J22" s="10"/>
      <c r="K22" s="16"/>
    </row>
    <row r="23" spans="2:15">
      <c r="B23" s="99" t="s">
        <v>755</v>
      </c>
      <c r="C23" s="96">
        <v>800</v>
      </c>
      <c r="D23" s="97"/>
      <c r="E23" s="63">
        <v>0</v>
      </c>
      <c r="F23" s="64"/>
      <c r="G23" s="64" t="s">
        <v>58</v>
      </c>
    </row>
    <row r="24" spans="2:15">
      <c r="B24" s="99" t="s">
        <v>41</v>
      </c>
      <c r="C24" s="96">
        <v>-58.4</v>
      </c>
      <c r="D24" s="97"/>
      <c r="E24" s="63">
        <v>0</v>
      </c>
      <c r="F24" s="64"/>
      <c r="G24" s="64" t="s">
        <v>58</v>
      </c>
    </row>
    <row r="25" spans="2:15">
      <c r="B25" s="99" t="s">
        <v>1009</v>
      </c>
      <c r="C25" s="96">
        <v>-2000</v>
      </c>
      <c r="D25" s="97"/>
      <c r="E25" s="63">
        <v>0</v>
      </c>
      <c r="F25" s="64"/>
      <c r="G25" s="64" t="s">
        <v>58</v>
      </c>
    </row>
    <row r="26" spans="2:15">
      <c r="B26" s="99" t="s">
        <v>586</v>
      </c>
      <c r="C26" s="96">
        <v>-129.80000000000001</v>
      </c>
      <c r="D26" s="97"/>
      <c r="E26" s="63">
        <v>0</v>
      </c>
      <c r="F26" s="64"/>
      <c r="G26" s="64" t="s">
        <v>58</v>
      </c>
    </row>
    <row r="27" spans="2:15">
      <c r="B27" s="99" t="s">
        <v>924</v>
      </c>
      <c r="C27" s="96">
        <v>-38.46</v>
      </c>
      <c r="D27" s="97"/>
      <c r="E27" s="63">
        <v>0</v>
      </c>
      <c r="F27" s="64"/>
      <c r="G27" s="64" t="s">
        <v>58</v>
      </c>
    </row>
    <row r="28" spans="2:15">
      <c r="B28" s="99" t="s">
        <v>686</v>
      </c>
      <c r="C28" s="96">
        <v>-556.41</v>
      </c>
      <c r="D28" s="97"/>
      <c r="E28" s="63">
        <v>0</v>
      </c>
      <c r="F28" s="64"/>
      <c r="G28" s="64" t="s">
        <v>58</v>
      </c>
    </row>
    <row r="29" spans="2:15" ht="18">
      <c r="B29" s="74" t="s">
        <v>45</v>
      </c>
      <c r="C29" s="101"/>
      <c r="D29" s="98"/>
      <c r="E29" s="129">
        <f>SUM(E3:E28)</f>
        <v>-2458.8000000000002</v>
      </c>
      <c r="F29" s="75"/>
      <c r="G29"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79.xml><?xml version="1.0" encoding="utf-8"?>
<worksheet xmlns="http://schemas.openxmlformats.org/spreadsheetml/2006/main" xmlns:r="http://schemas.openxmlformats.org/officeDocument/2006/relationships">
  <sheetPr>
    <pageSetUpPr autoPageBreaks="0"/>
  </sheetPr>
  <dimension ref="B1:O27"/>
  <sheetViews>
    <sheetView zoomScale="75" zoomScaleNormal="75" zoomScalePageLayoutView="75" workbookViewId="0">
      <selection activeCell="G11" activeCellId="1" sqref="G13 G11"/>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s>
  <sheetData>
    <row r="1" spans="2:15">
      <c r="E1" s="106"/>
    </row>
    <row r="2" spans="2:15" ht="18">
      <c r="B2" s="220" t="s">
        <v>135</v>
      </c>
      <c r="C2" s="220" t="s">
        <v>136</v>
      </c>
      <c r="D2" s="90"/>
      <c r="E2" s="220" t="s">
        <v>0</v>
      </c>
      <c r="F2" s="82" t="s">
        <v>1</v>
      </c>
      <c r="G2" s="82" t="s">
        <v>57</v>
      </c>
      <c r="I2" s="221" t="s">
        <v>913</v>
      </c>
      <c r="J2" s="221" t="s">
        <v>408</v>
      </c>
      <c r="K2" s="221" t="s">
        <v>1</v>
      </c>
      <c r="M2" s="221" t="s">
        <v>993</v>
      </c>
      <c r="N2" s="221" t="s">
        <v>408</v>
      </c>
      <c r="O2" s="221" t="s">
        <v>1</v>
      </c>
    </row>
    <row r="3" spans="2:15">
      <c r="B3" s="71" t="s">
        <v>56</v>
      </c>
      <c r="C3" s="91">
        <v>0</v>
      </c>
      <c r="D3" s="92">
        <v>0</v>
      </c>
      <c r="E3" s="95">
        <v>-333.84</v>
      </c>
      <c r="F3" s="72"/>
      <c r="G3" s="72"/>
      <c r="I3" s="10">
        <v>0</v>
      </c>
      <c r="J3" s="10" t="s">
        <v>914</v>
      </c>
      <c r="K3" s="16"/>
      <c r="M3" s="10">
        <v>806.64</v>
      </c>
      <c r="N3" s="10" t="s">
        <v>1010</v>
      </c>
      <c r="O3" s="16"/>
    </row>
    <row r="4" spans="2:15" ht="12" customHeight="1">
      <c r="B4" s="71" t="s">
        <v>5</v>
      </c>
      <c r="C4" s="91">
        <f>9138.73-C6</f>
        <v>4929.0499999999993</v>
      </c>
      <c r="D4" s="92"/>
      <c r="E4" s="95">
        <v>0</v>
      </c>
      <c r="F4" s="72"/>
      <c r="G4" s="72"/>
      <c r="I4" s="10">
        <v>0</v>
      </c>
      <c r="J4" s="10" t="s">
        <v>915</v>
      </c>
      <c r="K4" s="16"/>
      <c r="M4" s="10">
        <v>0</v>
      </c>
      <c r="N4" s="10" t="s">
        <v>1011</v>
      </c>
      <c r="O4" s="16"/>
    </row>
    <row r="5" spans="2:15" ht="12" customHeight="1">
      <c r="B5" s="71" t="s">
        <v>1004</v>
      </c>
      <c r="C5" s="91">
        <v>540</v>
      </c>
      <c r="D5" s="92"/>
      <c r="E5" s="95">
        <v>0</v>
      </c>
      <c r="F5" s="72"/>
      <c r="G5" s="72"/>
      <c r="I5" s="10"/>
      <c r="J5" s="10"/>
      <c r="K5" s="16"/>
      <c r="M5" s="10">
        <f>(5227.06/7)*1</f>
        <v>746.72285714285715</v>
      </c>
      <c r="N5" s="10" t="s">
        <v>1012</v>
      </c>
      <c r="O5" s="16"/>
    </row>
    <row r="6" spans="2:15">
      <c r="B6" s="71" t="s">
        <v>1013</v>
      </c>
      <c r="C6" s="91">
        <v>4209.68</v>
      </c>
      <c r="D6" s="92"/>
      <c r="E6" s="95">
        <v>0</v>
      </c>
      <c r="F6" s="72"/>
      <c r="G6" s="72"/>
      <c r="M6" s="10"/>
      <c r="N6" s="10"/>
      <c r="O6" s="16"/>
    </row>
    <row r="7" spans="2:15">
      <c r="B7" s="71" t="s">
        <v>107</v>
      </c>
      <c r="C7" s="91">
        <v>292.5</v>
      </c>
      <c r="D7" s="92"/>
      <c r="E7" s="95">
        <v>0</v>
      </c>
      <c r="F7" s="72"/>
      <c r="G7" s="72"/>
      <c r="M7" s="10"/>
      <c r="N7" s="10"/>
      <c r="O7" s="16"/>
    </row>
    <row r="8" spans="2:15">
      <c r="B8" s="71" t="s">
        <v>999</v>
      </c>
      <c r="C8" s="91">
        <v>80</v>
      </c>
      <c r="D8" s="92"/>
      <c r="E8" s="95">
        <v>0</v>
      </c>
      <c r="F8" s="72"/>
      <c r="G8" s="72"/>
      <c r="M8" s="144">
        <f>SUM(M3:M7)</f>
        <v>1553.3628571428571</v>
      </c>
      <c r="N8" s="144" t="s">
        <v>564</v>
      </c>
      <c r="O8" s="145"/>
    </row>
    <row r="9" spans="2:15">
      <c r="B9" s="71" t="s">
        <v>1014</v>
      </c>
      <c r="C9" s="91">
        <v>45.77</v>
      </c>
      <c r="D9" s="92"/>
      <c r="E9" s="95">
        <v>0</v>
      </c>
      <c r="F9" s="72"/>
      <c r="G9" s="72"/>
    </row>
    <row r="10" spans="2:15" ht="14.25" customHeight="1">
      <c r="B10" s="99" t="s">
        <v>714</v>
      </c>
      <c r="C10" s="96">
        <v>-18.37</v>
      </c>
      <c r="D10" s="97"/>
      <c r="E10" s="63">
        <v>0</v>
      </c>
      <c r="F10" s="64"/>
      <c r="G10" s="64" t="s">
        <v>58</v>
      </c>
      <c r="M10" s="221" t="s">
        <v>707</v>
      </c>
      <c r="N10" s="221" t="s">
        <v>408</v>
      </c>
      <c r="O10" s="221" t="s">
        <v>1</v>
      </c>
    </row>
    <row r="11" spans="2:15">
      <c r="B11" s="99" t="s">
        <v>965</v>
      </c>
      <c r="C11" s="96">
        <v>-600</v>
      </c>
      <c r="D11" s="97"/>
      <c r="E11" s="63">
        <v>0</v>
      </c>
      <c r="F11" s="64"/>
      <c r="G11" s="64" t="s">
        <v>58</v>
      </c>
      <c r="M11" s="10">
        <v>7123.73</v>
      </c>
      <c r="N11" s="10" t="s">
        <v>1015</v>
      </c>
      <c r="O11" s="16"/>
    </row>
    <row r="12" spans="2:15">
      <c r="B12" s="99" t="s">
        <v>934</v>
      </c>
      <c r="C12" s="96">
        <v>-772.96</v>
      </c>
      <c r="D12" s="97"/>
      <c r="E12" s="63">
        <v>0</v>
      </c>
      <c r="F12" s="64"/>
      <c r="G12" s="64" t="s">
        <v>58</v>
      </c>
      <c r="M12" s="10">
        <f>(5227.06/7)*6</f>
        <v>4480.3371428571427</v>
      </c>
      <c r="N12" s="10" t="s">
        <v>1012</v>
      </c>
      <c r="O12" s="16"/>
    </row>
    <row r="13" spans="2:15">
      <c r="B13" s="99" t="s">
        <v>1005</v>
      </c>
      <c r="C13" s="96">
        <v>-1600</v>
      </c>
      <c r="D13" s="97"/>
      <c r="E13" s="63">
        <v>0</v>
      </c>
      <c r="F13" s="64"/>
      <c r="G13" s="64" t="s">
        <v>58</v>
      </c>
      <c r="M13" s="10"/>
      <c r="N13" s="10"/>
      <c r="O13" s="16"/>
    </row>
    <row r="14" spans="2:15">
      <c r="B14" s="99" t="s">
        <v>966</v>
      </c>
      <c r="C14" s="96">
        <v>0</v>
      </c>
      <c r="D14" s="97"/>
      <c r="E14" s="63">
        <v>0</v>
      </c>
      <c r="F14" s="64"/>
      <c r="G14" s="64" t="s">
        <v>58</v>
      </c>
      <c r="M14" s="10"/>
      <c r="N14" s="10"/>
      <c r="O14" s="16"/>
    </row>
    <row r="15" spans="2:15">
      <c r="B15" s="99" t="s">
        <v>312</v>
      </c>
      <c r="C15" s="96">
        <v>-50</v>
      </c>
      <c r="D15" s="97"/>
      <c r="E15" s="63">
        <v>0</v>
      </c>
      <c r="F15" s="64"/>
      <c r="G15" s="64" t="s">
        <v>58</v>
      </c>
      <c r="M15" s="10"/>
      <c r="N15" s="10"/>
      <c r="O15" s="16"/>
    </row>
    <row r="16" spans="2:15">
      <c r="B16" s="99" t="s">
        <v>1016</v>
      </c>
      <c r="C16" s="96">
        <v>-115.92</v>
      </c>
      <c r="D16" s="97"/>
      <c r="E16" s="63">
        <v>0</v>
      </c>
      <c r="F16" s="64"/>
      <c r="G16" s="64" t="s">
        <v>58</v>
      </c>
      <c r="M16" s="10"/>
      <c r="N16" s="10"/>
      <c r="O16" s="16"/>
    </row>
    <row r="17" spans="2:15">
      <c r="B17" s="99" t="s">
        <v>103</v>
      </c>
      <c r="C17" s="96">
        <v>-3106.96</v>
      </c>
      <c r="D17" s="97"/>
      <c r="E17" s="63">
        <v>0</v>
      </c>
      <c r="F17" s="64"/>
      <c r="G17" s="64" t="s">
        <v>58</v>
      </c>
      <c r="M17" s="144">
        <f>SUM(M11:M16)</f>
        <v>11604.067142857142</v>
      </c>
      <c r="N17" s="144" t="s">
        <v>564</v>
      </c>
      <c r="O17" s="145"/>
    </row>
    <row r="18" spans="2:15">
      <c r="B18" s="99" t="s">
        <v>73</v>
      </c>
      <c r="C18" s="96">
        <v>-472.76</v>
      </c>
      <c r="D18" s="97"/>
      <c r="E18" s="63">
        <v>0</v>
      </c>
      <c r="F18" s="64"/>
      <c r="G18" s="64" t="s">
        <v>58</v>
      </c>
      <c r="H18" s="143"/>
    </row>
    <row r="19" spans="2:15" ht="15.75">
      <c r="B19" s="99" t="s">
        <v>1017</v>
      </c>
      <c r="C19" s="96">
        <v>-400</v>
      </c>
      <c r="D19" s="97"/>
      <c r="E19" s="63">
        <v>0</v>
      </c>
      <c r="F19" s="64"/>
      <c r="G19" s="64" t="s">
        <v>58</v>
      </c>
      <c r="M19" s="221" t="s">
        <v>1018</v>
      </c>
      <c r="N19" s="221" t="s">
        <v>1019</v>
      </c>
      <c r="O19" s="221" t="s">
        <v>1020</v>
      </c>
    </row>
    <row r="20" spans="2:15">
      <c r="B20" s="99" t="s">
        <v>187</v>
      </c>
      <c r="C20" s="96">
        <v>-2200</v>
      </c>
      <c r="D20" s="97"/>
      <c r="E20" s="63">
        <v>0</v>
      </c>
      <c r="F20" s="64"/>
      <c r="G20" s="64" t="s">
        <v>58</v>
      </c>
      <c r="M20" s="10" t="s">
        <v>1015</v>
      </c>
      <c r="N20" s="184">
        <v>0</v>
      </c>
      <c r="O20" s="185">
        <v>8</v>
      </c>
    </row>
    <row r="21" spans="2:15">
      <c r="B21" s="99" t="s">
        <v>1021</v>
      </c>
      <c r="C21" s="96">
        <v>-170.25</v>
      </c>
      <c r="D21" s="97"/>
      <c r="E21" s="63">
        <v>0</v>
      </c>
      <c r="F21" s="64"/>
      <c r="G21" s="64" t="s">
        <v>58</v>
      </c>
      <c r="M21" s="10" t="s">
        <v>1010</v>
      </c>
      <c r="N21" s="184">
        <v>1</v>
      </c>
      <c r="O21" s="185">
        <v>0</v>
      </c>
    </row>
    <row r="22" spans="2:15">
      <c r="B22" s="99" t="s">
        <v>41</v>
      </c>
      <c r="C22" s="96">
        <v>-66.709999999999994</v>
      </c>
      <c r="D22" s="97"/>
      <c r="E22" s="63">
        <v>0</v>
      </c>
      <c r="F22" s="64"/>
      <c r="G22" s="64" t="s">
        <v>58</v>
      </c>
      <c r="M22" s="10" t="s">
        <v>1012</v>
      </c>
      <c r="N22" s="184">
        <v>1</v>
      </c>
      <c r="O22" s="185">
        <v>6</v>
      </c>
    </row>
    <row r="23" spans="2:15">
      <c r="B23" s="99" t="s">
        <v>586</v>
      </c>
      <c r="C23" s="96">
        <v>-129.80000000000001</v>
      </c>
      <c r="D23" s="97"/>
      <c r="E23" s="63">
        <v>0</v>
      </c>
      <c r="F23" s="64"/>
      <c r="G23" s="64" t="s">
        <v>58</v>
      </c>
      <c r="M23" s="10" t="s">
        <v>1011</v>
      </c>
      <c r="N23" s="184">
        <v>0</v>
      </c>
      <c r="O23" s="185">
        <v>0</v>
      </c>
    </row>
    <row r="24" spans="2:15">
      <c r="B24" s="99" t="s">
        <v>924</v>
      </c>
      <c r="C24" s="96">
        <v>-61.63</v>
      </c>
      <c r="D24" s="97"/>
      <c r="E24" s="63">
        <v>0</v>
      </c>
      <c r="F24" s="64"/>
      <c r="G24" s="64" t="s">
        <v>58</v>
      </c>
    </row>
    <row r="25" spans="2:15">
      <c r="B25" s="99" t="s">
        <v>755</v>
      </c>
      <c r="C25" s="96">
        <v>2650</v>
      </c>
      <c r="D25" s="97"/>
      <c r="E25" s="63">
        <v>0</v>
      </c>
      <c r="F25" s="64"/>
      <c r="G25" s="64" t="s">
        <v>58</v>
      </c>
    </row>
    <row r="26" spans="2:15">
      <c r="B26" s="99" t="s">
        <v>686</v>
      </c>
      <c r="C26" s="96">
        <v>-612.52</v>
      </c>
      <c r="D26" s="97"/>
      <c r="E26" s="63">
        <v>0</v>
      </c>
      <c r="F26" s="64"/>
      <c r="G26" s="64" t="s">
        <v>58</v>
      </c>
    </row>
    <row r="27" spans="2:15" ht="18">
      <c r="B27" s="74" t="s">
        <v>45</v>
      </c>
      <c r="C27" s="101"/>
      <c r="D27" s="98"/>
      <c r="E27" s="129">
        <f>SUM(E3:E26)</f>
        <v>-333.84</v>
      </c>
      <c r="F27" s="75"/>
      <c r="G27"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sheetPr>
    <pageSetUpPr autoPageBreaks="0"/>
  </sheetPr>
  <dimension ref="B2:J20"/>
  <sheetViews>
    <sheetView showGridLines="0" zoomScaleSheetLayoutView="100" workbookViewId="0">
      <selection activeCell="I6" activeCellId="1" sqref="G13 I6"/>
    </sheetView>
  </sheetViews>
  <sheetFormatPr defaultColWidth="8.85546875" defaultRowHeight="12.75"/>
  <cols>
    <col min="1" max="1" width="1" customWidth="1"/>
    <col min="2" max="2" width="25.7109375" customWidth="1"/>
    <col min="3" max="3" width="16.7109375" style="1" customWidth="1"/>
    <col min="4" max="5" width="10.28515625" style="32" customWidth="1"/>
    <col min="6" max="6" width="3" customWidth="1"/>
    <col min="7" max="7" width="12.42578125" customWidth="1"/>
    <col min="8" max="8" width="16.85546875" customWidth="1"/>
    <col min="9" max="9" width="15.42578125" customWidth="1"/>
  </cols>
  <sheetData>
    <row r="2" spans="2:10" ht="18">
      <c r="B2" s="579" t="s">
        <v>0</v>
      </c>
      <c r="C2" s="579"/>
      <c r="D2" s="59" t="s">
        <v>1</v>
      </c>
      <c r="E2" s="59" t="s">
        <v>57</v>
      </c>
    </row>
    <row r="3" spans="2:10">
      <c r="B3" s="71" t="s">
        <v>7</v>
      </c>
      <c r="C3" s="71">
        <v>6.77</v>
      </c>
      <c r="D3" s="72"/>
      <c r="E3" s="72"/>
      <c r="G3" s="8"/>
      <c r="H3" s="1"/>
    </row>
    <row r="4" spans="2:10">
      <c r="B4" s="62" t="s">
        <v>11</v>
      </c>
      <c r="C4" s="62">
        <v>-266.47000000000003</v>
      </c>
      <c r="D4" s="61"/>
      <c r="E4" s="61"/>
      <c r="G4" s="8"/>
      <c r="H4" s="1"/>
    </row>
    <row r="5" spans="2:10" ht="12" customHeight="1">
      <c r="B5" s="62" t="s">
        <v>56</v>
      </c>
      <c r="C5" s="62">
        <v>-6.13</v>
      </c>
      <c r="D5" s="61"/>
      <c r="E5" s="61"/>
      <c r="G5" s="8"/>
      <c r="H5" s="1"/>
    </row>
    <row r="6" spans="2:10">
      <c r="B6" s="63" t="s">
        <v>14</v>
      </c>
      <c r="C6" s="63">
        <v>0</v>
      </c>
      <c r="D6" s="64">
        <v>38957</v>
      </c>
      <c r="E6" s="64" t="s">
        <v>58</v>
      </c>
      <c r="H6" t="s">
        <v>5</v>
      </c>
      <c r="I6" s="1">
        <v>3014.35</v>
      </c>
    </row>
    <row r="7" spans="2:10" s="8" customFormat="1">
      <c r="B7" s="63" t="s">
        <v>59</v>
      </c>
      <c r="C7" s="63">
        <v>0</v>
      </c>
      <c r="D7" s="64">
        <v>38975</v>
      </c>
      <c r="E7" s="64" t="s">
        <v>58</v>
      </c>
      <c r="F7"/>
      <c r="G7"/>
    </row>
    <row r="8" spans="2:10" s="8" customFormat="1">
      <c r="B8" s="63" t="s">
        <v>28</v>
      </c>
      <c r="C8" s="63">
        <v>0</v>
      </c>
      <c r="D8" s="64">
        <v>38964</v>
      </c>
      <c r="E8" s="64" t="s">
        <v>58</v>
      </c>
      <c r="G8"/>
    </row>
    <row r="9" spans="2:10" s="8" customFormat="1">
      <c r="B9" s="63" t="s">
        <v>50</v>
      </c>
      <c r="C9" s="63">
        <v>0</v>
      </c>
      <c r="D9" s="64">
        <v>38961</v>
      </c>
      <c r="E9" s="64" t="s">
        <v>58</v>
      </c>
      <c r="G9"/>
    </row>
    <row r="10" spans="2:10" s="8" customFormat="1">
      <c r="B10" s="63" t="s">
        <v>78</v>
      </c>
      <c r="C10" s="63">
        <v>0</v>
      </c>
      <c r="D10" s="64">
        <v>38961</v>
      </c>
      <c r="E10" s="64" t="s">
        <v>58</v>
      </c>
      <c r="G10"/>
    </row>
    <row r="11" spans="2:10" s="8" customFormat="1">
      <c r="B11" s="63" t="s">
        <v>29</v>
      </c>
      <c r="C11" s="63">
        <v>0</v>
      </c>
      <c r="D11" s="64">
        <v>38968</v>
      </c>
      <c r="E11" s="64" t="s">
        <v>58</v>
      </c>
      <c r="G11"/>
    </row>
    <row r="12" spans="2:10" s="8" customFormat="1">
      <c r="B12" s="63" t="s">
        <v>35</v>
      </c>
      <c r="C12" s="63">
        <v>0</v>
      </c>
      <c r="D12" s="64">
        <v>38961</v>
      </c>
      <c r="E12" s="64" t="s">
        <v>58</v>
      </c>
    </row>
    <row r="13" spans="2:10" s="8" customFormat="1">
      <c r="B13" s="63" t="s">
        <v>79</v>
      </c>
      <c r="C13" s="63">
        <v>0</v>
      </c>
      <c r="D13" s="64">
        <v>38967</v>
      </c>
      <c r="E13" s="64" t="s">
        <v>58</v>
      </c>
      <c r="G13" s="32"/>
      <c r="H13"/>
    </row>
    <row r="14" spans="2:10" s="8" customFormat="1">
      <c r="B14" s="63" t="s">
        <v>41</v>
      </c>
      <c r="C14" s="63">
        <v>0</v>
      </c>
      <c r="D14" s="64">
        <v>38971</v>
      </c>
      <c r="E14" s="64" t="s">
        <v>58</v>
      </c>
      <c r="H14"/>
      <c r="I14"/>
      <c r="J14"/>
    </row>
    <row r="15" spans="2:10" s="8" customFormat="1">
      <c r="B15" s="63" t="s">
        <v>80</v>
      </c>
      <c r="C15" s="63">
        <v>0</v>
      </c>
      <c r="D15" s="64">
        <v>38972</v>
      </c>
      <c r="E15" s="64" t="s">
        <v>58</v>
      </c>
      <c r="G15"/>
      <c r="H15"/>
      <c r="I15"/>
      <c r="J15"/>
    </row>
    <row r="16" spans="2:10" s="8" customFormat="1">
      <c r="B16" s="63" t="s">
        <v>52</v>
      </c>
      <c r="C16" s="63">
        <v>0</v>
      </c>
      <c r="D16" s="64">
        <v>38980</v>
      </c>
      <c r="E16" s="64" t="s">
        <v>58</v>
      </c>
      <c r="G16"/>
      <c r="H16"/>
      <c r="I16"/>
      <c r="J16"/>
    </row>
    <row r="17" spans="2:10" s="8" customFormat="1">
      <c r="B17" s="63" t="s">
        <v>60</v>
      </c>
      <c r="C17" s="63">
        <v>0</v>
      </c>
      <c r="D17" s="64">
        <v>38981</v>
      </c>
      <c r="E17" s="64" t="s">
        <v>58</v>
      </c>
      <c r="G17"/>
      <c r="H17"/>
      <c r="I17"/>
      <c r="J17"/>
    </row>
    <row r="18" spans="2:10" s="8" customFormat="1">
      <c r="B18" s="63" t="s">
        <v>70</v>
      </c>
      <c r="C18" s="63">
        <v>0</v>
      </c>
      <c r="D18" s="64">
        <v>38981</v>
      </c>
      <c r="E18" s="64"/>
      <c r="G18"/>
      <c r="H18"/>
      <c r="I18"/>
      <c r="J18"/>
    </row>
    <row r="19" spans="2:10" s="8" customFormat="1">
      <c r="B19" s="63" t="s">
        <v>82</v>
      </c>
      <c r="C19" s="63">
        <v>0</v>
      </c>
      <c r="D19" s="64">
        <v>38981</v>
      </c>
      <c r="E19" s="64" t="s">
        <v>58</v>
      </c>
      <c r="G19"/>
      <c r="H19"/>
      <c r="I19"/>
      <c r="J19"/>
    </row>
    <row r="20" spans="2:10" ht="15.75">
      <c r="B20" s="42" t="s">
        <v>45</v>
      </c>
      <c r="C20" s="43">
        <f>SUM(C3:C19)</f>
        <v>-265.83000000000004</v>
      </c>
      <c r="D20" s="44"/>
      <c r="E20" s="44"/>
      <c r="F20" s="32"/>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80.xml><?xml version="1.0" encoding="utf-8"?>
<worksheet xmlns="http://schemas.openxmlformats.org/spreadsheetml/2006/main" xmlns:r="http://schemas.openxmlformats.org/officeDocument/2006/relationships">
  <sheetPr>
    <pageSetUpPr autoPageBreaks="0"/>
  </sheetPr>
  <dimension ref="B1:O23"/>
  <sheetViews>
    <sheetView zoomScale="75" zoomScaleNormal="75" zoomScalePageLayoutView="75" workbookViewId="0">
      <selection activeCell="E17" activeCellId="1" sqref="G13 E17"/>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0"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s>
  <sheetData>
    <row r="1" spans="2:15">
      <c r="E1" s="106"/>
    </row>
    <row r="2" spans="2:15" ht="18">
      <c r="B2" s="220" t="s">
        <v>135</v>
      </c>
      <c r="C2" s="220" t="s">
        <v>136</v>
      </c>
      <c r="D2" s="90"/>
      <c r="E2" s="220" t="s">
        <v>0</v>
      </c>
      <c r="F2" s="82" t="s">
        <v>1</v>
      </c>
      <c r="G2" s="82" t="s">
        <v>57</v>
      </c>
      <c r="I2" s="221" t="s">
        <v>913</v>
      </c>
      <c r="J2" s="221" t="s">
        <v>408</v>
      </c>
      <c r="K2" s="221" t="s">
        <v>1</v>
      </c>
      <c r="M2" s="221" t="s">
        <v>993</v>
      </c>
      <c r="N2" s="221" t="s">
        <v>408</v>
      </c>
      <c r="O2" s="221" t="s">
        <v>1</v>
      </c>
    </row>
    <row r="3" spans="2:15">
      <c r="B3" s="71" t="s">
        <v>56</v>
      </c>
      <c r="C3" s="91">
        <v>0</v>
      </c>
      <c r="D3" s="92">
        <v>0</v>
      </c>
      <c r="E3" s="95">
        <v>-248.77</v>
      </c>
      <c r="F3" s="72"/>
      <c r="G3" s="72"/>
      <c r="I3" s="10">
        <v>2698.37</v>
      </c>
      <c r="J3" s="10" t="s">
        <v>914</v>
      </c>
      <c r="K3" s="16"/>
      <c r="M3" s="10">
        <v>805.92</v>
      </c>
      <c r="N3" s="10" t="s">
        <v>1010</v>
      </c>
      <c r="O3" s="16"/>
    </row>
    <row r="4" spans="2:15" ht="12" customHeight="1">
      <c r="B4" s="71" t="s">
        <v>5</v>
      </c>
      <c r="C4" s="91">
        <v>6188.8</v>
      </c>
      <c r="D4" s="92"/>
      <c r="E4" s="95">
        <v>0</v>
      </c>
      <c r="F4" s="72"/>
      <c r="G4" s="72"/>
      <c r="I4" s="10">
        <v>573.57000000000005</v>
      </c>
      <c r="J4" s="10" t="s">
        <v>915</v>
      </c>
      <c r="K4" s="16"/>
      <c r="M4" s="10" t="s">
        <v>1022</v>
      </c>
      <c r="N4" s="10" t="s">
        <v>1011</v>
      </c>
      <c r="O4" s="16"/>
    </row>
    <row r="5" spans="2:15" ht="12" customHeight="1">
      <c r="B5" s="71" t="s">
        <v>1004</v>
      </c>
      <c r="C5" s="91">
        <v>60</v>
      </c>
      <c r="D5" s="92"/>
      <c r="E5" s="95">
        <v>0</v>
      </c>
      <c r="F5" s="72"/>
      <c r="G5" s="72"/>
      <c r="I5" s="10"/>
      <c r="J5" s="10"/>
      <c r="K5" s="16"/>
      <c r="M5" s="10">
        <f>(3730.16/5)*1</f>
        <v>746.03199999999993</v>
      </c>
      <c r="N5" s="10" t="s">
        <v>1012</v>
      </c>
      <c r="O5" s="16"/>
    </row>
    <row r="6" spans="2:15">
      <c r="B6" s="71" t="s">
        <v>1023</v>
      </c>
      <c r="C6" s="91">
        <v>2000</v>
      </c>
      <c r="D6" s="92"/>
      <c r="E6" s="95">
        <v>0</v>
      </c>
      <c r="F6" s="72"/>
      <c r="G6" s="72"/>
      <c r="M6" s="10">
        <v>230</v>
      </c>
      <c r="N6" s="10" t="s">
        <v>1024</v>
      </c>
      <c r="O6" s="16"/>
    </row>
    <row r="7" spans="2:15">
      <c r="B7" s="71" t="s">
        <v>107</v>
      </c>
      <c r="C7" s="91">
        <v>284</v>
      </c>
      <c r="D7" s="92"/>
      <c r="E7" s="95">
        <f>C7</f>
        <v>284</v>
      </c>
      <c r="F7" s="72"/>
      <c r="G7" s="72"/>
      <c r="M7" s="10"/>
      <c r="N7" s="10"/>
      <c r="O7" s="16"/>
    </row>
    <row r="8" spans="2:15">
      <c r="B8" s="99" t="s">
        <v>714</v>
      </c>
      <c r="C8" s="96">
        <v>-21.58</v>
      </c>
      <c r="D8" s="97"/>
      <c r="E8" s="63">
        <v>0</v>
      </c>
      <c r="F8" s="64"/>
      <c r="G8" s="64" t="s">
        <v>58</v>
      </c>
      <c r="M8" s="144">
        <f>SUM(M3:M7)</f>
        <v>1781.9519999999998</v>
      </c>
      <c r="N8" s="144" t="s">
        <v>564</v>
      </c>
      <c r="O8" s="145"/>
    </row>
    <row r="9" spans="2:15">
      <c r="B9" s="99" t="s">
        <v>965</v>
      </c>
      <c r="C9" s="96">
        <v>-600</v>
      </c>
      <c r="D9" s="97"/>
      <c r="E9" s="63">
        <v>0</v>
      </c>
      <c r="F9" s="64"/>
      <c r="G9" s="64" t="s">
        <v>58</v>
      </c>
    </row>
    <row r="10" spans="2:15" ht="14.25" customHeight="1">
      <c r="B10" s="99" t="s">
        <v>934</v>
      </c>
      <c r="C10" s="96">
        <v>-230</v>
      </c>
      <c r="D10" s="97"/>
      <c r="E10" s="63">
        <v>0</v>
      </c>
      <c r="F10" s="64"/>
      <c r="G10" s="64" t="s">
        <v>58</v>
      </c>
      <c r="M10" s="221" t="s">
        <v>707</v>
      </c>
      <c r="N10" s="221" t="s">
        <v>408</v>
      </c>
      <c r="O10" s="221" t="s">
        <v>1</v>
      </c>
    </row>
    <row r="11" spans="2:15">
      <c r="B11" s="99" t="s">
        <v>1025</v>
      </c>
      <c r="C11" s="96">
        <v>-2000</v>
      </c>
      <c r="D11" s="97"/>
      <c r="E11" s="63">
        <v>0</v>
      </c>
      <c r="F11" s="64"/>
      <c r="G11" s="64" t="s">
        <v>58</v>
      </c>
      <c r="M11" s="10">
        <v>7138.7</v>
      </c>
      <c r="N11" s="10" t="s">
        <v>1015</v>
      </c>
      <c r="O11" s="16"/>
    </row>
    <row r="12" spans="2:15">
      <c r="B12" s="99" t="s">
        <v>312</v>
      </c>
      <c r="C12" s="96">
        <v>-100</v>
      </c>
      <c r="D12" s="97"/>
      <c r="E12" s="63">
        <v>0</v>
      </c>
      <c r="F12" s="64"/>
      <c r="G12" s="64" t="s">
        <v>58</v>
      </c>
      <c r="M12" s="10">
        <f>(3730.16/5)*4</f>
        <v>2984.1279999999997</v>
      </c>
      <c r="N12" s="10" t="s">
        <v>1012</v>
      </c>
      <c r="O12" s="16"/>
    </row>
    <row r="13" spans="2:15">
      <c r="B13" s="99" t="s">
        <v>103</v>
      </c>
      <c r="C13" s="96">
        <v>-2691</v>
      </c>
      <c r="D13" s="97"/>
      <c r="E13" s="63">
        <v>0</v>
      </c>
      <c r="F13" s="64"/>
      <c r="G13" s="64" t="s">
        <v>58</v>
      </c>
      <c r="M13" s="10"/>
      <c r="N13" s="10"/>
      <c r="O13" s="16"/>
    </row>
    <row r="14" spans="2:15">
      <c r="B14" s="99" t="s">
        <v>73</v>
      </c>
      <c r="C14" s="96">
        <v>-306.38</v>
      </c>
      <c r="D14" s="97"/>
      <c r="E14" s="63">
        <v>0</v>
      </c>
      <c r="F14" s="64"/>
      <c r="G14" s="64" t="s">
        <v>58</v>
      </c>
      <c r="M14" s="10"/>
      <c r="N14" s="10"/>
      <c r="O14" s="16"/>
    </row>
    <row r="15" spans="2:15">
      <c r="B15" s="99" t="s">
        <v>102</v>
      </c>
      <c r="C15" s="96">
        <v>-749.42</v>
      </c>
      <c r="D15" s="97"/>
      <c r="E15" s="63">
        <v>0</v>
      </c>
      <c r="F15" s="64"/>
      <c r="G15" s="64" t="s">
        <v>58</v>
      </c>
      <c r="M15" s="10"/>
      <c r="N15" s="10"/>
      <c r="O15" s="16"/>
    </row>
    <row r="16" spans="2:15">
      <c r="B16" s="99" t="s">
        <v>1017</v>
      </c>
      <c r="C16" s="96">
        <v>-400</v>
      </c>
      <c r="D16" s="97"/>
      <c r="E16" s="63">
        <v>0</v>
      </c>
      <c r="F16" s="64"/>
      <c r="G16" s="64" t="s">
        <v>58</v>
      </c>
      <c r="M16" s="10"/>
      <c r="N16" s="10"/>
      <c r="O16" s="16"/>
    </row>
    <row r="17" spans="2:15">
      <c r="B17" s="99" t="s">
        <v>755</v>
      </c>
      <c r="C17" s="96">
        <f>-M14</f>
        <v>0</v>
      </c>
      <c r="D17" s="97"/>
      <c r="E17" s="63">
        <v>0</v>
      </c>
      <c r="F17" s="64"/>
      <c r="G17" s="64" t="s">
        <v>58</v>
      </c>
      <c r="M17" s="144">
        <f>SUM(M11:M16)</f>
        <v>10122.828</v>
      </c>
      <c r="N17" s="144" t="s">
        <v>564</v>
      </c>
      <c r="O17" s="145"/>
    </row>
    <row r="18" spans="2:15">
      <c r="B18" s="99" t="s">
        <v>41</v>
      </c>
      <c r="C18" s="96">
        <v>-62.99</v>
      </c>
      <c r="D18" s="97"/>
      <c r="E18" s="63">
        <v>0</v>
      </c>
      <c r="F18" s="64"/>
      <c r="G18" s="64" t="s">
        <v>58</v>
      </c>
      <c r="H18" s="143"/>
    </row>
    <row r="19" spans="2:15" ht="15.75">
      <c r="B19" s="99" t="s">
        <v>586</v>
      </c>
      <c r="C19" s="96">
        <v>-135.33000000000001</v>
      </c>
      <c r="D19" s="97"/>
      <c r="E19" s="63">
        <v>0</v>
      </c>
      <c r="F19" s="64"/>
      <c r="G19" s="64" t="s">
        <v>58</v>
      </c>
      <c r="M19" s="221" t="s">
        <v>1018</v>
      </c>
      <c r="N19" s="221" t="s">
        <v>1019</v>
      </c>
      <c r="O19" s="221" t="s">
        <v>1020</v>
      </c>
    </row>
    <row r="20" spans="2:15">
      <c r="B20" s="99" t="s">
        <v>924</v>
      </c>
      <c r="C20" s="96">
        <v>-40.71</v>
      </c>
      <c r="D20" s="97"/>
      <c r="E20" s="63">
        <v>0</v>
      </c>
      <c r="F20" s="64"/>
      <c r="G20" s="64" t="s">
        <v>58</v>
      </c>
      <c r="M20" s="10" t="s">
        <v>1015</v>
      </c>
      <c r="N20" s="184">
        <v>0</v>
      </c>
      <c r="O20" s="185">
        <v>8</v>
      </c>
    </row>
    <row r="21" spans="2:15">
      <c r="B21" s="99" t="s">
        <v>686</v>
      </c>
      <c r="C21" s="96">
        <v>-612.52</v>
      </c>
      <c r="D21" s="97"/>
      <c r="E21" s="63">
        <v>0</v>
      </c>
      <c r="F21" s="64"/>
      <c r="G21" s="64" t="s">
        <v>58</v>
      </c>
      <c r="M21" s="10" t="s">
        <v>1010</v>
      </c>
      <c r="N21" s="184">
        <v>1</v>
      </c>
      <c r="O21" s="185">
        <v>0</v>
      </c>
    </row>
    <row r="22" spans="2:15" ht="18">
      <c r="B22" s="74" t="s">
        <v>45</v>
      </c>
      <c r="C22" s="101"/>
      <c r="D22" s="98"/>
      <c r="E22" s="129">
        <f>SUM(E3:E21)</f>
        <v>35.22999999999999</v>
      </c>
      <c r="F22" s="75"/>
      <c r="G22" s="75"/>
      <c r="M22" s="10" t="s">
        <v>1012</v>
      </c>
      <c r="N22" s="184">
        <v>1</v>
      </c>
      <c r="O22" s="185">
        <v>4</v>
      </c>
    </row>
    <row r="23" spans="2:15">
      <c r="M23" s="10" t="s">
        <v>1011</v>
      </c>
      <c r="N23" s="184">
        <v>0</v>
      </c>
      <c r="O23" s="185">
        <v>0</v>
      </c>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1.xml><?xml version="1.0" encoding="utf-8"?>
<worksheet xmlns="http://schemas.openxmlformats.org/spreadsheetml/2006/main" xmlns:r="http://schemas.openxmlformats.org/officeDocument/2006/relationships">
  <sheetPr>
    <pageSetUpPr autoPageBreaks="0"/>
  </sheetPr>
  <dimension ref="A1:O34"/>
  <sheetViews>
    <sheetView zoomScale="75" zoomScaleNormal="75" zoomScalePageLayoutView="75" workbookViewId="0">
      <selection activeCell="J35" activeCellId="1" sqref="G13 J35"/>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B3" s="71" t="s">
        <v>56</v>
      </c>
      <c r="C3" s="91">
        <v>0</v>
      </c>
      <c r="D3" s="92">
        <v>0</v>
      </c>
      <c r="E3" s="95">
        <v>-237.44</v>
      </c>
      <c r="F3" s="72"/>
      <c r="G3" s="72"/>
      <c r="I3" s="10">
        <v>2554.4</v>
      </c>
      <c r="J3" s="10" t="s">
        <v>914</v>
      </c>
      <c r="K3" s="16"/>
      <c r="M3" s="10">
        <v>813.13</v>
      </c>
      <c r="N3" s="10" t="s">
        <v>1010</v>
      </c>
      <c r="O3" s="16"/>
    </row>
    <row r="4" spans="1:15" ht="12" customHeight="1">
      <c r="B4" s="71" t="s">
        <v>5</v>
      </c>
      <c r="C4" s="91">
        <v>6229.7</v>
      </c>
      <c r="D4" s="92"/>
      <c r="E4" s="95">
        <v>0</v>
      </c>
      <c r="F4" s="72"/>
      <c r="G4" s="72"/>
      <c r="I4" s="10">
        <v>173.96</v>
      </c>
      <c r="J4" s="10" t="s">
        <v>915</v>
      </c>
      <c r="K4" s="16"/>
      <c r="M4" s="10" t="s">
        <v>1022</v>
      </c>
      <c r="N4" s="10" t="s">
        <v>1011</v>
      </c>
      <c r="O4" s="16"/>
    </row>
    <row r="5" spans="1:15" ht="12" customHeight="1">
      <c r="B5" s="71" t="s">
        <v>1004</v>
      </c>
      <c r="C5" s="91">
        <v>60</v>
      </c>
      <c r="D5" s="92"/>
      <c r="E5" s="95">
        <v>0</v>
      </c>
      <c r="F5" s="72"/>
      <c r="G5" s="72"/>
      <c r="I5" s="10"/>
      <c r="J5" s="10"/>
      <c r="K5" s="16"/>
      <c r="M5" s="10">
        <f>(3760.47/5)*1</f>
        <v>752.09399999999994</v>
      </c>
      <c r="N5" s="10" t="s">
        <v>1012</v>
      </c>
      <c r="O5" s="16"/>
    </row>
    <row r="6" spans="1:15">
      <c r="B6" s="71" t="s">
        <v>81</v>
      </c>
      <c r="C6" s="91">
        <v>15</v>
      </c>
      <c r="D6" s="92"/>
      <c r="E6" s="95">
        <v>0</v>
      </c>
      <c r="F6" s="72"/>
      <c r="G6" s="72"/>
      <c r="M6" s="10">
        <v>431.07</v>
      </c>
      <c r="N6" s="10" t="s">
        <v>1024</v>
      </c>
      <c r="O6" s="16"/>
    </row>
    <row r="7" spans="1:15">
      <c r="B7" s="71" t="s">
        <v>1026</v>
      </c>
      <c r="C7" s="91">
        <v>940</v>
      </c>
      <c r="D7" s="92"/>
      <c r="E7" s="95">
        <v>0</v>
      </c>
      <c r="F7" s="72"/>
      <c r="G7" s="72"/>
      <c r="M7" s="10"/>
      <c r="N7" s="10"/>
      <c r="O7" s="16"/>
    </row>
    <row r="8" spans="1:15">
      <c r="B8" s="71" t="s">
        <v>1023</v>
      </c>
      <c r="C8" s="91">
        <v>0</v>
      </c>
      <c r="D8" s="92"/>
      <c r="E8" s="95">
        <v>0</v>
      </c>
      <c r="F8" s="72"/>
      <c r="G8" s="72"/>
      <c r="M8" s="144">
        <f>SUM(M3:M7)</f>
        <v>1996.2939999999999</v>
      </c>
      <c r="N8" s="144" t="s">
        <v>564</v>
      </c>
      <c r="O8" s="145"/>
    </row>
    <row r="9" spans="1:15">
      <c r="B9" s="71" t="s">
        <v>1027</v>
      </c>
      <c r="C9" s="91">
        <v>323.54000000000002</v>
      </c>
      <c r="D9" s="92"/>
      <c r="E9" s="95">
        <v>0</v>
      </c>
      <c r="F9" s="72"/>
      <c r="G9" s="72"/>
    </row>
    <row r="10" spans="1:15" ht="14.25" customHeight="1">
      <c r="B10" s="71" t="s">
        <v>1028</v>
      </c>
      <c r="C10" s="91">
        <v>30</v>
      </c>
      <c r="D10" s="92"/>
      <c r="E10" s="95">
        <f>C10</f>
        <v>30</v>
      </c>
      <c r="F10" s="72"/>
      <c r="G10" s="72"/>
      <c r="M10" s="221" t="s">
        <v>707</v>
      </c>
      <c r="N10" s="221" t="s">
        <v>408</v>
      </c>
      <c r="O10" s="221" t="s">
        <v>1</v>
      </c>
    </row>
    <row r="11" spans="1:15">
      <c r="A11" t="s">
        <v>1022</v>
      </c>
      <c r="B11" s="71" t="s">
        <v>1029</v>
      </c>
      <c r="C11" s="91">
        <v>63</v>
      </c>
      <c r="D11" s="92"/>
      <c r="E11" s="95">
        <v>0</v>
      </c>
      <c r="F11" s="72"/>
      <c r="G11" s="72"/>
      <c r="M11" s="10">
        <v>7183.5</v>
      </c>
      <c r="N11" s="10" t="s">
        <v>1015</v>
      </c>
      <c r="O11" s="16"/>
    </row>
    <row r="12" spans="1:15">
      <c r="B12" s="71" t="s">
        <v>1030</v>
      </c>
      <c r="C12" s="91">
        <v>92</v>
      </c>
      <c r="D12" s="92"/>
      <c r="E12" s="95">
        <v>0</v>
      </c>
      <c r="F12" s="72"/>
      <c r="G12" s="72"/>
      <c r="M12" s="10">
        <f>(3760.47/5)*4</f>
        <v>3008.3759999999997</v>
      </c>
      <c r="N12" s="10" t="s">
        <v>1012</v>
      </c>
      <c r="O12" s="16"/>
    </row>
    <row r="13" spans="1:15">
      <c r="B13" s="71" t="s">
        <v>107</v>
      </c>
      <c r="C13" s="91">
        <v>284</v>
      </c>
      <c r="D13" s="92"/>
      <c r="E13" s="95">
        <v>0</v>
      </c>
      <c r="F13" s="72"/>
      <c r="G13" s="72"/>
      <c r="M13" s="10"/>
      <c r="N13" s="10"/>
      <c r="O13" s="16"/>
    </row>
    <row r="14" spans="1:15">
      <c r="B14" s="99" t="s">
        <v>714</v>
      </c>
      <c r="C14" s="96">
        <v>-30</v>
      </c>
      <c r="D14" s="97"/>
      <c r="E14" s="163">
        <f>C14</f>
        <v>-30</v>
      </c>
      <c r="F14" s="164"/>
      <c r="G14" s="164"/>
      <c r="M14" s="10">
        <v>500</v>
      </c>
      <c r="N14" s="10" t="s">
        <v>1024</v>
      </c>
      <c r="O14" s="16"/>
    </row>
    <row r="15" spans="1:15">
      <c r="B15" s="99" t="s">
        <v>965</v>
      </c>
      <c r="C15" s="96">
        <v>-600</v>
      </c>
      <c r="D15" s="97"/>
      <c r="E15" s="63">
        <v>0</v>
      </c>
      <c r="F15" s="64"/>
      <c r="G15" s="64" t="s">
        <v>58</v>
      </c>
      <c r="M15" s="10"/>
      <c r="N15" s="10"/>
      <c r="O15" s="16"/>
    </row>
    <row r="16" spans="1:15">
      <c r="B16" s="99" t="s">
        <v>934</v>
      </c>
      <c r="C16" s="96">
        <v>-200</v>
      </c>
      <c r="D16" s="97"/>
      <c r="E16" s="63">
        <v>0</v>
      </c>
      <c r="F16" s="64"/>
      <c r="G16" s="64" t="s">
        <v>58</v>
      </c>
      <c r="M16" s="10"/>
      <c r="N16" s="10"/>
      <c r="O16" s="16"/>
    </row>
    <row r="17" spans="2:15">
      <c r="B17" s="99" t="s">
        <v>312</v>
      </c>
      <c r="C17" s="96">
        <v>-100</v>
      </c>
      <c r="D17" s="97"/>
      <c r="E17" s="63">
        <v>0</v>
      </c>
      <c r="F17" s="64"/>
      <c r="G17" s="64" t="s">
        <v>58</v>
      </c>
      <c r="M17" s="144">
        <f>SUM(M11:M16)</f>
        <v>10691.876</v>
      </c>
      <c r="N17" s="144" t="s">
        <v>1031</v>
      </c>
      <c r="O17" s="145"/>
    </row>
    <row r="18" spans="2:15">
      <c r="B18" s="99" t="s">
        <v>103</v>
      </c>
      <c r="C18" s="96">
        <v>-1033.9100000000001</v>
      </c>
      <c r="D18" s="97"/>
      <c r="E18" s="63">
        <v>0</v>
      </c>
      <c r="F18" s="64"/>
      <c r="G18" s="64" t="s">
        <v>58</v>
      </c>
      <c r="H18" s="143"/>
    </row>
    <row r="19" spans="2:15" ht="15.75">
      <c r="B19" s="99" t="s">
        <v>103</v>
      </c>
      <c r="C19" s="96">
        <f>-I3</f>
        <v>-2554.4</v>
      </c>
      <c r="D19" s="97"/>
      <c r="E19" s="63">
        <v>0</v>
      </c>
      <c r="F19" s="64"/>
      <c r="G19" s="64" t="s">
        <v>58</v>
      </c>
      <c r="M19" s="221" t="s">
        <v>1018</v>
      </c>
      <c r="N19" s="221" t="s">
        <v>1019</v>
      </c>
      <c r="O19" s="221" t="s">
        <v>1020</v>
      </c>
    </row>
    <row r="20" spans="2:15">
      <c r="B20" s="99" t="s">
        <v>1032</v>
      </c>
      <c r="C20" s="96">
        <v>-867.78</v>
      </c>
      <c r="D20" s="97"/>
      <c r="E20" s="63">
        <v>0</v>
      </c>
      <c r="F20" s="64"/>
      <c r="G20" s="64" t="s">
        <v>58</v>
      </c>
      <c r="M20" s="10" t="s">
        <v>1015</v>
      </c>
      <c r="N20" s="184">
        <v>0</v>
      </c>
      <c r="O20" s="185">
        <v>8</v>
      </c>
    </row>
    <row r="21" spans="2:15">
      <c r="B21" s="99" t="s">
        <v>183</v>
      </c>
      <c r="C21" s="96">
        <v>2000</v>
      </c>
      <c r="D21" s="97"/>
      <c r="E21" s="63">
        <v>0</v>
      </c>
      <c r="F21" s="64"/>
      <c r="G21" s="64" t="s">
        <v>58</v>
      </c>
      <c r="M21" s="10" t="s">
        <v>1010</v>
      </c>
      <c r="N21" s="184">
        <v>1</v>
      </c>
      <c r="O21" s="185">
        <v>0</v>
      </c>
    </row>
    <row r="22" spans="2:15">
      <c r="B22" s="99" t="s">
        <v>1033</v>
      </c>
      <c r="C22" s="96">
        <v>-1694</v>
      </c>
      <c r="D22" s="97"/>
      <c r="E22" s="63">
        <v>0</v>
      </c>
      <c r="F22" s="64"/>
      <c r="G22" s="64" t="s">
        <v>58</v>
      </c>
      <c r="M22" s="10" t="s">
        <v>1012</v>
      </c>
      <c r="N22" s="184">
        <v>1</v>
      </c>
      <c r="O22" s="185">
        <v>4</v>
      </c>
    </row>
    <row r="23" spans="2:15">
      <c r="B23" s="99" t="s">
        <v>143</v>
      </c>
      <c r="C23" s="96">
        <v>1700</v>
      </c>
      <c r="D23" s="97"/>
      <c r="E23" s="63">
        <v>0</v>
      </c>
      <c r="F23" s="64"/>
      <c r="G23" s="64" t="s">
        <v>58</v>
      </c>
      <c r="M23" s="10" t="s">
        <v>1011</v>
      </c>
      <c r="N23" s="184">
        <v>0</v>
      </c>
      <c r="O23" s="185">
        <v>0</v>
      </c>
    </row>
    <row r="24" spans="2:15">
      <c r="B24" s="99" t="s">
        <v>102</v>
      </c>
      <c r="C24" s="96">
        <v>-500</v>
      </c>
      <c r="D24" s="97"/>
      <c r="E24" s="63">
        <v>0</v>
      </c>
      <c r="F24" s="64"/>
      <c r="G24" s="64" t="s">
        <v>58</v>
      </c>
    </row>
    <row r="25" spans="2:15">
      <c r="B25" s="99" t="s">
        <v>73</v>
      </c>
      <c r="C25" s="96">
        <v>-577.09</v>
      </c>
      <c r="D25" s="97"/>
      <c r="E25" s="63">
        <v>0</v>
      </c>
      <c r="F25" s="64"/>
      <c r="G25" s="64" t="s">
        <v>58</v>
      </c>
    </row>
    <row r="26" spans="2:15">
      <c r="B26" s="99" t="s">
        <v>1034</v>
      </c>
      <c r="C26" s="96">
        <v>-68.099999999999994</v>
      </c>
      <c r="D26" s="97"/>
      <c r="E26" s="63">
        <v>0</v>
      </c>
      <c r="F26" s="64"/>
      <c r="G26" s="64" t="s">
        <v>58</v>
      </c>
    </row>
    <row r="27" spans="2:15">
      <c r="B27" s="99" t="s">
        <v>1035</v>
      </c>
      <c r="C27" s="96">
        <v>-620.54</v>
      </c>
      <c r="D27" s="97"/>
      <c r="E27" s="63">
        <v>0</v>
      </c>
      <c r="F27" s="64"/>
      <c r="G27" s="64" t="s">
        <v>58</v>
      </c>
    </row>
    <row r="28" spans="2:15">
      <c r="B28" s="99" t="s">
        <v>1017</v>
      </c>
      <c r="C28" s="96">
        <v>-400</v>
      </c>
      <c r="D28" s="97"/>
      <c r="E28" s="63">
        <v>0</v>
      </c>
      <c r="F28" s="64"/>
      <c r="G28" s="64" t="s">
        <v>58</v>
      </c>
    </row>
    <row r="29" spans="2:15">
      <c r="B29" s="99" t="s">
        <v>1036</v>
      </c>
      <c r="C29" s="96">
        <v>-240</v>
      </c>
      <c r="D29" s="97"/>
      <c r="E29" s="63">
        <v>0</v>
      </c>
      <c r="F29" s="64"/>
      <c r="G29" s="64" t="s">
        <v>58</v>
      </c>
    </row>
    <row r="30" spans="2:15">
      <c r="B30" s="99" t="s">
        <v>41</v>
      </c>
      <c r="C30" s="96">
        <v>-60.89</v>
      </c>
      <c r="D30" s="97"/>
      <c r="E30" s="63">
        <v>0</v>
      </c>
      <c r="F30" s="64"/>
      <c r="G30" s="64" t="s">
        <v>58</v>
      </c>
    </row>
    <row r="31" spans="2:15">
      <c r="B31" s="99" t="s">
        <v>586</v>
      </c>
      <c r="C31" s="96">
        <v>-135.33000000000001</v>
      </c>
      <c r="D31" s="97"/>
      <c r="E31" s="63">
        <v>0</v>
      </c>
      <c r="F31" s="64"/>
      <c r="G31" s="64" t="s">
        <v>58</v>
      </c>
    </row>
    <row r="32" spans="2:15">
      <c r="B32" s="99" t="s">
        <v>924</v>
      </c>
      <c r="C32" s="96">
        <v>-62.55</v>
      </c>
      <c r="D32" s="97"/>
      <c r="E32" s="63">
        <v>0</v>
      </c>
      <c r="F32" s="64"/>
      <c r="G32" s="64" t="s">
        <v>58</v>
      </c>
    </row>
    <row r="33" spans="2:7">
      <c r="B33" s="99" t="s">
        <v>686</v>
      </c>
      <c r="C33" s="96">
        <v>-640.92999999999995</v>
      </c>
      <c r="D33" s="97"/>
      <c r="E33" s="63">
        <v>0</v>
      </c>
      <c r="F33" s="64"/>
      <c r="G33" s="64" t="s">
        <v>58</v>
      </c>
    </row>
    <row r="34" spans="2:7" ht="18">
      <c r="B34" s="74" t="s">
        <v>45</v>
      </c>
      <c r="C34" s="101"/>
      <c r="D34" s="98"/>
      <c r="E34" s="129">
        <f>SUM(E3:E33)</f>
        <v>-237.44</v>
      </c>
      <c r="F34" s="75"/>
      <c r="G34"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2.xml><?xml version="1.0" encoding="utf-8"?>
<worksheet xmlns="http://schemas.openxmlformats.org/spreadsheetml/2006/main" xmlns:r="http://schemas.openxmlformats.org/officeDocument/2006/relationships">
  <sheetPr>
    <pageSetUpPr autoPageBreaks="0"/>
  </sheetPr>
  <dimension ref="A1:O32"/>
  <sheetViews>
    <sheetView zoomScale="75" zoomScaleNormal="75" zoomScalePageLayoutView="75" workbookViewId="0">
      <selection activeCell="C10" sqref="C10"/>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B3" s="71" t="s">
        <v>56</v>
      </c>
      <c r="C3" s="91">
        <v>0</v>
      </c>
      <c r="D3" s="92">
        <v>0</v>
      </c>
      <c r="E3" s="95">
        <v>-455.53</v>
      </c>
      <c r="F3" s="72"/>
      <c r="G3" s="72"/>
      <c r="I3" s="10">
        <v>2734.3</v>
      </c>
      <c r="J3" s="10" t="s">
        <v>914</v>
      </c>
      <c r="K3" s="16"/>
      <c r="M3" s="10">
        <v>823.3</v>
      </c>
      <c r="N3" s="10" t="s">
        <v>1010</v>
      </c>
      <c r="O3" s="16"/>
    </row>
    <row r="4" spans="1:15" ht="12" customHeight="1">
      <c r="B4" s="71" t="s">
        <v>5</v>
      </c>
      <c r="C4" s="91">
        <v>6208.17</v>
      </c>
      <c r="D4" s="92"/>
      <c r="E4" s="95">
        <v>0</v>
      </c>
      <c r="F4" s="72"/>
      <c r="G4" s="72"/>
      <c r="I4" s="10">
        <v>173.96</v>
      </c>
      <c r="J4" s="10" t="s">
        <v>915</v>
      </c>
      <c r="K4" s="16"/>
      <c r="M4" s="10" t="s">
        <v>1022</v>
      </c>
      <c r="N4" s="10" t="s">
        <v>1011</v>
      </c>
      <c r="O4" s="16"/>
    </row>
    <row r="5" spans="1:15" ht="12" customHeight="1">
      <c r="B5" s="71" t="s">
        <v>1004</v>
      </c>
      <c r="C5" s="91">
        <v>60</v>
      </c>
      <c r="D5" s="92"/>
      <c r="E5" s="95">
        <v>0</v>
      </c>
      <c r="F5" s="72"/>
      <c r="G5" s="72"/>
      <c r="I5" s="10"/>
      <c r="J5" s="10"/>
      <c r="K5" s="16"/>
      <c r="M5" s="10">
        <f>(9201.73/12)*1</f>
        <v>766.81083333333333</v>
      </c>
      <c r="N5" s="10" t="s">
        <v>1012</v>
      </c>
      <c r="O5" s="16"/>
    </row>
    <row r="6" spans="1:15">
      <c r="B6" s="71" t="s">
        <v>81</v>
      </c>
      <c r="C6" s="91">
        <v>15</v>
      </c>
      <c r="D6" s="92"/>
      <c r="E6" s="95">
        <v>0</v>
      </c>
      <c r="F6" s="72"/>
      <c r="G6" s="72"/>
      <c r="M6" s="10">
        <v>635.09</v>
      </c>
      <c r="N6" s="10" t="s">
        <v>1024</v>
      </c>
      <c r="O6" s="16"/>
    </row>
    <row r="7" spans="1:15">
      <c r="B7" s="71" t="s">
        <v>1026</v>
      </c>
      <c r="C7" s="91">
        <v>940</v>
      </c>
      <c r="D7" s="92"/>
      <c r="E7" s="95">
        <v>0</v>
      </c>
      <c r="F7" s="72"/>
      <c r="G7" s="72"/>
      <c r="M7" s="10"/>
      <c r="N7" s="10"/>
      <c r="O7" s="16"/>
    </row>
    <row r="8" spans="1:15">
      <c r="B8" s="71" t="s">
        <v>1023</v>
      </c>
      <c r="C8" s="91">
        <v>0</v>
      </c>
      <c r="D8" s="92"/>
      <c r="E8" s="95">
        <v>0</v>
      </c>
      <c r="F8" s="72"/>
      <c r="G8" s="72"/>
      <c r="M8" s="144">
        <f>SUM(M3:M7)</f>
        <v>2225.2008333333333</v>
      </c>
      <c r="N8" s="144" t="s">
        <v>564</v>
      </c>
      <c r="O8" s="145"/>
    </row>
    <row r="9" spans="1:15">
      <c r="B9" s="71" t="s">
        <v>1027</v>
      </c>
      <c r="C9" s="91">
        <v>323.54000000000002</v>
      </c>
      <c r="D9" s="92"/>
      <c r="E9" s="95">
        <v>0</v>
      </c>
      <c r="F9" s="72"/>
      <c r="G9" s="72"/>
    </row>
    <row r="10" spans="1:15" ht="14.25" customHeight="1">
      <c r="B10" s="71" t="s">
        <v>1037</v>
      </c>
      <c r="C10" s="91">
        <v>5578.52</v>
      </c>
      <c r="D10" s="92"/>
      <c r="E10" s="95">
        <v>0</v>
      </c>
      <c r="F10" s="72"/>
      <c r="G10" s="72"/>
      <c r="M10" s="221" t="s">
        <v>707</v>
      </c>
      <c r="N10" s="221" t="s">
        <v>408</v>
      </c>
      <c r="O10" s="221" t="s">
        <v>1</v>
      </c>
    </row>
    <row r="11" spans="1:15">
      <c r="A11" t="s">
        <v>1022</v>
      </c>
      <c r="B11" s="71" t="s">
        <v>1028</v>
      </c>
      <c r="C11" s="91">
        <v>30</v>
      </c>
      <c r="D11" s="92"/>
      <c r="E11" s="95">
        <v>0</v>
      </c>
      <c r="F11" s="72"/>
      <c r="G11" s="72"/>
      <c r="M11" s="10">
        <v>7238.81</v>
      </c>
      <c r="N11" s="10" t="s">
        <v>1015</v>
      </c>
      <c r="O11" s="16"/>
    </row>
    <row r="12" spans="1:15">
      <c r="B12" s="71" t="s">
        <v>999</v>
      </c>
      <c r="C12" s="91">
        <v>94.91</v>
      </c>
      <c r="D12" s="92"/>
      <c r="E12" s="95">
        <v>0</v>
      </c>
      <c r="F12" s="72"/>
      <c r="G12" s="72"/>
      <c r="M12" s="10">
        <f>(9201.73/12)*11</f>
        <v>8434.9191666666666</v>
      </c>
      <c r="N12" s="10" t="s">
        <v>1012</v>
      </c>
      <c r="O12" s="16"/>
    </row>
    <row r="13" spans="1:15">
      <c r="B13" s="71" t="s">
        <v>1029</v>
      </c>
      <c r="C13" s="91">
        <v>63</v>
      </c>
      <c r="D13" s="92"/>
      <c r="E13" s="95">
        <v>0</v>
      </c>
      <c r="F13" s="72"/>
      <c r="G13" s="72"/>
      <c r="M13" s="10"/>
      <c r="N13" s="10" t="s">
        <v>1038</v>
      </c>
      <c r="O13" s="16"/>
    </row>
    <row r="14" spans="1:15">
      <c r="B14" s="71" t="s">
        <v>1030</v>
      </c>
      <c r="C14" s="91">
        <v>92</v>
      </c>
      <c r="D14" s="92"/>
      <c r="E14" s="95">
        <v>0</v>
      </c>
      <c r="F14" s="72"/>
      <c r="G14" s="72"/>
      <c r="M14" s="10">
        <v>1000</v>
      </c>
      <c r="N14" s="10" t="s">
        <v>1024</v>
      </c>
      <c r="O14" s="16"/>
    </row>
    <row r="15" spans="1:15">
      <c r="B15" s="71" t="s">
        <v>107</v>
      </c>
      <c r="C15" s="91">
        <v>210</v>
      </c>
      <c r="D15" s="92"/>
      <c r="E15" s="95">
        <f>C15</f>
        <v>210</v>
      </c>
      <c r="F15" s="72"/>
      <c r="G15" s="72"/>
      <c r="M15" s="10"/>
      <c r="N15" s="10"/>
      <c r="O15" s="16"/>
    </row>
    <row r="16" spans="1:15">
      <c r="B16" s="99" t="s">
        <v>714</v>
      </c>
      <c r="C16" s="96">
        <v>-30</v>
      </c>
      <c r="D16" s="97"/>
      <c r="E16" s="63">
        <v>0</v>
      </c>
      <c r="F16" s="64"/>
      <c r="G16" s="64" t="s">
        <v>58</v>
      </c>
      <c r="M16" s="10"/>
      <c r="N16" s="10"/>
      <c r="O16" s="16"/>
    </row>
    <row r="17" spans="2:15">
      <c r="B17" s="99" t="s">
        <v>965</v>
      </c>
      <c r="C17" s="96">
        <v>-600</v>
      </c>
      <c r="D17" s="97"/>
      <c r="E17" s="63">
        <v>0</v>
      </c>
      <c r="F17" s="64"/>
      <c r="G17" s="64" t="s">
        <v>58</v>
      </c>
      <c r="M17" s="144">
        <f>SUM(M11:M16)</f>
        <v>16673.729166666668</v>
      </c>
      <c r="N17" s="144" t="s">
        <v>1031</v>
      </c>
      <c r="O17" s="145"/>
    </row>
    <row r="18" spans="2:15">
      <c r="B18" s="99" t="s">
        <v>934</v>
      </c>
      <c r="C18" s="96">
        <v>-200</v>
      </c>
      <c r="D18" s="97"/>
      <c r="E18" s="63">
        <v>0</v>
      </c>
      <c r="F18" s="64"/>
      <c r="G18" s="64" t="s">
        <v>58</v>
      </c>
      <c r="H18" s="143"/>
    </row>
    <row r="19" spans="2:15" ht="15.75">
      <c r="B19" s="99" t="s">
        <v>312</v>
      </c>
      <c r="C19" s="96">
        <v>0</v>
      </c>
      <c r="D19" s="97"/>
      <c r="E19" s="63">
        <v>0</v>
      </c>
      <c r="F19" s="64"/>
      <c r="G19" s="64" t="s">
        <v>58</v>
      </c>
      <c r="M19" s="221" t="s">
        <v>1018</v>
      </c>
      <c r="N19" s="221" t="s">
        <v>1019</v>
      </c>
      <c r="O19" s="221" t="s">
        <v>1020</v>
      </c>
    </row>
    <row r="20" spans="2:15">
      <c r="B20" s="99" t="s">
        <v>103</v>
      </c>
      <c r="C20" s="96">
        <v>-2554.4</v>
      </c>
      <c r="D20" s="97"/>
      <c r="E20" s="63">
        <v>0</v>
      </c>
      <c r="F20" s="64"/>
      <c r="G20" s="64" t="s">
        <v>58</v>
      </c>
      <c r="M20" s="10" t="s">
        <v>1015</v>
      </c>
      <c r="N20" s="184">
        <v>0</v>
      </c>
      <c r="O20" s="185">
        <v>8</v>
      </c>
    </row>
    <row r="21" spans="2:15">
      <c r="B21" s="99" t="s">
        <v>102</v>
      </c>
      <c r="C21" s="96">
        <v>-5400</v>
      </c>
      <c r="D21" s="97"/>
      <c r="E21" s="63">
        <v>0</v>
      </c>
      <c r="F21" s="64"/>
      <c r="G21" s="64" t="s">
        <v>58</v>
      </c>
      <c r="M21" s="10" t="s">
        <v>1010</v>
      </c>
      <c r="N21" s="184">
        <v>1</v>
      </c>
      <c r="O21" s="185">
        <v>0</v>
      </c>
    </row>
    <row r="22" spans="2:15">
      <c r="B22" s="99" t="s">
        <v>1032</v>
      </c>
      <c r="C22" s="96">
        <v>-173.9</v>
      </c>
      <c r="D22" s="97"/>
      <c r="E22" s="63">
        <v>0</v>
      </c>
      <c r="F22" s="64"/>
      <c r="G22" s="64" t="s">
        <v>58</v>
      </c>
      <c r="M22" s="10" t="s">
        <v>1012</v>
      </c>
      <c r="N22" s="184">
        <v>1</v>
      </c>
      <c r="O22" s="185">
        <f>4+7</f>
        <v>11</v>
      </c>
    </row>
    <row r="23" spans="2:15">
      <c r="B23" s="99" t="s">
        <v>102</v>
      </c>
      <c r="C23" s="96">
        <v>-500</v>
      </c>
      <c r="D23" s="97"/>
      <c r="E23" s="63">
        <v>0</v>
      </c>
      <c r="F23" s="64"/>
      <c r="G23" s="64" t="s">
        <v>58</v>
      </c>
      <c r="M23" s="10" t="s">
        <v>1011</v>
      </c>
      <c r="N23" s="184">
        <v>0</v>
      </c>
      <c r="O23" s="185">
        <v>0</v>
      </c>
    </row>
    <row r="24" spans="2:15">
      <c r="B24" s="99" t="s">
        <v>1033</v>
      </c>
      <c r="C24" s="96">
        <v>-3101.11</v>
      </c>
      <c r="D24" s="97"/>
      <c r="E24" s="63">
        <v>0</v>
      </c>
      <c r="F24" s="64"/>
      <c r="G24" s="64" t="s">
        <v>58</v>
      </c>
    </row>
    <row r="25" spans="2:15">
      <c r="B25" s="99" t="s">
        <v>1039</v>
      </c>
      <c r="C25" s="96">
        <v>3275.4</v>
      </c>
      <c r="D25" s="97"/>
      <c r="E25" s="63">
        <v>0</v>
      </c>
      <c r="F25" s="64"/>
      <c r="G25" s="64" t="s">
        <v>58</v>
      </c>
    </row>
    <row r="26" spans="2:15">
      <c r="B26" s="99" t="s">
        <v>73</v>
      </c>
      <c r="C26" s="96">
        <v>-451.28</v>
      </c>
      <c r="D26" s="97"/>
      <c r="E26" s="63">
        <v>0</v>
      </c>
      <c r="F26" s="64"/>
      <c r="G26" s="64" t="s">
        <v>58</v>
      </c>
    </row>
    <row r="27" spans="2:15">
      <c r="B27" s="99" t="s">
        <v>1017</v>
      </c>
      <c r="C27" s="96">
        <v>-400</v>
      </c>
      <c r="D27" s="97"/>
      <c r="E27" s="63">
        <v>0</v>
      </c>
      <c r="F27" s="64"/>
      <c r="G27" s="64" t="s">
        <v>58</v>
      </c>
    </row>
    <row r="28" spans="2:15">
      <c r="B28" s="99" t="s">
        <v>41</v>
      </c>
      <c r="C28" s="96">
        <v>-61.85</v>
      </c>
      <c r="D28" s="97"/>
      <c r="E28" s="63">
        <v>0</v>
      </c>
      <c r="F28" s="64"/>
      <c r="G28" s="64" t="s">
        <v>58</v>
      </c>
    </row>
    <row r="29" spans="2:15">
      <c r="B29" s="99" t="s">
        <v>586</v>
      </c>
      <c r="C29" s="96">
        <v>-135.33000000000001</v>
      </c>
      <c r="D29" s="97"/>
      <c r="E29" s="63">
        <v>0</v>
      </c>
      <c r="F29" s="64"/>
      <c r="G29" s="64" t="s">
        <v>58</v>
      </c>
    </row>
    <row r="30" spans="2:15">
      <c r="B30" s="99" t="s">
        <v>924</v>
      </c>
      <c r="C30" s="96">
        <v>-37.81</v>
      </c>
      <c r="D30" s="97"/>
      <c r="E30" s="63">
        <v>0</v>
      </c>
      <c r="F30" s="64"/>
      <c r="G30" s="64" t="s">
        <v>58</v>
      </c>
    </row>
    <row r="31" spans="2:15">
      <c r="B31" s="99" t="s">
        <v>686</v>
      </c>
      <c r="C31" s="96">
        <v>-730.57</v>
      </c>
      <c r="D31" s="97"/>
      <c r="E31" s="63">
        <v>0</v>
      </c>
      <c r="F31" s="64"/>
      <c r="G31" s="64" t="s">
        <v>58</v>
      </c>
    </row>
    <row r="32" spans="2:15" ht="18">
      <c r="B32" s="74" t="s">
        <v>45</v>
      </c>
      <c r="C32" s="101"/>
      <c r="D32" s="98"/>
      <c r="E32" s="129">
        <f>SUM(E3:E31)</f>
        <v>-245.52999999999997</v>
      </c>
      <c r="F32" s="75"/>
      <c r="G32"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3.xml><?xml version="1.0" encoding="utf-8"?>
<worksheet xmlns="http://schemas.openxmlformats.org/spreadsheetml/2006/main" xmlns:r="http://schemas.openxmlformats.org/officeDocument/2006/relationships">
  <sheetPr>
    <pageSetUpPr autoPageBreaks="0"/>
  </sheetPr>
  <dimension ref="A1:S29"/>
  <sheetViews>
    <sheetView zoomScale="75" zoomScaleNormal="75" zoomScalePageLayoutView="75" workbookViewId="0">
      <selection activeCell="J35" activeCellId="1" sqref="G13 J35"/>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8" max="18" width="11.140625" customWidth="1"/>
    <col min="19" max="19" width="9.42578125"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B3" s="71" t="s">
        <v>56</v>
      </c>
      <c r="C3" s="91">
        <v>0</v>
      </c>
      <c r="D3" s="92">
        <v>0</v>
      </c>
      <c r="E3" s="95">
        <v>3400.9</v>
      </c>
      <c r="F3" s="72"/>
      <c r="G3" s="72"/>
      <c r="I3" s="10">
        <v>2722.27</v>
      </c>
      <c r="J3" s="10" t="s">
        <v>914</v>
      </c>
      <c r="K3" s="16"/>
      <c r="M3" s="10">
        <f>(3371.37/4)*2</f>
        <v>1685.6849999999999</v>
      </c>
      <c r="N3" s="10" t="s">
        <v>1010</v>
      </c>
      <c r="O3" s="16"/>
    </row>
    <row r="4" spans="1:15" ht="12" customHeight="1">
      <c r="B4" s="71" t="s">
        <v>5</v>
      </c>
      <c r="C4" s="91">
        <v>7261.65</v>
      </c>
      <c r="D4" s="92"/>
      <c r="E4" s="95">
        <v>0</v>
      </c>
      <c r="F4" s="72"/>
      <c r="G4" s="72"/>
      <c r="I4" s="10">
        <v>99</v>
      </c>
      <c r="J4" s="10" t="s">
        <v>915</v>
      </c>
      <c r="K4" s="16"/>
      <c r="M4" s="10" t="s">
        <v>1022</v>
      </c>
      <c r="N4" s="10"/>
      <c r="O4" s="16"/>
    </row>
    <row r="5" spans="1:15" ht="12" customHeight="1">
      <c r="B5" s="71" t="s">
        <v>107</v>
      </c>
      <c r="C5" s="91">
        <v>210</v>
      </c>
      <c r="D5" s="92"/>
      <c r="E5" s="95">
        <v>0</v>
      </c>
      <c r="F5" s="72"/>
      <c r="G5" s="72"/>
      <c r="I5" s="10"/>
      <c r="J5" s="10"/>
      <c r="K5" s="16"/>
      <c r="M5" s="10">
        <f>(4634.54/6)*1</f>
        <v>772.42333333333329</v>
      </c>
      <c r="N5" s="10" t="s">
        <v>1012</v>
      </c>
      <c r="O5" s="16"/>
    </row>
    <row r="6" spans="1:15">
      <c r="B6" s="71" t="s">
        <v>125</v>
      </c>
      <c r="C6" s="91">
        <v>700</v>
      </c>
      <c r="D6" s="92"/>
      <c r="E6" s="95">
        <f>C6</f>
        <v>700</v>
      </c>
      <c r="F6" s="72"/>
      <c r="G6" s="72"/>
      <c r="M6" s="10"/>
      <c r="N6" s="10"/>
      <c r="O6" s="16"/>
    </row>
    <row r="7" spans="1:15">
      <c r="B7" s="99" t="s">
        <v>1040</v>
      </c>
      <c r="C7" s="96">
        <v>1639.92</v>
      </c>
      <c r="D7" s="97"/>
      <c r="E7" s="63">
        <v>0</v>
      </c>
      <c r="F7" s="64"/>
      <c r="G7" s="64" t="s">
        <v>58</v>
      </c>
      <c r="M7" s="10"/>
      <c r="N7" s="10"/>
      <c r="O7" s="16"/>
    </row>
    <row r="8" spans="1:15">
      <c r="B8" s="99" t="s">
        <v>714</v>
      </c>
      <c r="C8" s="96">
        <v>-4</v>
      </c>
      <c r="D8" s="97"/>
      <c r="E8" s="63">
        <v>0</v>
      </c>
      <c r="F8" s="64"/>
      <c r="G8" s="64" t="s">
        <v>58</v>
      </c>
      <c r="M8" s="144">
        <f>SUM(M3:M7)</f>
        <v>2458.1083333333331</v>
      </c>
      <c r="N8" s="144" t="s">
        <v>564</v>
      </c>
      <c r="O8" s="145"/>
    </row>
    <row r="9" spans="1:15">
      <c r="B9" s="99" t="s">
        <v>965</v>
      </c>
      <c r="C9" s="96">
        <v>-600</v>
      </c>
      <c r="D9" s="97"/>
      <c r="E9" s="63">
        <v>0</v>
      </c>
      <c r="F9" s="64"/>
      <c r="G9" s="64" t="s">
        <v>58</v>
      </c>
    </row>
    <row r="10" spans="1:15" ht="14.25" customHeight="1">
      <c r="B10" s="99" t="s">
        <v>934</v>
      </c>
      <c r="C10" s="96">
        <v>-200</v>
      </c>
      <c r="D10" s="97"/>
      <c r="E10" s="63">
        <v>0</v>
      </c>
      <c r="F10" s="64"/>
      <c r="G10" s="64" t="s">
        <v>58</v>
      </c>
      <c r="M10" s="221" t="s">
        <v>707</v>
      </c>
      <c r="N10" s="221" t="s">
        <v>408</v>
      </c>
      <c r="O10" s="221" t="s">
        <v>1</v>
      </c>
    </row>
    <row r="11" spans="1:15">
      <c r="A11" t="s">
        <v>1022</v>
      </c>
      <c r="B11" s="99" t="s">
        <v>312</v>
      </c>
      <c r="C11" s="96">
        <v>-100</v>
      </c>
      <c r="D11" s="97"/>
      <c r="E11" s="63">
        <v>0</v>
      </c>
      <c r="F11" s="64"/>
      <c r="G11" s="64" t="s">
        <v>58</v>
      </c>
      <c r="M11" s="10">
        <v>7283.38</v>
      </c>
      <c r="N11" s="10" t="s">
        <v>1015</v>
      </c>
      <c r="O11" s="16"/>
    </row>
    <row r="12" spans="1:15">
      <c r="A12" t="s">
        <v>1022</v>
      </c>
      <c r="B12" s="99" t="s">
        <v>103</v>
      </c>
      <c r="C12" s="96">
        <v>-2734.3</v>
      </c>
      <c r="D12" s="97"/>
      <c r="E12" s="63">
        <v>0</v>
      </c>
      <c r="F12" s="64"/>
      <c r="G12" s="64" t="s">
        <v>58</v>
      </c>
      <c r="M12" s="10">
        <f>(4634.54/6)*5</f>
        <v>3862.1166666666663</v>
      </c>
      <c r="N12" s="10" t="s">
        <v>1012</v>
      </c>
      <c r="O12" s="16"/>
    </row>
    <row r="13" spans="1:15">
      <c r="B13" s="99" t="s">
        <v>102</v>
      </c>
      <c r="C13" s="96">
        <v>-2555.02</v>
      </c>
      <c r="D13" s="97"/>
      <c r="E13" s="63">
        <v>0</v>
      </c>
      <c r="F13" s="64"/>
      <c r="G13" s="64" t="s">
        <v>58</v>
      </c>
      <c r="M13" s="10">
        <f>(3371.37/4)*2</f>
        <v>1685.6849999999999</v>
      </c>
      <c r="N13" s="10" t="s">
        <v>1010</v>
      </c>
      <c r="O13" s="16"/>
    </row>
    <row r="14" spans="1:15">
      <c r="B14" s="99" t="s">
        <v>1032</v>
      </c>
      <c r="C14" s="96">
        <v>-99</v>
      </c>
      <c r="D14" s="97"/>
      <c r="E14" s="63">
        <v>0</v>
      </c>
      <c r="F14" s="64"/>
      <c r="G14" s="64" t="s">
        <v>58</v>
      </c>
      <c r="M14" s="10"/>
      <c r="N14" s="10"/>
      <c r="O14" s="16"/>
    </row>
    <row r="15" spans="1:15">
      <c r="B15" s="99" t="s">
        <v>73</v>
      </c>
      <c r="C15" s="96">
        <v>-421.71</v>
      </c>
      <c r="D15" s="97"/>
      <c r="E15" s="63">
        <v>0</v>
      </c>
      <c r="F15" s="64"/>
      <c r="G15" s="64" t="s">
        <v>58</v>
      </c>
      <c r="M15" s="10">
        <v>7400</v>
      </c>
      <c r="N15" s="10" t="s">
        <v>1041</v>
      </c>
      <c r="O15" s="16"/>
    </row>
    <row r="16" spans="1:15">
      <c r="B16" s="99" t="s">
        <v>1042</v>
      </c>
      <c r="C16" s="96">
        <v>-67</v>
      </c>
      <c r="D16" s="97"/>
      <c r="E16" s="63">
        <v>0</v>
      </c>
      <c r="F16" s="64"/>
      <c r="G16" s="64" t="s">
        <v>58</v>
      </c>
      <c r="M16" s="10"/>
      <c r="N16" s="10"/>
      <c r="O16" s="16"/>
    </row>
    <row r="17" spans="2:19">
      <c r="B17" s="99" t="s">
        <v>1017</v>
      </c>
      <c r="C17" s="96">
        <v>-400</v>
      </c>
      <c r="D17" s="97"/>
      <c r="E17" s="63">
        <v>0</v>
      </c>
      <c r="F17" s="64"/>
      <c r="G17" s="64" t="s">
        <v>58</v>
      </c>
      <c r="M17" s="144">
        <f>SUM(M11:M16)</f>
        <v>20231.181666666664</v>
      </c>
      <c r="N17" s="144" t="s">
        <v>1031</v>
      </c>
      <c r="O17" s="145"/>
    </row>
    <row r="18" spans="2:19">
      <c r="B18" s="99" t="s">
        <v>1043</v>
      </c>
      <c r="C18" s="96">
        <f>-350-125</f>
        <v>-475</v>
      </c>
      <c r="D18" s="97"/>
      <c r="E18" s="63">
        <v>0</v>
      </c>
      <c r="F18" s="64"/>
      <c r="G18" s="64" t="s">
        <v>58</v>
      </c>
      <c r="H18" s="143"/>
    </row>
    <row r="19" spans="2:19" ht="15.75">
      <c r="B19" s="99" t="s">
        <v>718</v>
      </c>
      <c r="C19" s="96">
        <v>250</v>
      </c>
      <c r="D19" s="97"/>
      <c r="E19" s="63">
        <v>0</v>
      </c>
      <c r="F19" s="64"/>
      <c r="G19" s="64" t="s">
        <v>58</v>
      </c>
      <c r="M19" s="221" t="s">
        <v>1018</v>
      </c>
      <c r="N19" s="221" t="s">
        <v>1019</v>
      </c>
      <c r="O19" s="221" t="s">
        <v>1020</v>
      </c>
    </row>
    <row r="20" spans="2:19">
      <c r="B20" s="99" t="s">
        <v>171</v>
      </c>
      <c r="C20" s="96">
        <v>-180.47</v>
      </c>
      <c r="D20" s="97"/>
      <c r="E20" s="63">
        <v>0</v>
      </c>
      <c r="F20" s="64"/>
      <c r="G20" s="64" t="s">
        <v>58</v>
      </c>
      <c r="M20" s="10" t="s">
        <v>1015</v>
      </c>
      <c r="N20" s="184">
        <v>0</v>
      </c>
      <c r="O20" s="185">
        <v>8</v>
      </c>
      <c r="R20" s="161"/>
      <c r="S20" s="161"/>
    </row>
    <row r="21" spans="2:19">
      <c r="B21" s="99" t="s">
        <v>1044</v>
      </c>
      <c r="C21" s="96">
        <v>-60</v>
      </c>
      <c r="D21" s="97"/>
      <c r="E21" s="63">
        <v>0</v>
      </c>
      <c r="F21" s="64"/>
      <c r="G21" s="64" t="s">
        <v>58</v>
      </c>
      <c r="M21" s="10" t="s">
        <v>1010</v>
      </c>
      <c r="N21" s="184">
        <v>2</v>
      </c>
      <c r="O21" s="185">
        <v>2</v>
      </c>
      <c r="R21" s="161"/>
      <c r="S21" s="161"/>
    </row>
    <row r="22" spans="2:19">
      <c r="B22" s="99" t="s">
        <v>718</v>
      </c>
      <c r="C22" s="96">
        <v>-299.06</v>
      </c>
      <c r="D22" s="97"/>
      <c r="E22" s="63">
        <v>0</v>
      </c>
      <c r="F22" s="64"/>
      <c r="G22" s="64" t="s">
        <v>58</v>
      </c>
      <c r="M22" s="10" t="s">
        <v>1012</v>
      </c>
      <c r="N22" s="184">
        <v>1</v>
      </c>
      <c r="O22" s="185">
        <v>5</v>
      </c>
      <c r="R22" s="161"/>
      <c r="S22" s="161"/>
    </row>
    <row r="23" spans="2:19">
      <c r="B23" s="99" t="s">
        <v>755</v>
      </c>
      <c r="C23" s="96">
        <v>4659.0600000000004</v>
      </c>
      <c r="D23" s="97"/>
      <c r="E23" s="63">
        <v>0</v>
      </c>
      <c r="F23" s="64"/>
      <c r="G23" s="64" t="s">
        <v>58</v>
      </c>
      <c r="M23" s="10" t="s">
        <v>1011</v>
      </c>
      <c r="N23" s="184">
        <v>0</v>
      </c>
      <c r="O23" s="185">
        <v>0</v>
      </c>
    </row>
    <row r="24" spans="2:19">
      <c r="B24" s="99" t="s">
        <v>1045</v>
      </c>
      <c r="C24" s="96">
        <v>-459.69</v>
      </c>
      <c r="D24" s="97"/>
      <c r="E24" s="63">
        <v>0</v>
      </c>
      <c r="F24" s="64"/>
      <c r="G24" s="64" t="s">
        <v>58</v>
      </c>
    </row>
    <row r="25" spans="2:19">
      <c r="B25" s="99" t="s">
        <v>41</v>
      </c>
      <c r="C25" s="96">
        <v>-69.239999999999995</v>
      </c>
      <c r="D25" s="97"/>
      <c r="E25" s="63">
        <v>0</v>
      </c>
      <c r="F25" s="64"/>
      <c r="G25" s="64" t="s">
        <v>58</v>
      </c>
    </row>
    <row r="26" spans="2:19">
      <c r="B26" s="99" t="s">
        <v>586</v>
      </c>
      <c r="C26" s="96">
        <v>-134.6</v>
      </c>
      <c r="D26" s="97"/>
      <c r="E26" s="63">
        <v>0</v>
      </c>
      <c r="F26" s="64"/>
      <c r="G26" s="64" t="s">
        <v>58</v>
      </c>
    </row>
    <row r="27" spans="2:19">
      <c r="B27" s="99" t="s">
        <v>924</v>
      </c>
      <c r="C27" s="96">
        <v>-40.24</v>
      </c>
      <c r="D27" s="97"/>
      <c r="E27" s="63">
        <v>0</v>
      </c>
      <c r="F27" s="64"/>
      <c r="G27" s="64" t="s">
        <v>58</v>
      </c>
    </row>
    <row r="28" spans="2:19">
      <c r="B28" s="99" t="s">
        <v>686</v>
      </c>
      <c r="C28" s="96">
        <v>-710.18</v>
      </c>
      <c r="D28" s="97"/>
      <c r="E28" s="63">
        <v>0</v>
      </c>
      <c r="F28" s="64"/>
      <c r="G28" s="64" t="s">
        <v>58</v>
      </c>
    </row>
    <row r="29" spans="2:19" ht="18">
      <c r="B29" s="74" t="s">
        <v>45</v>
      </c>
      <c r="C29" s="101"/>
      <c r="D29" s="98"/>
      <c r="E29" s="129">
        <f>SUM(E3:E28)</f>
        <v>4100.8999999999996</v>
      </c>
      <c r="F29" s="75"/>
      <c r="G29"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4.xml><?xml version="1.0" encoding="utf-8"?>
<worksheet xmlns="http://schemas.openxmlformats.org/spreadsheetml/2006/main" xmlns:r="http://schemas.openxmlformats.org/officeDocument/2006/relationships">
  <sheetPr>
    <pageSetUpPr autoPageBreaks="0"/>
  </sheetPr>
  <dimension ref="A1:S28"/>
  <sheetViews>
    <sheetView zoomScale="75" zoomScaleNormal="75" zoomScalePageLayoutView="75" workbookViewId="0">
      <selection activeCell="E17" activeCellId="1" sqref="G13 E17"/>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8" max="18" width="11.140625" customWidth="1"/>
    <col min="19" max="19" width="9.42578125"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B3" s="71" t="s">
        <v>56</v>
      </c>
      <c r="C3" s="91">
        <v>0</v>
      </c>
      <c r="D3" s="92">
        <v>0</v>
      </c>
      <c r="E3" s="95">
        <v>-76.45</v>
      </c>
      <c r="F3" s="72"/>
      <c r="G3" s="72"/>
      <c r="I3" s="10">
        <v>-2181.9899999999998</v>
      </c>
      <c r="J3" s="10" t="s">
        <v>914</v>
      </c>
      <c r="K3" s="16"/>
      <c r="M3" s="10">
        <f>(3408.71/4)*2</f>
        <v>1704.355</v>
      </c>
      <c r="N3" s="10" t="s">
        <v>1010</v>
      </c>
      <c r="O3" s="16"/>
    </row>
    <row r="4" spans="1:15" ht="12" customHeight="1">
      <c r="B4" s="71" t="s">
        <v>5</v>
      </c>
      <c r="C4" s="91">
        <v>7719.19</v>
      </c>
      <c r="D4" s="92"/>
      <c r="E4" s="95">
        <v>0</v>
      </c>
      <c r="F4" s="72"/>
      <c r="G4" s="72"/>
      <c r="I4" s="10">
        <v>0</v>
      </c>
      <c r="J4" s="10" t="s">
        <v>915</v>
      </c>
      <c r="K4" s="16"/>
      <c r="M4" s="10" t="s">
        <v>1022</v>
      </c>
      <c r="N4" s="10"/>
      <c r="O4" s="16"/>
    </row>
    <row r="5" spans="1:15" ht="12" customHeight="1">
      <c r="B5" s="71">
        <v>13</v>
      </c>
      <c r="C5" s="91">
        <v>4426.47</v>
      </c>
      <c r="D5" s="92"/>
      <c r="E5" s="95">
        <v>0</v>
      </c>
      <c r="F5" s="72"/>
      <c r="G5" s="72"/>
      <c r="I5" s="10"/>
      <c r="J5" s="10"/>
      <c r="K5" s="16"/>
      <c r="M5" s="10">
        <f>(4696.99/6)*1</f>
        <v>782.83166666666659</v>
      </c>
      <c r="N5" s="10" t="s">
        <v>1012</v>
      </c>
      <c r="O5" s="16"/>
    </row>
    <row r="6" spans="1:15">
      <c r="B6" s="71" t="s">
        <v>1046</v>
      </c>
      <c r="C6" s="91">
        <v>270.68</v>
      </c>
      <c r="D6" s="92"/>
      <c r="E6" s="95">
        <v>0</v>
      </c>
      <c r="F6" s="72"/>
      <c r="G6" s="72"/>
      <c r="M6" s="10">
        <v>210</v>
      </c>
      <c r="N6" s="10" t="s">
        <v>1024</v>
      </c>
      <c r="O6" s="16"/>
    </row>
    <row r="7" spans="1:15">
      <c r="B7" s="71" t="s">
        <v>183</v>
      </c>
      <c r="C7" s="91">
        <v>700</v>
      </c>
      <c r="D7" s="92"/>
      <c r="E7" s="95">
        <v>0</v>
      </c>
      <c r="F7" s="72"/>
      <c r="G7" s="72"/>
      <c r="M7" s="10"/>
      <c r="N7" s="10"/>
      <c r="O7" s="16"/>
    </row>
    <row r="8" spans="1:15">
      <c r="B8" s="71" t="s">
        <v>1047</v>
      </c>
      <c r="C8" s="91">
        <v>100</v>
      </c>
      <c r="D8" s="92"/>
      <c r="E8" s="95">
        <f>C8</f>
        <v>100</v>
      </c>
      <c r="F8" s="72"/>
      <c r="G8" s="72"/>
      <c r="M8" s="144">
        <f>SUM(M3:M7)</f>
        <v>2697.1866666666665</v>
      </c>
      <c r="N8" s="144" t="s">
        <v>564</v>
      </c>
      <c r="O8" s="145"/>
    </row>
    <row r="9" spans="1:15">
      <c r="B9" s="99" t="s">
        <v>714</v>
      </c>
      <c r="C9" s="96">
        <v>-4</v>
      </c>
      <c r="D9" s="97"/>
      <c r="E9" s="63">
        <v>0</v>
      </c>
      <c r="F9" s="64"/>
      <c r="G9" s="64" t="s">
        <v>58</v>
      </c>
    </row>
    <row r="10" spans="1:15" ht="14.25" customHeight="1">
      <c r="B10" s="99" t="s">
        <v>965</v>
      </c>
      <c r="C10" s="96">
        <v>-600</v>
      </c>
      <c r="D10" s="97"/>
      <c r="E10" s="63">
        <v>0</v>
      </c>
      <c r="F10" s="64"/>
      <c r="G10" s="64" t="s">
        <v>58</v>
      </c>
      <c r="M10" s="221" t="s">
        <v>707</v>
      </c>
      <c r="N10" s="221" t="s">
        <v>408</v>
      </c>
      <c r="O10" s="221" t="s">
        <v>1</v>
      </c>
    </row>
    <row r="11" spans="1:15">
      <c r="A11" t="s">
        <v>1022</v>
      </c>
      <c r="B11" s="99" t="s">
        <v>934</v>
      </c>
      <c r="C11" s="96">
        <v>-210</v>
      </c>
      <c r="D11" s="97"/>
      <c r="E11" s="63">
        <v>0</v>
      </c>
      <c r="F11" s="64"/>
      <c r="G11" s="64" t="s">
        <v>58</v>
      </c>
      <c r="M11" s="10">
        <v>7332.77</v>
      </c>
      <c r="N11" s="10" t="s">
        <v>1015</v>
      </c>
      <c r="O11" s="16"/>
    </row>
    <row r="12" spans="1:15">
      <c r="A12" t="s">
        <v>1022</v>
      </c>
      <c r="B12" s="99" t="s">
        <v>312</v>
      </c>
      <c r="C12" s="96">
        <v>-100</v>
      </c>
      <c r="D12" s="97"/>
      <c r="E12" s="63">
        <v>0</v>
      </c>
      <c r="F12" s="64"/>
      <c r="G12" s="64" t="s">
        <v>58</v>
      </c>
      <c r="M12" s="10">
        <f>(3408.71/4)*2</f>
        <v>1704.355</v>
      </c>
      <c r="N12" s="10" t="s">
        <v>1010</v>
      </c>
      <c r="O12" s="16"/>
    </row>
    <row r="13" spans="1:15">
      <c r="B13" s="99" t="s">
        <v>103</v>
      </c>
      <c r="C13" s="96">
        <v>-2722.27</v>
      </c>
      <c r="D13" s="97"/>
      <c r="E13" s="63">
        <v>0</v>
      </c>
      <c r="F13" s="64"/>
      <c r="G13" s="64" t="s">
        <v>58</v>
      </c>
      <c r="M13" s="10">
        <f>(4696.99/6)*5</f>
        <v>3914.1583333333328</v>
      </c>
      <c r="N13" s="10" t="s">
        <v>1012</v>
      </c>
      <c r="O13" s="16"/>
    </row>
    <row r="14" spans="1:15">
      <c r="B14" s="99" t="s">
        <v>102</v>
      </c>
      <c r="C14" s="96">
        <v>-7075.1</v>
      </c>
      <c r="D14" s="97"/>
      <c r="E14" s="63">
        <v>0</v>
      </c>
      <c r="F14" s="64"/>
      <c r="G14" s="64" t="s">
        <v>58</v>
      </c>
      <c r="M14" s="10">
        <v>6309.29</v>
      </c>
      <c r="N14" s="10" t="s">
        <v>1048</v>
      </c>
      <c r="O14" s="16"/>
    </row>
    <row r="15" spans="1:15">
      <c r="B15" s="99" t="s">
        <v>1032</v>
      </c>
      <c r="C15" s="96">
        <v>0</v>
      </c>
      <c r="D15" s="97"/>
      <c r="E15" s="63">
        <v>0</v>
      </c>
      <c r="F15" s="64"/>
      <c r="G15" s="64" t="s">
        <v>58</v>
      </c>
      <c r="M15" s="10"/>
      <c r="N15" s="10"/>
      <c r="O15" s="16"/>
    </row>
    <row r="16" spans="1:15">
      <c r="B16" s="99" t="s">
        <v>1049</v>
      </c>
      <c r="C16" s="96">
        <v>-3610</v>
      </c>
      <c r="D16" s="97"/>
      <c r="E16" s="63">
        <v>0</v>
      </c>
      <c r="F16" s="64"/>
      <c r="G16" s="64" t="s">
        <v>58</v>
      </c>
      <c r="M16" s="10"/>
      <c r="N16" s="10"/>
      <c r="O16" s="16"/>
    </row>
    <row r="17" spans="2:19">
      <c r="B17" s="99" t="s">
        <v>1050</v>
      </c>
      <c r="C17" s="96">
        <v>-175</v>
      </c>
      <c r="D17" s="97"/>
      <c r="E17" s="63">
        <v>0</v>
      </c>
      <c r="F17" s="64"/>
      <c r="G17" s="64" t="s">
        <v>58</v>
      </c>
      <c r="M17" s="144">
        <f>SUM(M11:M16)</f>
        <v>19260.573333333334</v>
      </c>
      <c r="N17" s="144" t="s">
        <v>1031</v>
      </c>
      <c r="O17" s="145"/>
    </row>
    <row r="18" spans="2:19">
      <c r="B18" s="99" t="s">
        <v>755</v>
      </c>
      <c r="C18" s="96">
        <v>-781.81</v>
      </c>
      <c r="D18" s="97"/>
      <c r="E18" s="63">
        <v>0</v>
      </c>
      <c r="F18" s="64"/>
      <c r="G18" s="64" t="s">
        <v>58</v>
      </c>
      <c r="H18" s="143"/>
    </row>
    <row r="19" spans="2:19" ht="15.75">
      <c r="B19" s="99" t="s">
        <v>1051</v>
      </c>
      <c r="C19" s="96">
        <v>-665</v>
      </c>
      <c r="D19" s="97"/>
      <c r="E19" s="63">
        <v>0</v>
      </c>
      <c r="F19" s="64"/>
      <c r="G19" s="64" t="s">
        <v>58</v>
      </c>
      <c r="M19" s="221" t="s">
        <v>1018</v>
      </c>
      <c r="N19" s="221" t="s">
        <v>1019</v>
      </c>
      <c r="O19" s="221" t="s">
        <v>1020</v>
      </c>
    </row>
    <row r="20" spans="2:19">
      <c r="B20" s="99" t="s">
        <v>1052</v>
      </c>
      <c r="C20" s="96">
        <v>665</v>
      </c>
      <c r="D20" s="97"/>
      <c r="E20" s="63">
        <v>0</v>
      </c>
      <c r="F20" s="64"/>
      <c r="G20" s="64" t="s">
        <v>58</v>
      </c>
      <c r="M20" s="10" t="s">
        <v>1015</v>
      </c>
      <c r="N20" s="184">
        <v>0</v>
      </c>
      <c r="O20" s="185">
        <v>8</v>
      </c>
      <c r="R20" s="161"/>
      <c r="S20" s="161"/>
    </row>
    <row r="21" spans="2:19">
      <c r="B21" s="99" t="s">
        <v>73</v>
      </c>
      <c r="C21" s="96">
        <v>-452.17</v>
      </c>
      <c r="D21" s="97"/>
      <c r="E21" s="63">
        <v>0</v>
      </c>
      <c r="F21" s="64"/>
      <c r="G21" s="64" t="s">
        <v>58</v>
      </c>
      <c r="M21" s="10" t="s">
        <v>1010</v>
      </c>
      <c r="N21" s="184">
        <v>2</v>
      </c>
      <c r="O21" s="185">
        <v>2</v>
      </c>
      <c r="R21" s="161"/>
      <c r="S21" s="161"/>
    </row>
    <row r="22" spans="2:19">
      <c r="B22" s="99" t="s">
        <v>1053</v>
      </c>
      <c r="C22" s="96">
        <v>-67</v>
      </c>
      <c r="D22" s="97"/>
      <c r="E22" s="63">
        <v>0</v>
      </c>
      <c r="F22" s="64"/>
      <c r="G22" s="64" t="s">
        <v>58</v>
      </c>
      <c r="M22" s="10" t="s">
        <v>1012</v>
      </c>
      <c r="N22" s="184">
        <v>1</v>
      </c>
      <c r="O22" s="185">
        <v>5</v>
      </c>
      <c r="R22" s="161"/>
      <c r="S22" s="161"/>
    </row>
    <row r="23" spans="2:19">
      <c r="B23" s="99" t="s">
        <v>1054</v>
      </c>
      <c r="C23" s="96">
        <v>-153.22999999999999</v>
      </c>
      <c r="D23" s="97"/>
      <c r="E23" s="63">
        <v>0</v>
      </c>
      <c r="F23" s="64"/>
      <c r="G23" s="64" t="s">
        <v>58</v>
      </c>
      <c r="M23" s="10" t="s">
        <v>1055</v>
      </c>
      <c r="N23" s="184">
        <v>0</v>
      </c>
      <c r="O23" s="185">
        <v>0</v>
      </c>
    </row>
    <row r="24" spans="2:19">
      <c r="B24" s="99" t="s">
        <v>41</v>
      </c>
      <c r="C24" s="96">
        <v>-60.24</v>
      </c>
      <c r="D24" s="97"/>
      <c r="E24" s="163">
        <f>C24</f>
        <v>-60.24</v>
      </c>
      <c r="F24" s="164"/>
      <c r="G24" s="164"/>
    </row>
    <row r="25" spans="2:19">
      <c r="B25" s="99" t="s">
        <v>586</v>
      </c>
      <c r="C25" s="96">
        <v>-135.33000000000001</v>
      </c>
      <c r="D25" s="97"/>
      <c r="E25" s="63">
        <v>0</v>
      </c>
      <c r="F25" s="64"/>
      <c r="G25" s="64" t="s">
        <v>58</v>
      </c>
    </row>
    <row r="26" spans="2:19">
      <c r="B26" s="99" t="s">
        <v>924</v>
      </c>
      <c r="C26" s="96">
        <v>-38.07</v>
      </c>
      <c r="D26" s="97"/>
      <c r="E26" s="63">
        <v>0</v>
      </c>
      <c r="F26" s="64"/>
      <c r="G26" s="64" t="s">
        <v>58</v>
      </c>
    </row>
    <row r="27" spans="2:19">
      <c r="B27" s="99" t="s">
        <v>686</v>
      </c>
      <c r="C27" s="96">
        <v>-710.18</v>
      </c>
      <c r="D27" s="97"/>
      <c r="E27" s="63">
        <v>0</v>
      </c>
      <c r="F27" s="64"/>
      <c r="G27" s="64" t="s">
        <v>58</v>
      </c>
    </row>
    <row r="28" spans="2:19" ht="18">
      <c r="B28" s="74" t="s">
        <v>45</v>
      </c>
      <c r="C28" s="101"/>
      <c r="D28" s="98"/>
      <c r="E28" s="129">
        <f>SUM(E3:E27)</f>
        <v>-36.690000000000005</v>
      </c>
      <c r="F28" s="75"/>
      <c r="G28"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5.xml><?xml version="1.0" encoding="utf-8"?>
<worksheet xmlns="http://schemas.openxmlformats.org/spreadsheetml/2006/main" xmlns:r="http://schemas.openxmlformats.org/officeDocument/2006/relationships">
  <sheetPr>
    <pageSetUpPr autoPageBreaks="0"/>
  </sheetPr>
  <dimension ref="A1:R31"/>
  <sheetViews>
    <sheetView zoomScale="75" zoomScaleNormal="75" zoomScalePageLayoutView="75" workbookViewId="0">
      <selection activeCell="C26" sqref="C26"/>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7" max="17" width="11.140625" customWidth="1"/>
    <col min="18" max="18" width="9.42578125"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A3">
        <v>7090.88</v>
      </c>
      <c r="B3" s="71" t="s">
        <v>56</v>
      </c>
      <c r="C3" s="91">
        <v>0</v>
      </c>
      <c r="D3" s="92">
        <v>0</v>
      </c>
      <c r="E3" s="95">
        <v>706.82</v>
      </c>
      <c r="F3" s="72"/>
      <c r="G3" s="72"/>
      <c r="I3" s="10">
        <v>3338.66</v>
      </c>
      <c r="J3" s="10" t="s">
        <v>914</v>
      </c>
      <c r="K3" s="16"/>
      <c r="M3" s="10">
        <f>(3415.88/4)*2</f>
        <v>1707.94</v>
      </c>
      <c r="N3" s="10" t="s">
        <v>1010</v>
      </c>
      <c r="O3" s="16"/>
    </row>
    <row r="4" spans="1:15" ht="12" customHeight="1">
      <c r="B4" s="71" t="s">
        <v>5</v>
      </c>
      <c r="C4" s="91">
        <v>7972.33</v>
      </c>
      <c r="D4" s="92"/>
      <c r="E4" s="95">
        <v>0</v>
      </c>
      <c r="F4" s="72"/>
      <c r="G4" s="72"/>
      <c r="I4" s="10">
        <v>0</v>
      </c>
      <c r="J4" s="10" t="s">
        <v>915</v>
      </c>
      <c r="K4" s="16"/>
      <c r="M4" s="10">
        <f>(4704.36/6)*1</f>
        <v>784.06</v>
      </c>
      <c r="N4" s="10" t="s">
        <v>1012</v>
      </c>
      <c r="O4" s="16"/>
    </row>
    <row r="5" spans="1:15" ht="12" customHeight="1">
      <c r="B5" s="71" t="s">
        <v>945</v>
      </c>
      <c r="C5" s="91">
        <v>4205.21</v>
      </c>
      <c r="D5" s="92"/>
      <c r="E5" s="95">
        <v>0</v>
      </c>
      <c r="F5" s="72"/>
      <c r="G5" s="72"/>
      <c r="I5" s="10"/>
      <c r="J5" s="10"/>
      <c r="K5" s="16"/>
      <c r="M5" s="10">
        <v>421.72</v>
      </c>
      <c r="N5" s="10" t="s">
        <v>1024</v>
      </c>
      <c r="O5" s="16"/>
    </row>
    <row r="6" spans="1:15">
      <c r="B6" s="186">
        <v>14</v>
      </c>
      <c r="C6" s="91">
        <v>5430.52</v>
      </c>
      <c r="D6" s="92"/>
      <c r="E6" s="95">
        <v>0</v>
      </c>
      <c r="F6" s="72"/>
      <c r="G6" s="72"/>
      <c r="M6" s="10">
        <f>72.19*2.03</f>
        <v>146.54569999999998</v>
      </c>
      <c r="N6" s="10" t="s">
        <v>1056</v>
      </c>
      <c r="O6" s="16"/>
    </row>
    <row r="7" spans="1:15">
      <c r="B7" s="186" t="s">
        <v>107</v>
      </c>
      <c r="C7" s="91">
        <v>104</v>
      </c>
      <c r="D7" s="92"/>
      <c r="E7" s="95">
        <v>0</v>
      </c>
      <c r="F7" s="72"/>
      <c r="G7" s="72"/>
      <c r="M7" s="144">
        <f>SUM(M3:M6)</f>
        <v>3060.2657000000004</v>
      </c>
      <c r="N7" s="144" t="s">
        <v>564</v>
      </c>
      <c r="O7" s="145"/>
    </row>
    <row r="8" spans="1:15">
      <c r="B8" s="186" t="s">
        <v>1057</v>
      </c>
      <c r="C8" s="91">
        <v>36.83</v>
      </c>
      <c r="D8" s="92"/>
      <c r="E8" s="95">
        <v>0</v>
      </c>
      <c r="F8" s="72"/>
      <c r="G8" s="72"/>
    </row>
    <row r="9" spans="1:15" ht="15.75">
      <c r="B9" s="99" t="s">
        <v>714</v>
      </c>
      <c r="C9" s="96">
        <v>-10</v>
      </c>
      <c r="D9" s="97"/>
      <c r="E9" s="63">
        <v>0</v>
      </c>
      <c r="F9" s="64"/>
      <c r="G9" s="64" t="s">
        <v>58</v>
      </c>
      <c r="M9" s="221" t="s">
        <v>707</v>
      </c>
      <c r="N9" s="221" t="s">
        <v>408</v>
      </c>
      <c r="O9" s="221" t="s">
        <v>1</v>
      </c>
    </row>
    <row r="10" spans="1:15" ht="14.25" customHeight="1">
      <c r="B10" s="99" t="s">
        <v>965</v>
      </c>
      <c r="C10" s="96">
        <v>-600</v>
      </c>
      <c r="D10" s="97"/>
      <c r="E10" s="63">
        <v>0</v>
      </c>
      <c r="F10" s="64"/>
      <c r="G10" s="64" t="s">
        <v>58</v>
      </c>
      <c r="M10" s="10">
        <v>7370.53</v>
      </c>
      <c r="N10" s="10" t="s">
        <v>1015</v>
      </c>
      <c r="O10" s="16"/>
    </row>
    <row r="11" spans="1:15">
      <c r="A11" t="s">
        <v>1022</v>
      </c>
      <c r="B11" s="99" t="s">
        <v>1058</v>
      </c>
      <c r="C11" s="96">
        <v>-3155.02</v>
      </c>
      <c r="D11" s="97"/>
      <c r="E11" s="63">
        <v>0</v>
      </c>
      <c r="F11" s="64"/>
      <c r="G11" s="64" t="s">
        <v>58</v>
      </c>
      <c r="M11" s="10">
        <f>(3415.88/4)*2</f>
        <v>1707.94</v>
      </c>
      <c r="N11" s="10" t="s">
        <v>1010</v>
      </c>
      <c r="O11" s="16"/>
    </row>
    <row r="12" spans="1:15">
      <c r="A12" t="s">
        <v>1022</v>
      </c>
      <c r="B12" s="99" t="s">
        <v>1059</v>
      </c>
      <c r="C12" s="96">
        <v>-2266</v>
      </c>
      <c r="D12" s="97"/>
      <c r="E12" s="63">
        <v>0</v>
      </c>
      <c r="F12" s="64"/>
      <c r="G12" s="64" t="s">
        <v>58</v>
      </c>
      <c r="M12" s="10">
        <f>(4704.36/6)*5</f>
        <v>3920.2999999999997</v>
      </c>
      <c r="N12" s="10" t="s">
        <v>1012</v>
      </c>
      <c r="O12" s="16"/>
    </row>
    <row r="13" spans="1:15">
      <c r="B13" s="99" t="s">
        <v>1060</v>
      </c>
      <c r="C13" s="96">
        <v>-580</v>
      </c>
      <c r="D13" s="97"/>
      <c r="E13" s="63">
        <v>0</v>
      </c>
      <c r="F13" s="64"/>
      <c r="G13" s="64" t="s">
        <v>58</v>
      </c>
      <c r="M13" s="10">
        <v>6389.57</v>
      </c>
      <c r="N13" s="10" t="s">
        <v>1048</v>
      </c>
      <c r="O13" s="16"/>
    </row>
    <row r="14" spans="1:15">
      <c r="B14" s="99" t="s">
        <v>934</v>
      </c>
      <c r="C14" s="96">
        <v>-210</v>
      </c>
      <c r="D14" s="97"/>
      <c r="E14" s="63">
        <v>0</v>
      </c>
      <c r="F14" s="64"/>
      <c r="G14" s="64" t="s">
        <v>58</v>
      </c>
      <c r="M14" s="10">
        <v>904.35</v>
      </c>
      <c r="N14" s="10" t="s">
        <v>1061</v>
      </c>
      <c r="O14" s="16"/>
    </row>
    <row r="15" spans="1:15">
      <c r="B15" s="99" t="s">
        <v>1062</v>
      </c>
      <c r="C15" s="96">
        <v>-900</v>
      </c>
      <c r="D15" s="97"/>
      <c r="E15" s="63">
        <v>0</v>
      </c>
      <c r="F15" s="64"/>
      <c r="G15" s="64" t="s">
        <v>58</v>
      </c>
      <c r="I15" s="187"/>
      <c r="M15" s="10">
        <v>0</v>
      </c>
      <c r="N15" s="10" t="s">
        <v>1024</v>
      </c>
      <c r="O15" s="16"/>
    </row>
    <row r="16" spans="1:15">
      <c r="B16" s="99" t="s">
        <v>1063</v>
      </c>
      <c r="C16" s="96">
        <v>-1245</v>
      </c>
      <c r="D16" s="97"/>
      <c r="E16" s="63">
        <v>0</v>
      </c>
      <c r="F16" s="64"/>
      <c r="G16" s="64" t="s">
        <v>58</v>
      </c>
      <c r="M16" s="144">
        <f>SUM(M10:M15)</f>
        <v>20292.689999999995</v>
      </c>
      <c r="N16" s="144" t="s">
        <v>1031</v>
      </c>
      <c r="O16" s="145"/>
    </row>
    <row r="17" spans="2:18">
      <c r="B17" s="99" t="s">
        <v>1064</v>
      </c>
      <c r="C17" s="96">
        <v>-4000</v>
      </c>
      <c r="D17" s="97"/>
      <c r="E17" s="63">
        <v>0</v>
      </c>
      <c r="F17" s="64"/>
      <c r="G17" s="64" t="s">
        <v>58</v>
      </c>
    </row>
    <row r="18" spans="2:18" ht="15.75">
      <c r="B18" s="99" t="s">
        <v>755</v>
      </c>
      <c r="C18" s="96">
        <v>700</v>
      </c>
      <c r="D18" s="97"/>
      <c r="E18" s="63">
        <v>0</v>
      </c>
      <c r="F18" s="64"/>
      <c r="G18" s="64" t="s">
        <v>58</v>
      </c>
      <c r="H18" s="143"/>
      <c r="M18" s="221" t="s">
        <v>1018</v>
      </c>
      <c r="N18" s="221" t="s">
        <v>1019</v>
      </c>
      <c r="O18" s="221" t="s">
        <v>1020</v>
      </c>
    </row>
    <row r="19" spans="2:18">
      <c r="B19" s="99" t="s">
        <v>1065</v>
      </c>
      <c r="C19" s="96">
        <v>200</v>
      </c>
      <c r="D19" s="97"/>
      <c r="E19" s="63">
        <v>0</v>
      </c>
      <c r="F19" s="64"/>
      <c r="G19" s="64" t="s">
        <v>58</v>
      </c>
      <c r="M19" s="10" t="s">
        <v>1015</v>
      </c>
      <c r="N19" s="184">
        <v>0</v>
      </c>
      <c r="O19" s="185">
        <v>8</v>
      </c>
    </row>
    <row r="20" spans="2:18">
      <c r="B20" s="99" t="s">
        <v>755</v>
      </c>
      <c r="C20" s="96">
        <v>2004.5</v>
      </c>
      <c r="D20" s="97"/>
      <c r="E20" s="63">
        <v>0</v>
      </c>
      <c r="F20" s="64"/>
      <c r="G20" s="64" t="s">
        <v>58</v>
      </c>
      <c r="M20" s="10" t="s">
        <v>1010</v>
      </c>
      <c r="N20" s="184">
        <v>2</v>
      </c>
      <c r="O20" s="185">
        <v>2</v>
      </c>
      <c r="Q20" s="161"/>
      <c r="R20" s="161"/>
    </row>
    <row r="21" spans="2:18">
      <c r="B21" s="99" t="s">
        <v>312</v>
      </c>
      <c r="C21" s="96">
        <v>-50</v>
      </c>
      <c r="D21" s="97"/>
      <c r="E21" s="63">
        <v>0</v>
      </c>
      <c r="F21" s="64"/>
      <c r="G21" s="64" t="s">
        <v>58</v>
      </c>
      <c r="M21" s="10" t="s">
        <v>1012</v>
      </c>
      <c r="N21" s="184">
        <v>1</v>
      </c>
      <c r="O21" s="185">
        <v>5</v>
      </c>
      <c r="Q21" s="161"/>
      <c r="R21" s="161"/>
    </row>
    <row r="22" spans="2:18">
      <c r="B22" s="99" t="s">
        <v>103</v>
      </c>
      <c r="C22" s="96">
        <v>-2383.89</v>
      </c>
      <c r="D22" s="97"/>
      <c r="E22" s="63">
        <v>0</v>
      </c>
      <c r="F22" s="64"/>
      <c r="G22" s="64" t="s">
        <v>58</v>
      </c>
      <c r="M22" s="10" t="s">
        <v>1055</v>
      </c>
      <c r="N22" s="184">
        <v>0</v>
      </c>
      <c r="O22" s="185">
        <v>1</v>
      </c>
      <c r="Q22" s="161"/>
      <c r="R22" s="161"/>
    </row>
    <row r="23" spans="2:18">
      <c r="B23" s="99" t="s">
        <v>1032</v>
      </c>
      <c r="C23" s="96">
        <v>0</v>
      </c>
      <c r="D23" s="97"/>
      <c r="E23" s="63">
        <v>0</v>
      </c>
      <c r="F23" s="64"/>
      <c r="G23" s="64" t="s">
        <v>58</v>
      </c>
      <c r="M23" s="10" t="s">
        <v>1011</v>
      </c>
      <c r="N23" s="184">
        <v>0</v>
      </c>
      <c r="O23" s="185">
        <v>1</v>
      </c>
    </row>
    <row r="24" spans="2:18">
      <c r="B24" s="99" t="s">
        <v>73</v>
      </c>
      <c r="C24" s="96">
        <v>-407.22</v>
      </c>
      <c r="D24" s="97"/>
      <c r="E24" s="63">
        <v>0</v>
      </c>
      <c r="F24" s="64"/>
      <c r="G24" s="64" t="s">
        <v>58</v>
      </c>
    </row>
    <row r="25" spans="2:18">
      <c r="B25" s="99" t="s">
        <v>764</v>
      </c>
      <c r="C25" s="96">
        <v>-60.24</v>
      </c>
      <c r="D25" s="97"/>
      <c r="E25" s="63">
        <v>0</v>
      </c>
      <c r="F25" s="64"/>
      <c r="G25" s="64" t="s">
        <v>58</v>
      </c>
    </row>
    <row r="26" spans="2:18">
      <c r="B26" s="99" t="s">
        <v>974</v>
      </c>
      <c r="C26" s="96">
        <v>-1704.4</v>
      </c>
      <c r="D26" s="97"/>
      <c r="E26" s="63">
        <v>0</v>
      </c>
      <c r="F26" s="64"/>
      <c r="G26" s="64" t="s">
        <v>58</v>
      </c>
    </row>
    <row r="27" spans="2:18">
      <c r="B27" s="99" t="s">
        <v>881</v>
      </c>
      <c r="C27" s="96">
        <v>-46.06</v>
      </c>
      <c r="D27" s="97"/>
      <c r="E27" s="63">
        <v>0</v>
      </c>
      <c r="F27" s="64"/>
      <c r="G27" s="64" t="s">
        <v>58</v>
      </c>
    </row>
    <row r="28" spans="2:18">
      <c r="B28" s="99" t="s">
        <v>586</v>
      </c>
      <c r="C28" s="96">
        <v>-173.22</v>
      </c>
      <c r="D28" s="97"/>
      <c r="E28" s="63">
        <v>0</v>
      </c>
      <c r="F28" s="64"/>
      <c r="G28" s="64" t="s">
        <v>58</v>
      </c>
    </row>
    <row r="29" spans="2:18">
      <c r="B29" s="99" t="s">
        <v>924</v>
      </c>
      <c r="C29" s="96">
        <v>-38.14</v>
      </c>
      <c r="D29" s="97"/>
      <c r="E29" s="63">
        <v>0</v>
      </c>
      <c r="F29" s="64"/>
      <c r="G29" s="64" t="s">
        <v>58</v>
      </c>
    </row>
    <row r="30" spans="2:18">
      <c r="B30" s="99" t="s">
        <v>686</v>
      </c>
      <c r="C30" s="96">
        <v>-610.12</v>
      </c>
      <c r="D30" s="97"/>
      <c r="E30" s="63">
        <v>0</v>
      </c>
      <c r="F30" s="64"/>
      <c r="G30" s="64" t="s">
        <v>58</v>
      </c>
    </row>
    <row r="31" spans="2:18" ht="18">
      <c r="B31" s="74" t="s">
        <v>45</v>
      </c>
      <c r="C31" s="188"/>
      <c r="D31" s="98"/>
      <c r="E31" s="129">
        <f>SUM(E3:E30)</f>
        <v>706.82</v>
      </c>
      <c r="F31" s="75"/>
      <c r="G31"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6.xml><?xml version="1.0" encoding="utf-8"?>
<worksheet xmlns="http://schemas.openxmlformats.org/spreadsheetml/2006/main" xmlns:r="http://schemas.openxmlformats.org/officeDocument/2006/relationships">
  <sheetPr>
    <pageSetUpPr autoPageBreaks="0"/>
  </sheetPr>
  <dimension ref="A1:R27"/>
  <sheetViews>
    <sheetView zoomScale="75" zoomScaleNormal="75" zoomScalePageLayoutView="75" workbookViewId="0">
      <selection activeCell="C26" sqref="C26"/>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12.85546875" customWidth="1"/>
    <col min="17" max="17" width="11.140625" customWidth="1"/>
    <col min="18" max="18" width="9.42578125"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A3">
        <v>7090.88</v>
      </c>
      <c r="B3" s="71" t="s">
        <v>56</v>
      </c>
      <c r="C3" s="91">
        <v>0</v>
      </c>
      <c r="D3" s="92">
        <v>0</v>
      </c>
      <c r="E3" s="95">
        <v>-544.97</v>
      </c>
      <c r="F3" s="72"/>
      <c r="G3" s="72"/>
      <c r="I3" s="10">
        <v>-3260</v>
      </c>
      <c r="J3" s="10" t="s">
        <v>914</v>
      </c>
      <c r="K3" s="16"/>
      <c r="M3" s="10">
        <f>(3404.03/4)*2</f>
        <v>1702.0150000000001</v>
      </c>
      <c r="N3" s="10" t="s">
        <v>1010</v>
      </c>
      <c r="O3" s="16"/>
    </row>
    <row r="4" spans="1:15" ht="12" customHeight="1">
      <c r="B4" s="71" t="s">
        <v>5</v>
      </c>
      <c r="C4" s="91">
        <f>4794.44-1170</f>
        <v>3624.4399999999996</v>
      </c>
      <c r="D4" s="92"/>
      <c r="E4" s="95">
        <v>0</v>
      </c>
      <c r="F4" s="72"/>
      <c r="G4" s="72"/>
      <c r="I4" s="10">
        <v>0</v>
      </c>
      <c r="J4" s="10" t="s">
        <v>915</v>
      </c>
      <c r="K4" s="16"/>
      <c r="M4" s="10">
        <f>(4662.67/6)*1</f>
        <v>777.11166666666668</v>
      </c>
      <c r="N4" s="10" t="s">
        <v>1012</v>
      </c>
      <c r="O4" s="16"/>
    </row>
    <row r="5" spans="1:15" ht="12" customHeight="1">
      <c r="B5" s="71" t="s">
        <v>980</v>
      </c>
      <c r="C5" s="91">
        <v>6421.23</v>
      </c>
      <c r="D5" s="92"/>
      <c r="E5" s="95">
        <v>0</v>
      </c>
      <c r="F5" s="72"/>
      <c r="G5" s="72"/>
      <c r="I5" s="10"/>
      <c r="J5" s="10"/>
      <c r="K5" s="16"/>
      <c r="M5" s="10">
        <v>423.46</v>
      </c>
      <c r="N5" s="10" t="s">
        <v>1024</v>
      </c>
      <c r="O5" s="16"/>
    </row>
    <row r="6" spans="1:15">
      <c r="B6" s="186" t="s">
        <v>81</v>
      </c>
      <c r="C6" s="91">
        <v>1170</v>
      </c>
      <c r="D6" s="92"/>
      <c r="E6" s="95">
        <v>0</v>
      </c>
      <c r="F6" s="72"/>
      <c r="G6" s="72"/>
      <c r="M6" s="10">
        <f>100*2</f>
        <v>200</v>
      </c>
      <c r="N6" s="10" t="s">
        <v>1056</v>
      </c>
      <c r="O6" s="16"/>
    </row>
    <row r="7" spans="1:15">
      <c r="B7" s="186" t="s">
        <v>1066</v>
      </c>
      <c r="C7" s="91">
        <v>305</v>
      </c>
      <c r="D7" s="92"/>
      <c r="E7" s="95">
        <v>0</v>
      </c>
      <c r="F7" s="72"/>
      <c r="G7" s="72"/>
      <c r="M7" s="144">
        <f>SUM(M3:M6)</f>
        <v>3102.586666666667</v>
      </c>
      <c r="N7" s="144" t="s">
        <v>564</v>
      </c>
      <c r="O7" s="145"/>
    </row>
    <row r="8" spans="1:15">
      <c r="B8" s="186" t="s">
        <v>1057</v>
      </c>
      <c r="C8" s="91">
        <v>36.83</v>
      </c>
      <c r="D8" s="92"/>
      <c r="E8" s="95">
        <v>0</v>
      </c>
      <c r="F8" s="72"/>
      <c r="G8" s="72"/>
    </row>
    <row r="9" spans="1:15" ht="15.75">
      <c r="B9" s="99" t="s">
        <v>714</v>
      </c>
      <c r="C9" s="96">
        <v>-10</v>
      </c>
      <c r="D9" s="97"/>
      <c r="E9" s="63">
        <v>0</v>
      </c>
      <c r="F9" s="64"/>
      <c r="G9" s="64" t="s">
        <v>58</v>
      </c>
      <c r="M9" s="221" t="s">
        <v>707</v>
      </c>
      <c r="N9" s="221" t="s">
        <v>408</v>
      </c>
      <c r="O9" s="221" t="s">
        <v>1</v>
      </c>
    </row>
    <row r="10" spans="1:15" ht="14.25" customHeight="1">
      <c r="B10" s="99" t="s">
        <v>965</v>
      </c>
      <c r="C10" s="96">
        <v>-600</v>
      </c>
      <c r="D10" s="97"/>
      <c r="E10" s="63">
        <v>0</v>
      </c>
      <c r="F10" s="64"/>
      <c r="G10" s="64" t="s">
        <v>58</v>
      </c>
      <c r="M10" s="10">
        <v>7378.31</v>
      </c>
      <c r="N10" s="10" t="s">
        <v>1015</v>
      </c>
      <c r="O10" s="16"/>
    </row>
    <row r="11" spans="1:15">
      <c r="B11" s="99" t="s">
        <v>1067</v>
      </c>
      <c r="C11" s="96">
        <f>-156.02*2</f>
        <v>-312.04000000000002</v>
      </c>
      <c r="D11" s="97"/>
      <c r="E11" s="63">
        <v>0</v>
      </c>
      <c r="F11" s="64"/>
      <c r="G11" s="64" t="s">
        <v>58</v>
      </c>
      <c r="M11" s="10">
        <f>(3404.03/4)*2</f>
        <v>1702.0150000000001</v>
      </c>
      <c r="N11" s="10" t="s">
        <v>1010</v>
      </c>
      <c r="O11" s="16"/>
    </row>
    <row r="12" spans="1:15">
      <c r="B12" s="99" t="s">
        <v>934</v>
      </c>
      <c r="C12" s="96">
        <v>-56</v>
      </c>
      <c r="D12" s="97"/>
      <c r="E12" s="63">
        <v>0</v>
      </c>
      <c r="F12" s="64"/>
      <c r="G12" s="64" t="s">
        <v>58</v>
      </c>
      <c r="M12" s="10">
        <f>(4662.67/6)*5</f>
        <v>3885.5583333333334</v>
      </c>
      <c r="N12" s="10" t="s">
        <v>1012</v>
      </c>
      <c r="O12" s="16"/>
    </row>
    <row r="13" spans="1:15">
      <c r="B13" s="99" t="s">
        <v>1068</v>
      </c>
      <c r="C13" s="96">
        <v>-250</v>
      </c>
      <c r="D13" s="97"/>
      <c r="E13" s="63">
        <v>0</v>
      </c>
      <c r="F13" s="64"/>
      <c r="G13" s="64" t="s">
        <v>58</v>
      </c>
      <c r="M13" s="10">
        <v>6314.1</v>
      </c>
      <c r="N13" s="10" t="s">
        <v>1048</v>
      </c>
      <c r="O13" s="16"/>
    </row>
    <row r="14" spans="1:15">
      <c r="B14" s="99" t="s">
        <v>312</v>
      </c>
      <c r="C14" s="96">
        <v>-100</v>
      </c>
      <c r="D14" s="97"/>
      <c r="E14" s="63">
        <v>0</v>
      </c>
      <c r="F14" s="64"/>
      <c r="G14" s="64" t="s">
        <v>58</v>
      </c>
      <c r="M14" s="10">
        <v>5344.53</v>
      </c>
      <c r="N14" s="10" t="s">
        <v>1061</v>
      </c>
      <c r="O14" s="16"/>
    </row>
    <row r="15" spans="1:15">
      <c r="B15" s="99" t="s">
        <v>1069</v>
      </c>
      <c r="C15" s="96">
        <v>-935</v>
      </c>
      <c r="D15" s="97"/>
      <c r="E15" s="63">
        <v>0</v>
      </c>
      <c r="F15" s="64"/>
      <c r="G15" s="64" t="s">
        <v>58</v>
      </c>
      <c r="I15" s="187"/>
      <c r="M15" s="10"/>
      <c r="N15" s="10"/>
      <c r="O15" s="16"/>
    </row>
    <row r="16" spans="1:15">
      <c r="B16" s="99" t="s">
        <v>103</v>
      </c>
      <c r="C16" s="96">
        <v>-3370.72</v>
      </c>
      <c r="D16" s="97"/>
      <c r="E16" s="63">
        <v>0</v>
      </c>
      <c r="F16" s="64"/>
      <c r="G16" s="64" t="s">
        <v>58</v>
      </c>
      <c r="M16" s="144">
        <f>SUM(M10:M15)</f>
        <v>24624.513333333336</v>
      </c>
      <c r="N16" s="144" t="s">
        <v>1031</v>
      </c>
      <c r="O16" s="145"/>
    </row>
    <row r="17" spans="2:18">
      <c r="B17" s="99" t="s">
        <v>102</v>
      </c>
      <c r="C17" s="96">
        <v>-4685</v>
      </c>
      <c r="D17" s="97"/>
      <c r="E17" s="63">
        <v>0</v>
      </c>
      <c r="F17" s="64"/>
      <c r="G17" s="64" t="s">
        <v>58</v>
      </c>
    </row>
    <row r="18" spans="2:18" ht="15.75">
      <c r="B18" s="99" t="s">
        <v>1070</v>
      </c>
      <c r="C18" s="96">
        <v>-200.07</v>
      </c>
      <c r="D18" s="97"/>
      <c r="E18" s="63">
        <v>0</v>
      </c>
      <c r="F18" s="64"/>
      <c r="G18" s="64" t="s">
        <v>58</v>
      </c>
      <c r="H18" s="143"/>
      <c r="M18" s="221" t="s">
        <v>1018</v>
      </c>
      <c r="N18" s="221" t="s">
        <v>1019</v>
      </c>
      <c r="O18" s="221" t="s">
        <v>1020</v>
      </c>
    </row>
    <row r="19" spans="2:18">
      <c r="B19" s="99" t="s">
        <v>1071</v>
      </c>
      <c r="C19" s="96">
        <v>-50.53</v>
      </c>
      <c r="D19" s="97"/>
      <c r="E19" s="63">
        <v>0</v>
      </c>
      <c r="F19" s="64"/>
      <c r="G19" s="64" t="s">
        <v>58</v>
      </c>
      <c r="M19" s="10" t="s">
        <v>1015</v>
      </c>
      <c r="N19" s="184">
        <v>0</v>
      </c>
      <c r="O19" s="185">
        <v>8</v>
      </c>
    </row>
    <row r="20" spans="2:18">
      <c r="B20" s="99" t="s">
        <v>1032</v>
      </c>
      <c r="C20" s="96">
        <v>0</v>
      </c>
      <c r="D20" s="97"/>
      <c r="E20" s="63">
        <v>0</v>
      </c>
      <c r="F20" s="64"/>
      <c r="G20" s="64" t="s">
        <v>58</v>
      </c>
      <c r="M20" s="10" t="s">
        <v>1010</v>
      </c>
      <c r="N20" s="184">
        <v>2</v>
      </c>
      <c r="O20" s="185">
        <v>2</v>
      </c>
      <c r="Q20" s="161"/>
      <c r="R20" s="161"/>
    </row>
    <row r="21" spans="2:18">
      <c r="B21" s="99" t="s">
        <v>73</v>
      </c>
      <c r="C21" s="96">
        <v>-410.91</v>
      </c>
      <c r="D21" s="97"/>
      <c r="E21" s="63">
        <v>0</v>
      </c>
      <c r="F21" s="64"/>
      <c r="G21" s="64" t="s">
        <v>58</v>
      </c>
      <c r="M21" s="10" t="s">
        <v>1012</v>
      </c>
      <c r="N21" s="184">
        <v>1</v>
      </c>
      <c r="O21" s="185">
        <v>5</v>
      </c>
      <c r="Q21" s="161"/>
      <c r="R21" s="161"/>
    </row>
    <row r="22" spans="2:18">
      <c r="B22" s="99" t="s">
        <v>41</v>
      </c>
      <c r="C22" s="96">
        <v>-58.71</v>
      </c>
      <c r="D22" s="97"/>
      <c r="E22" s="63">
        <v>0</v>
      </c>
      <c r="F22" s="64"/>
      <c r="G22" s="64" t="s">
        <v>58</v>
      </c>
      <c r="M22" s="10" t="s">
        <v>1055</v>
      </c>
      <c r="N22" s="184">
        <v>0</v>
      </c>
      <c r="O22" s="185">
        <v>1</v>
      </c>
      <c r="Q22" s="161"/>
      <c r="R22" s="161"/>
    </row>
    <row r="23" spans="2:18">
      <c r="B23" s="99" t="s">
        <v>117</v>
      </c>
      <c r="C23" s="96">
        <f>-568.14-169.29</f>
        <v>-737.43</v>
      </c>
      <c r="D23" s="97"/>
      <c r="E23" s="63">
        <v>0</v>
      </c>
      <c r="F23" s="64"/>
      <c r="G23" s="64" t="s">
        <v>58</v>
      </c>
      <c r="M23" s="10" t="s">
        <v>1011</v>
      </c>
      <c r="N23" s="184">
        <v>0</v>
      </c>
      <c r="O23" s="185">
        <v>1</v>
      </c>
    </row>
    <row r="24" spans="2:18">
      <c r="B24" s="99" t="s">
        <v>586</v>
      </c>
      <c r="C24" s="96">
        <v>-173.22</v>
      </c>
      <c r="D24" s="97"/>
      <c r="E24" s="63">
        <v>0</v>
      </c>
      <c r="F24" s="64"/>
      <c r="G24" s="64" t="s">
        <v>58</v>
      </c>
    </row>
    <row r="25" spans="2:18">
      <c r="B25" s="99" t="s">
        <v>924</v>
      </c>
      <c r="C25" s="96">
        <v>-38.14</v>
      </c>
      <c r="D25" s="97"/>
      <c r="E25" s="63">
        <v>0</v>
      </c>
      <c r="F25" s="64"/>
      <c r="G25" s="64" t="s">
        <v>58</v>
      </c>
    </row>
    <row r="26" spans="2:18">
      <c r="B26" s="99" t="s">
        <v>686</v>
      </c>
      <c r="C26" s="96">
        <v>-501.44</v>
      </c>
      <c r="D26" s="97"/>
      <c r="E26" s="63">
        <v>0</v>
      </c>
      <c r="F26" s="64"/>
      <c r="G26" s="64" t="s">
        <v>58</v>
      </c>
      <c r="O26" s="189"/>
      <c r="P26" s="1"/>
    </row>
    <row r="27" spans="2:18" ht="18">
      <c r="B27" s="74" t="s">
        <v>45</v>
      </c>
      <c r="C27" s="188"/>
      <c r="D27" s="98"/>
      <c r="E27" s="129">
        <f>SUM(E3:E26)</f>
        <v>-544.97</v>
      </c>
      <c r="F27" s="75"/>
      <c r="G27"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7.xml><?xml version="1.0" encoding="utf-8"?>
<worksheet xmlns="http://schemas.openxmlformats.org/spreadsheetml/2006/main" xmlns:r="http://schemas.openxmlformats.org/officeDocument/2006/relationships">
  <sheetPr>
    <pageSetUpPr autoPageBreaks="0"/>
  </sheetPr>
  <dimension ref="A1:R26"/>
  <sheetViews>
    <sheetView zoomScale="75" zoomScaleNormal="75" zoomScalePageLayoutView="75" workbookViewId="0">
      <selection activeCell="E23" activeCellId="1" sqref="G13 E23"/>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12.85546875" customWidth="1"/>
    <col min="17" max="17" width="11.140625" customWidth="1"/>
    <col min="18" max="18" width="9.42578125" customWidth="1"/>
  </cols>
  <sheetData>
    <row r="1" spans="1:15">
      <c r="E1" s="106"/>
    </row>
    <row r="2" spans="1:15" ht="18">
      <c r="B2" s="220" t="s">
        <v>135</v>
      </c>
      <c r="C2" s="220" t="s">
        <v>136</v>
      </c>
      <c r="D2" s="90"/>
      <c r="E2" s="220" t="s">
        <v>0</v>
      </c>
      <c r="F2" s="82" t="s">
        <v>1</v>
      </c>
      <c r="G2" s="82" t="s">
        <v>57</v>
      </c>
      <c r="I2" s="221" t="s">
        <v>913</v>
      </c>
      <c r="J2" s="221" t="s">
        <v>408</v>
      </c>
      <c r="K2" s="221" t="s">
        <v>1</v>
      </c>
      <c r="M2" s="221" t="s">
        <v>993</v>
      </c>
      <c r="N2" s="221" t="s">
        <v>408</v>
      </c>
      <c r="O2" s="221" t="s">
        <v>1</v>
      </c>
    </row>
    <row r="3" spans="1:15">
      <c r="A3">
        <v>7090.88</v>
      </c>
      <c r="B3" s="71" t="s">
        <v>56</v>
      </c>
      <c r="C3" s="91">
        <v>0</v>
      </c>
      <c r="D3" s="92">
        <v>0</v>
      </c>
      <c r="E3" s="95">
        <v>-183.8</v>
      </c>
      <c r="F3" s="72"/>
      <c r="G3" s="72"/>
      <c r="I3" s="10">
        <v>5642.2</v>
      </c>
      <c r="J3" s="10" t="s">
        <v>914</v>
      </c>
      <c r="K3" s="16"/>
      <c r="M3" s="10">
        <f>(3416.01/4)*2</f>
        <v>1708.0050000000001</v>
      </c>
      <c r="N3" s="10" t="s">
        <v>1010</v>
      </c>
      <c r="O3" s="16"/>
    </row>
    <row r="4" spans="1:15" ht="12" customHeight="1">
      <c r="B4" s="71" t="s">
        <v>5</v>
      </c>
      <c r="C4" s="91">
        <f>4794.44-1170</f>
        <v>3624.4399999999996</v>
      </c>
      <c r="D4" s="92"/>
      <c r="E4" s="95">
        <v>0</v>
      </c>
      <c r="F4" s="72"/>
      <c r="G4" s="72"/>
      <c r="I4" s="10">
        <v>0</v>
      </c>
      <c r="J4" s="10" t="s">
        <v>915</v>
      </c>
      <c r="K4" s="16"/>
      <c r="M4" s="10">
        <f>(4670.63/6)*1</f>
        <v>778.43833333333339</v>
      </c>
      <c r="N4" s="10" t="s">
        <v>1012</v>
      </c>
      <c r="O4" s="16"/>
    </row>
    <row r="5" spans="1:15" ht="12" customHeight="1">
      <c r="B5" s="186" t="s">
        <v>1072</v>
      </c>
      <c r="C5" s="91">
        <v>1245</v>
      </c>
      <c r="D5" s="92"/>
      <c r="E5" s="95">
        <v>0</v>
      </c>
      <c r="F5" s="72"/>
      <c r="G5" s="72"/>
      <c r="I5" s="10"/>
      <c r="J5" s="10"/>
      <c r="K5" s="16"/>
      <c r="M5" s="10">
        <v>624.33000000000004</v>
      </c>
      <c r="N5" s="10" t="s">
        <v>1024</v>
      </c>
      <c r="O5" s="16"/>
    </row>
    <row r="6" spans="1:15">
      <c r="B6" s="186" t="s">
        <v>911</v>
      </c>
      <c r="C6" s="91">
        <v>235</v>
      </c>
      <c r="D6" s="92"/>
      <c r="E6" s="95">
        <v>0</v>
      </c>
      <c r="F6" s="72"/>
      <c r="G6" s="72"/>
      <c r="M6" s="10">
        <f>100*2</f>
        <v>200</v>
      </c>
      <c r="N6" s="10" t="s">
        <v>1056</v>
      </c>
      <c r="O6" s="16"/>
    </row>
    <row r="7" spans="1:15">
      <c r="B7" s="186" t="s">
        <v>1073</v>
      </c>
      <c r="C7" s="91">
        <v>306.20999999999998</v>
      </c>
      <c r="D7" s="92"/>
      <c r="E7" s="95">
        <v>0</v>
      </c>
      <c r="F7" s="72"/>
      <c r="G7" s="72"/>
      <c r="M7" s="144">
        <f>SUM(M3:M6)</f>
        <v>3310.7733333333335</v>
      </c>
      <c r="N7" s="144" t="s">
        <v>564</v>
      </c>
      <c r="O7" s="145"/>
    </row>
    <row r="8" spans="1:15">
      <c r="B8" s="186" t="s">
        <v>1074</v>
      </c>
      <c r="C8" s="91">
        <v>155</v>
      </c>
      <c r="D8" s="92"/>
      <c r="E8" s="95">
        <v>0</v>
      </c>
      <c r="F8" s="72"/>
      <c r="G8" s="72"/>
    </row>
    <row r="9" spans="1:15" ht="15.75">
      <c r="B9" s="186" t="s">
        <v>183</v>
      </c>
      <c r="C9" s="91">
        <v>300</v>
      </c>
      <c r="D9" s="92"/>
      <c r="E9" s="95">
        <v>0</v>
      </c>
      <c r="F9" s="72"/>
      <c r="G9" s="72"/>
      <c r="M9" s="221" t="s">
        <v>707</v>
      </c>
      <c r="N9" s="221" t="s">
        <v>408</v>
      </c>
      <c r="O9" s="221" t="s">
        <v>1</v>
      </c>
    </row>
    <row r="10" spans="1:15" ht="14.25" customHeight="1">
      <c r="B10" s="99" t="s">
        <v>714</v>
      </c>
      <c r="C10" s="96">
        <v>-10</v>
      </c>
      <c r="D10" s="97"/>
      <c r="E10" s="63">
        <v>0</v>
      </c>
      <c r="F10" s="64"/>
      <c r="G10" s="64" t="s">
        <v>58</v>
      </c>
      <c r="M10" s="10">
        <v>7411.33</v>
      </c>
      <c r="N10" s="10" t="s">
        <v>1015</v>
      </c>
      <c r="O10" s="16"/>
    </row>
    <row r="11" spans="1:15">
      <c r="B11" s="99" t="s">
        <v>965</v>
      </c>
      <c r="C11" s="96">
        <v>-600</v>
      </c>
      <c r="D11" s="97"/>
      <c r="E11" s="63">
        <v>0</v>
      </c>
      <c r="F11" s="64"/>
      <c r="G11" s="64" t="s">
        <v>58</v>
      </c>
      <c r="M11" s="10">
        <f>(3416.01/4)*2</f>
        <v>1708.0050000000001</v>
      </c>
      <c r="N11" s="10" t="s">
        <v>1010</v>
      </c>
      <c r="O11" s="16"/>
    </row>
    <row r="12" spans="1:15">
      <c r="B12" s="99" t="s">
        <v>934</v>
      </c>
      <c r="C12" s="96">
        <v>-200</v>
      </c>
      <c r="D12" s="97"/>
      <c r="E12" s="63">
        <v>0</v>
      </c>
      <c r="F12" s="64"/>
      <c r="G12" s="64" t="s">
        <v>58</v>
      </c>
      <c r="M12" s="10">
        <f>(4670.63/6)*5</f>
        <v>3892.1916666666671</v>
      </c>
      <c r="N12" s="10" t="s">
        <v>1012</v>
      </c>
      <c r="O12" s="16"/>
    </row>
    <row r="13" spans="1:15">
      <c r="B13" s="99" t="s">
        <v>312</v>
      </c>
      <c r="C13" s="96">
        <v>-100</v>
      </c>
      <c r="D13" s="97"/>
      <c r="E13" s="63">
        <v>0</v>
      </c>
      <c r="F13" s="64"/>
      <c r="G13" s="64" t="s">
        <v>58</v>
      </c>
      <c r="M13" s="10">
        <v>6352.21</v>
      </c>
      <c r="N13" s="10" t="s">
        <v>1048</v>
      </c>
      <c r="O13" s="16"/>
    </row>
    <row r="14" spans="1:15">
      <c r="B14" s="99" t="s">
        <v>1069</v>
      </c>
      <c r="C14" s="96">
        <v>-950</v>
      </c>
      <c r="D14" s="97"/>
      <c r="E14" s="63">
        <v>0</v>
      </c>
      <c r="F14" s="64"/>
      <c r="G14" s="64" t="s">
        <v>58</v>
      </c>
      <c r="M14" s="10">
        <v>5580.76</v>
      </c>
      <c r="N14" s="10" t="s">
        <v>1061</v>
      </c>
      <c r="O14" s="16"/>
    </row>
    <row r="15" spans="1:15">
      <c r="B15" s="99" t="s">
        <v>103</v>
      </c>
      <c r="C15" s="96">
        <v>-3260</v>
      </c>
      <c r="D15" s="97"/>
      <c r="E15" s="63">
        <v>0</v>
      </c>
      <c r="F15" s="64"/>
      <c r="G15" s="64" t="s">
        <v>58</v>
      </c>
      <c r="I15" s="187"/>
      <c r="M15" s="10">
        <v>1415.88</v>
      </c>
      <c r="N15" s="10" t="s">
        <v>1075</v>
      </c>
      <c r="O15" s="16"/>
    </row>
    <row r="16" spans="1:15">
      <c r="B16" s="99" t="s">
        <v>102</v>
      </c>
      <c r="C16" s="96">
        <v>-1434.96</v>
      </c>
      <c r="D16" s="97"/>
      <c r="E16" s="63">
        <v>0</v>
      </c>
      <c r="F16" s="64"/>
      <c r="G16" s="64" t="s">
        <v>58</v>
      </c>
      <c r="M16" s="144">
        <f>SUM(M10:M15)</f>
        <v>26360.376666666667</v>
      </c>
      <c r="N16" s="144" t="s">
        <v>1031</v>
      </c>
      <c r="O16" s="145"/>
    </row>
    <row r="17" spans="2:18">
      <c r="B17" s="99" t="s">
        <v>1032</v>
      </c>
      <c r="C17" s="96">
        <v>0</v>
      </c>
      <c r="D17" s="97"/>
      <c r="E17" s="63">
        <v>0</v>
      </c>
      <c r="F17" s="64"/>
      <c r="G17" s="64" t="s">
        <v>58</v>
      </c>
    </row>
    <row r="18" spans="2:18" ht="15.75">
      <c r="B18" s="99" t="s">
        <v>1076</v>
      </c>
      <c r="C18" s="96">
        <v>-43</v>
      </c>
      <c r="D18" s="97"/>
      <c r="E18" s="63">
        <v>0</v>
      </c>
      <c r="F18" s="64"/>
      <c r="G18" s="64" t="s">
        <v>58</v>
      </c>
      <c r="H18" s="143"/>
      <c r="M18" s="221" t="s">
        <v>1018</v>
      </c>
      <c r="N18" s="221" t="s">
        <v>1019</v>
      </c>
      <c r="O18" s="221" t="s">
        <v>1020</v>
      </c>
    </row>
    <row r="19" spans="2:18">
      <c r="B19" s="99" t="s">
        <v>73</v>
      </c>
      <c r="C19" s="96">
        <v>-394.76</v>
      </c>
      <c r="D19" s="97"/>
      <c r="E19" s="63">
        <v>0</v>
      </c>
      <c r="F19" s="64"/>
      <c r="G19" s="64" t="s">
        <v>58</v>
      </c>
      <c r="M19" s="10" t="s">
        <v>1015</v>
      </c>
      <c r="N19" s="184">
        <v>0</v>
      </c>
      <c r="O19" s="185">
        <v>8</v>
      </c>
    </row>
    <row r="20" spans="2:18">
      <c r="B20" s="99" t="s">
        <v>41</v>
      </c>
      <c r="C20" s="96">
        <v>-49.3</v>
      </c>
      <c r="D20" s="97"/>
      <c r="E20" s="63">
        <v>0</v>
      </c>
      <c r="F20" s="64"/>
      <c r="G20" s="64" t="s">
        <v>58</v>
      </c>
      <c r="M20" s="10" t="s">
        <v>1010</v>
      </c>
      <c r="N20" s="184">
        <v>2</v>
      </c>
      <c r="O20" s="185">
        <v>2</v>
      </c>
      <c r="Q20" s="161"/>
      <c r="R20" s="161"/>
    </row>
    <row r="21" spans="2:18">
      <c r="B21" s="99" t="s">
        <v>1077</v>
      </c>
      <c r="C21" s="96">
        <v>-60</v>
      </c>
      <c r="D21" s="97"/>
      <c r="E21" s="63">
        <v>0</v>
      </c>
      <c r="F21" s="64"/>
      <c r="G21" s="64" t="s">
        <v>58</v>
      </c>
      <c r="M21" s="10" t="s">
        <v>1012</v>
      </c>
      <c r="N21" s="184">
        <v>1</v>
      </c>
      <c r="O21" s="185">
        <v>5</v>
      </c>
      <c r="Q21" s="161"/>
      <c r="R21" s="161"/>
    </row>
    <row r="22" spans="2:18">
      <c r="B22" s="99" t="s">
        <v>1078</v>
      </c>
      <c r="C22" s="96">
        <v>-718.51</v>
      </c>
      <c r="D22" s="97"/>
      <c r="E22" s="63">
        <v>0</v>
      </c>
      <c r="F22" s="64"/>
      <c r="G22" s="64" t="s">
        <v>58</v>
      </c>
      <c r="M22" s="10" t="s">
        <v>1075</v>
      </c>
      <c r="N22" s="184">
        <v>0</v>
      </c>
      <c r="O22" s="185">
        <v>2</v>
      </c>
      <c r="Q22" s="161"/>
      <c r="R22" s="161"/>
    </row>
    <row r="23" spans="2:18">
      <c r="B23" s="99" t="s">
        <v>586</v>
      </c>
      <c r="C23" s="96">
        <v>-172.96</v>
      </c>
      <c r="D23" s="97"/>
      <c r="E23" s="63">
        <v>0</v>
      </c>
      <c r="F23" s="64"/>
      <c r="G23" s="64" t="s">
        <v>58</v>
      </c>
      <c r="M23" s="10" t="s">
        <v>1055</v>
      </c>
      <c r="N23" s="184">
        <v>0</v>
      </c>
      <c r="O23" s="185">
        <v>1</v>
      </c>
    </row>
    <row r="24" spans="2:18">
      <c r="B24" s="99" t="s">
        <v>924</v>
      </c>
      <c r="C24" s="96">
        <v>-38.9</v>
      </c>
      <c r="D24" s="97"/>
      <c r="E24" s="63">
        <v>0</v>
      </c>
      <c r="F24" s="64"/>
      <c r="G24" s="64" t="s">
        <v>58</v>
      </c>
      <c r="M24" s="10" t="s">
        <v>1011</v>
      </c>
      <c r="N24" s="184">
        <v>0</v>
      </c>
      <c r="O24" s="185">
        <v>6</v>
      </c>
    </row>
    <row r="25" spans="2:18">
      <c r="B25" s="99" t="s">
        <v>686</v>
      </c>
      <c r="C25" s="96">
        <v>-604.16999999999996</v>
      </c>
      <c r="D25" s="97"/>
      <c r="E25" s="63">
        <v>0</v>
      </c>
      <c r="F25" s="64"/>
      <c r="G25" s="64" t="s">
        <v>58</v>
      </c>
    </row>
    <row r="26" spans="2:18" ht="18">
      <c r="B26" s="74" t="s">
        <v>45</v>
      </c>
      <c r="C26" s="188"/>
      <c r="D26" s="98"/>
      <c r="E26" s="129">
        <f>SUM(E3:E25)</f>
        <v>-183.8</v>
      </c>
      <c r="F26" s="75"/>
      <c r="G26"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8.xml><?xml version="1.0" encoding="utf-8"?>
<worksheet xmlns="http://schemas.openxmlformats.org/spreadsheetml/2006/main" xmlns:r="http://schemas.openxmlformats.org/officeDocument/2006/relationships">
  <sheetPr>
    <pageSetUpPr autoPageBreaks="0"/>
  </sheetPr>
  <dimension ref="B1:R33"/>
  <sheetViews>
    <sheetView zoomScale="75" zoomScaleNormal="75" zoomScalePageLayoutView="75" workbookViewId="0">
      <selection activeCell="E30" sqref="E30:G30"/>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12.85546875" customWidth="1"/>
    <col min="17" max="17" width="11.140625" customWidth="1"/>
    <col min="18" max="18" width="9.42578125" customWidth="1"/>
  </cols>
  <sheetData>
    <row r="1" spans="2:15">
      <c r="E1" s="106"/>
    </row>
    <row r="2" spans="2:15" ht="18">
      <c r="B2" s="220" t="s">
        <v>135</v>
      </c>
      <c r="C2" s="220" t="s">
        <v>136</v>
      </c>
      <c r="D2" s="90"/>
      <c r="E2" s="220" t="s">
        <v>0</v>
      </c>
      <c r="F2" s="82" t="s">
        <v>1</v>
      </c>
      <c r="G2" s="82" t="s">
        <v>57</v>
      </c>
      <c r="I2" s="221" t="s">
        <v>913</v>
      </c>
      <c r="J2" s="221" t="s">
        <v>408</v>
      </c>
      <c r="K2" s="221" t="s">
        <v>1</v>
      </c>
      <c r="M2" s="221" t="s">
        <v>993</v>
      </c>
      <c r="N2" s="221" t="s">
        <v>408</v>
      </c>
      <c r="O2" s="221" t="s">
        <v>1</v>
      </c>
    </row>
    <row r="3" spans="2:15">
      <c r="B3" s="71" t="s">
        <v>56</v>
      </c>
      <c r="C3" s="91">
        <v>0</v>
      </c>
      <c r="D3" s="92">
        <v>0</v>
      </c>
      <c r="E3" s="95">
        <v>-739.79</v>
      </c>
      <c r="F3" s="72"/>
      <c r="G3" s="72"/>
      <c r="I3" s="10">
        <v>-6356.94</v>
      </c>
      <c r="J3" s="10" t="s">
        <v>914</v>
      </c>
      <c r="K3" s="16"/>
      <c r="M3" s="10">
        <v>2602.17</v>
      </c>
      <c r="N3" s="10" t="s">
        <v>1010</v>
      </c>
      <c r="O3" s="16"/>
    </row>
    <row r="4" spans="2:15" ht="12" customHeight="1">
      <c r="B4" s="71" t="s">
        <v>5</v>
      </c>
      <c r="C4" s="91">
        <v>7680.81</v>
      </c>
      <c r="D4" s="92"/>
      <c r="E4" s="95">
        <v>0</v>
      </c>
      <c r="F4" s="72"/>
      <c r="G4" s="72"/>
      <c r="I4" s="10">
        <v>0</v>
      </c>
      <c r="J4" s="10" t="s">
        <v>915</v>
      </c>
      <c r="K4" s="16"/>
      <c r="M4" s="10">
        <f>(3167.36/4)*1</f>
        <v>791.84</v>
      </c>
      <c r="N4" s="10" t="s">
        <v>1012</v>
      </c>
      <c r="O4" s="16"/>
    </row>
    <row r="5" spans="2:15" ht="12" customHeight="1">
      <c r="B5" s="186" t="s">
        <v>1066</v>
      </c>
      <c r="C5" s="91">
        <v>165</v>
      </c>
      <c r="D5" s="92"/>
      <c r="E5" s="95">
        <v>0</v>
      </c>
      <c r="F5" s="72"/>
      <c r="G5" s="72"/>
      <c r="I5" s="10"/>
      <c r="J5" s="10"/>
      <c r="K5" s="16"/>
      <c r="M5" s="10">
        <v>0</v>
      </c>
      <c r="N5" s="10" t="s">
        <v>1024</v>
      </c>
      <c r="O5" s="16"/>
    </row>
    <row r="6" spans="2:15">
      <c r="B6" s="186" t="s">
        <v>107</v>
      </c>
      <c r="C6" s="91">
        <v>430.3</v>
      </c>
      <c r="D6" s="92"/>
      <c r="E6" s="95">
        <v>0</v>
      </c>
      <c r="F6" s="72"/>
      <c r="G6" s="72"/>
      <c r="M6" s="10">
        <f>100*2</f>
        <v>200</v>
      </c>
      <c r="N6" s="10" t="s">
        <v>1056</v>
      </c>
      <c r="O6" s="16"/>
    </row>
    <row r="7" spans="2:15">
      <c r="B7" s="186" t="s">
        <v>911</v>
      </c>
      <c r="C7" s="91">
        <v>70</v>
      </c>
      <c r="D7" s="92"/>
      <c r="E7" s="95">
        <v>0</v>
      </c>
      <c r="F7" s="72"/>
      <c r="G7" s="72"/>
      <c r="M7" s="144">
        <f>SUM(M3:M6)</f>
        <v>3594.01</v>
      </c>
      <c r="N7" s="144" t="s">
        <v>564</v>
      </c>
      <c r="O7" s="145"/>
    </row>
    <row r="8" spans="2:15">
      <c r="B8" s="186" t="s">
        <v>1079</v>
      </c>
      <c r="C8" s="91">
        <v>146.94999999999999</v>
      </c>
      <c r="D8" s="92"/>
      <c r="E8" s="95">
        <v>0</v>
      </c>
      <c r="F8" s="72"/>
      <c r="G8" s="72"/>
    </row>
    <row r="9" spans="2:15" ht="15.75">
      <c r="B9" s="186" t="s">
        <v>1073</v>
      </c>
      <c r="C9" s="91">
        <v>306.20999999999998</v>
      </c>
      <c r="D9" s="92"/>
      <c r="E9" s="95">
        <v>0</v>
      </c>
      <c r="F9" s="72"/>
      <c r="G9" s="72"/>
      <c r="M9" s="221" t="s">
        <v>707</v>
      </c>
      <c r="N9" s="221" t="s">
        <v>408</v>
      </c>
      <c r="O9" s="221" t="s">
        <v>1</v>
      </c>
    </row>
    <row r="10" spans="2:15" ht="14.25" customHeight="1">
      <c r="B10" s="186" t="s">
        <v>107</v>
      </c>
      <c r="C10" s="91">
        <v>0</v>
      </c>
      <c r="D10" s="92"/>
      <c r="E10" s="95">
        <v>0</v>
      </c>
      <c r="F10" s="72"/>
      <c r="G10" s="72"/>
      <c r="M10" s="10">
        <v>7451.58</v>
      </c>
      <c r="N10" s="10" t="s">
        <v>1015</v>
      </c>
      <c r="O10" s="16"/>
    </row>
    <row r="11" spans="2:15">
      <c r="B11" s="99" t="s">
        <v>1035</v>
      </c>
      <c r="C11" s="96">
        <v>-230</v>
      </c>
      <c r="D11" s="97"/>
      <c r="E11" s="63">
        <v>0</v>
      </c>
      <c r="F11" s="64"/>
      <c r="G11" s="64" t="s">
        <v>58</v>
      </c>
      <c r="M11" s="10">
        <v>0</v>
      </c>
      <c r="N11" s="10" t="s">
        <v>1010</v>
      </c>
      <c r="O11" s="16"/>
    </row>
    <row r="12" spans="2:15">
      <c r="B12" s="99" t="s">
        <v>714</v>
      </c>
      <c r="C12" s="96">
        <v>-5</v>
      </c>
      <c r="D12" s="97"/>
      <c r="E12" s="63">
        <v>0</v>
      </c>
      <c r="F12" s="64"/>
      <c r="G12" s="64" t="s">
        <v>58</v>
      </c>
      <c r="M12" s="10">
        <v>3167.36</v>
      </c>
      <c r="N12" s="10" t="s">
        <v>1012</v>
      </c>
      <c r="O12" s="16"/>
    </row>
    <row r="13" spans="2:15">
      <c r="B13" s="99" t="s">
        <v>144</v>
      </c>
      <c r="C13" s="96">
        <v>-600</v>
      </c>
      <c r="D13" s="97"/>
      <c r="E13" s="63">
        <v>0</v>
      </c>
      <c r="F13" s="64"/>
      <c r="G13" s="64" t="s">
        <v>58</v>
      </c>
      <c r="M13" s="10">
        <v>6395.58</v>
      </c>
      <c r="N13" s="10" t="s">
        <v>1048</v>
      </c>
      <c r="O13" s="16"/>
    </row>
    <row r="14" spans="2:15">
      <c r="B14" s="99" t="s">
        <v>934</v>
      </c>
      <c r="C14" s="96">
        <v>0</v>
      </c>
      <c r="D14" s="97"/>
      <c r="E14" s="63">
        <v>0</v>
      </c>
      <c r="F14" s="64"/>
      <c r="G14" s="64" t="s">
        <v>58</v>
      </c>
      <c r="M14" s="10">
        <v>5109.6099999999997</v>
      </c>
      <c r="N14" s="10" t="s">
        <v>1061</v>
      </c>
      <c r="O14" s="16"/>
    </row>
    <row r="15" spans="2:15">
      <c r="B15" s="99" t="s">
        <v>1040</v>
      </c>
      <c r="C15" s="96">
        <v>630</v>
      </c>
      <c r="D15" s="97"/>
      <c r="E15" s="63">
        <v>0</v>
      </c>
      <c r="F15" s="64"/>
      <c r="G15" s="64" t="s">
        <v>58</v>
      </c>
      <c r="I15" s="187"/>
      <c r="M15" s="10">
        <v>1440.86</v>
      </c>
      <c r="N15" s="10" t="s">
        <v>1075</v>
      </c>
      <c r="O15" s="16"/>
    </row>
    <row r="16" spans="2:15">
      <c r="B16" s="99" t="s">
        <v>1080</v>
      </c>
      <c r="C16" s="96">
        <v>864.7</v>
      </c>
      <c r="D16" s="97"/>
      <c r="E16" s="63">
        <v>0</v>
      </c>
      <c r="F16" s="64"/>
      <c r="G16" s="64" t="s">
        <v>58</v>
      </c>
      <c r="M16" s="144">
        <f>SUM(M10:M15)</f>
        <v>23564.99</v>
      </c>
      <c r="N16" s="144" t="s">
        <v>1031</v>
      </c>
      <c r="O16" s="145"/>
    </row>
    <row r="17" spans="2:18">
      <c r="B17" s="99" t="s">
        <v>1081</v>
      </c>
      <c r="C17" s="96">
        <v>-309.85000000000002</v>
      </c>
      <c r="D17" s="97"/>
      <c r="E17" s="63">
        <v>0</v>
      </c>
      <c r="F17" s="64"/>
      <c r="G17" s="64" t="s">
        <v>58</v>
      </c>
    </row>
    <row r="18" spans="2:18" ht="15.75">
      <c r="B18" s="99" t="s">
        <v>312</v>
      </c>
      <c r="C18" s="96">
        <v>-100</v>
      </c>
      <c r="D18" s="97"/>
      <c r="E18" s="63">
        <v>0</v>
      </c>
      <c r="F18" s="64"/>
      <c r="G18" s="64" t="s">
        <v>58</v>
      </c>
      <c r="H18" s="143"/>
      <c r="M18" s="221" t="s">
        <v>1018</v>
      </c>
      <c r="N18" s="221" t="s">
        <v>1019</v>
      </c>
      <c r="O18" s="221" t="s">
        <v>1020</v>
      </c>
    </row>
    <row r="19" spans="2:18">
      <c r="B19" s="99" t="s">
        <v>1069</v>
      </c>
      <c r="C19" s="96">
        <v>-935</v>
      </c>
      <c r="D19" s="97"/>
      <c r="E19" s="63">
        <v>0</v>
      </c>
      <c r="F19" s="64"/>
      <c r="G19" s="64" t="s">
        <v>58</v>
      </c>
      <c r="M19" s="10" t="s">
        <v>1015</v>
      </c>
      <c r="N19" s="184">
        <v>0</v>
      </c>
      <c r="O19" s="185">
        <v>8</v>
      </c>
    </row>
    <row r="20" spans="2:18">
      <c r="B20" s="99" t="s">
        <v>103</v>
      </c>
      <c r="C20" s="96">
        <f>-'Mar13'!I3</f>
        <v>-5642.2</v>
      </c>
      <c r="D20" s="97"/>
      <c r="E20" s="63">
        <v>0</v>
      </c>
      <c r="F20" s="64"/>
      <c r="G20" s="64" t="s">
        <v>58</v>
      </c>
      <c r="M20" s="10" t="s">
        <v>1010</v>
      </c>
      <c r="N20" s="184">
        <v>3</v>
      </c>
      <c r="O20" s="185">
        <v>0</v>
      </c>
      <c r="Q20" s="161"/>
      <c r="R20" s="161"/>
    </row>
    <row r="21" spans="2:18">
      <c r="B21" s="99" t="s">
        <v>1082</v>
      </c>
      <c r="C21" s="96">
        <v>-120</v>
      </c>
      <c r="D21" s="97"/>
      <c r="E21" s="63">
        <v>0</v>
      </c>
      <c r="F21" s="64"/>
      <c r="G21" s="64" t="s">
        <v>58</v>
      </c>
      <c r="M21" s="10" t="s">
        <v>1012</v>
      </c>
      <c r="N21" s="184">
        <v>1</v>
      </c>
      <c r="O21" s="185">
        <v>4</v>
      </c>
      <c r="Q21" s="161"/>
      <c r="R21" s="161"/>
    </row>
    <row r="22" spans="2:18">
      <c r="B22" s="99" t="s">
        <v>1080</v>
      </c>
      <c r="C22" s="96">
        <v>786.7</v>
      </c>
      <c r="D22" s="97"/>
      <c r="E22" s="63">
        <v>0</v>
      </c>
      <c r="F22" s="64"/>
      <c r="G22" s="64" t="s">
        <v>58</v>
      </c>
      <c r="M22" s="10" t="s">
        <v>1075</v>
      </c>
      <c r="N22" s="184">
        <v>0</v>
      </c>
      <c r="O22" s="185">
        <v>2</v>
      </c>
      <c r="Q22" s="161"/>
      <c r="R22" s="161"/>
    </row>
    <row r="23" spans="2:18">
      <c r="B23" s="99" t="s">
        <v>102</v>
      </c>
      <c r="C23" s="96">
        <v>0</v>
      </c>
      <c r="D23" s="97"/>
      <c r="E23" s="63">
        <v>0</v>
      </c>
      <c r="F23" s="64"/>
      <c r="G23" s="64" t="s">
        <v>58</v>
      </c>
      <c r="M23" s="10" t="s">
        <v>1055</v>
      </c>
      <c r="N23" s="184">
        <v>0</v>
      </c>
      <c r="O23" s="185">
        <v>1</v>
      </c>
    </row>
    <row r="24" spans="2:18">
      <c r="B24" s="99" t="s">
        <v>1032</v>
      </c>
      <c r="C24" s="96">
        <v>0</v>
      </c>
      <c r="D24" s="97"/>
      <c r="E24" s="63">
        <v>0</v>
      </c>
      <c r="F24" s="64"/>
      <c r="G24" s="64" t="s">
        <v>58</v>
      </c>
      <c r="M24" s="10" t="s">
        <v>1011</v>
      </c>
      <c r="N24" s="184">
        <v>0</v>
      </c>
      <c r="O24" s="185">
        <v>6</v>
      </c>
    </row>
    <row r="25" spans="2:18">
      <c r="B25" s="99" t="s">
        <v>73</v>
      </c>
      <c r="C25" s="96">
        <v>-722.23</v>
      </c>
      <c r="D25" s="97"/>
      <c r="E25" s="63">
        <v>0</v>
      </c>
      <c r="F25" s="64"/>
      <c r="G25" s="64" t="s">
        <v>58</v>
      </c>
    </row>
    <row r="26" spans="2:18">
      <c r="B26" s="99" t="s">
        <v>41</v>
      </c>
      <c r="C26" s="96">
        <v>-49.93</v>
      </c>
      <c r="D26" s="97"/>
      <c r="E26" s="63">
        <v>0</v>
      </c>
      <c r="F26" s="64"/>
      <c r="G26" s="64" t="s">
        <v>58</v>
      </c>
    </row>
    <row r="27" spans="2:18">
      <c r="B27" s="99" t="s">
        <v>1083</v>
      </c>
      <c r="C27" s="96">
        <v>-718.51</v>
      </c>
      <c r="D27" s="97"/>
      <c r="E27" s="63">
        <v>0</v>
      </c>
      <c r="F27" s="64"/>
      <c r="G27" s="64" t="s">
        <v>58</v>
      </c>
    </row>
    <row r="28" spans="2:18">
      <c r="B28" s="99" t="s">
        <v>586</v>
      </c>
      <c r="C28" s="96">
        <v>-175.23</v>
      </c>
      <c r="D28" s="97"/>
      <c r="E28" s="63">
        <v>0</v>
      </c>
      <c r="F28" s="64"/>
      <c r="G28" s="64" t="s">
        <v>58</v>
      </c>
    </row>
    <row r="29" spans="2:18">
      <c r="B29" s="99" t="s">
        <v>924</v>
      </c>
      <c r="C29" s="96">
        <v>-51.24</v>
      </c>
      <c r="D29" s="97"/>
      <c r="E29" s="63">
        <v>0</v>
      </c>
      <c r="F29" s="64"/>
      <c r="G29" s="64" t="s">
        <v>58</v>
      </c>
    </row>
    <row r="30" spans="2:18">
      <c r="B30" s="99" t="s">
        <v>140</v>
      </c>
      <c r="C30" s="96">
        <v>8768.42</v>
      </c>
      <c r="D30" s="97"/>
      <c r="E30" s="190">
        <f>C30</f>
        <v>8768.42</v>
      </c>
      <c r="F30" s="191"/>
      <c r="G30" s="191"/>
    </row>
    <row r="31" spans="2:18">
      <c r="B31" s="99" t="s">
        <v>1084</v>
      </c>
      <c r="C31" s="96">
        <f>-5900*2.01</f>
        <v>-11858.999999999998</v>
      </c>
      <c r="D31" s="97"/>
      <c r="E31" s="190">
        <f>C31</f>
        <v>-11858.999999999998</v>
      </c>
      <c r="F31" s="191"/>
      <c r="G31" s="191"/>
    </row>
    <row r="32" spans="2:18">
      <c r="B32" s="99" t="s">
        <v>686</v>
      </c>
      <c r="C32" s="96">
        <v>-588.65</v>
      </c>
      <c r="D32" s="97"/>
      <c r="E32" s="63">
        <v>0</v>
      </c>
      <c r="F32" s="64"/>
      <c r="G32" s="64" t="s">
        <v>58</v>
      </c>
    </row>
    <row r="33" spans="2:7" ht="18">
      <c r="B33" s="74" t="s">
        <v>45</v>
      </c>
      <c r="C33" s="188"/>
      <c r="D33" s="98"/>
      <c r="E33" s="129">
        <f>SUM(E3:E32)</f>
        <v>-3830.3699999999981</v>
      </c>
      <c r="F33" s="75"/>
      <c r="G33" s="75"/>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89.xml><?xml version="1.0" encoding="utf-8"?>
<worksheet xmlns="http://schemas.openxmlformats.org/spreadsheetml/2006/main" xmlns:r="http://schemas.openxmlformats.org/officeDocument/2006/relationships">
  <sheetPr>
    <pageSetUpPr autoPageBreaks="0"/>
  </sheetPr>
  <dimension ref="B1:R30"/>
  <sheetViews>
    <sheetView zoomScale="75" zoomScaleNormal="75" zoomScalePageLayoutView="75" workbookViewId="0">
      <selection activeCell="C4" sqref="C4"/>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12.85546875" customWidth="1"/>
    <col min="17" max="17" width="11.140625" customWidth="1"/>
    <col min="18" max="18" width="9.42578125" customWidth="1"/>
  </cols>
  <sheetData>
    <row r="1" spans="2:15">
      <c r="E1" s="106"/>
    </row>
    <row r="2" spans="2:15" ht="18">
      <c r="B2" s="220" t="s">
        <v>135</v>
      </c>
      <c r="C2" s="220" t="s">
        <v>136</v>
      </c>
      <c r="D2" s="90"/>
      <c r="E2" s="220" t="s">
        <v>0</v>
      </c>
      <c r="F2" s="82" t="s">
        <v>1</v>
      </c>
      <c r="G2" s="82" t="s">
        <v>57</v>
      </c>
      <c r="I2" s="221" t="s">
        <v>913</v>
      </c>
      <c r="J2" s="221" t="s">
        <v>408</v>
      </c>
      <c r="K2" s="221" t="s">
        <v>1</v>
      </c>
      <c r="M2" s="221" t="s">
        <v>993</v>
      </c>
      <c r="N2" s="221" t="s">
        <v>408</v>
      </c>
      <c r="O2" s="221" t="s">
        <v>1</v>
      </c>
    </row>
    <row r="3" spans="2:15">
      <c r="B3" s="71" t="s">
        <v>56</v>
      </c>
      <c r="C3" s="91">
        <v>0</v>
      </c>
      <c r="D3" s="92">
        <v>0</v>
      </c>
      <c r="E3" s="95">
        <v>28.11</v>
      </c>
      <c r="F3" s="72"/>
      <c r="G3" s="72"/>
      <c r="I3" s="10">
        <v>3904.24</v>
      </c>
      <c r="J3" s="10" t="s">
        <v>914</v>
      </c>
      <c r="K3" s="16"/>
      <c r="M3" s="10">
        <v>2602.17</v>
      </c>
      <c r="N3" s="10" t="s">
        <v>1010</v>
      </c>
      <c r="O3" s="16"/>
    </row>
    <row r="4" spans="2:15" ht="12" customHeight="1">
      <c r="B4" s="71" t="s">
        <v>5</v>
      </c>
      <c r="C4" s="91">
        <v>7719.09</v>
      </c>
      <c r="D4" s="92"/>
      <c r="E4" s="95">
        <v>0</v>
      </c>
      <c r="F4" s="72"/>
      <c r="G4" s="72"/>
      <c r="I4" s="10">
        <v>0</v>
      </c>
      <c r="J4" s="10" t="s">
        <v>915</v>
      </c>
      <c r="K4" s="16"/>
      <c r="M4" s="10">
        <f>(3167.36/4)*1</f>
        <v>791.84</v>
      </c>
      <c r="N4" s="10" t="s">
        <v>1012</v>
      </c>
      <c r="O4" s="16"/>
    </row>
    <row r="5" spans="2:15" ht="12" customHeight="1">
      <c r="B5" s="186" t="s">
        <v>1066</v>
      </c>
      <c r="C5" s="91">
        <v>165</v>
      </c>
      <c r="D5" s="92"/>
      <c r="E5" s="95">
        <v>0</v>
      </c>
      <c r="F5" s="72"/>
      <c r="G5" s="72"/>
      <c r="I5" s="10"/>
      <c r="J5" s="10"/>
      <c r="K5" s="16"/>
      <c r="M5" s="10">
        <v>400</v>
      </c>
      <c r="N5" s="10" t="s">
        <v>1024</v>
      </c>
      <c r="O5" s="16"/>
    </row>
    <row r="6" spans="2:15">
      <c r="B6" s="186" t="s">
        <v>107</v>
      </c>
      <c r="C6" s="91">
        <v>430.3</v>
      </c>
      <c r="D6" s="92"/>
      <c r="E6" s="95">
        <v>0</v>
      </c>
      <c r="F6" s="72"/>
      <c r="G6" s="72"/>
      <c r="M6" s="10">
        <v>0</v>
      </c>
      <c r="N6" s="10" t="s">
        <v>1056</v>
      </c>
      <c r="O6" s="16"/>
    </row>
    <row r="7" spans="2:15">
      <c r="B7" s="186" t="s">
        <v>81</v>
      </c>
      <c r="C7" s="91">
        <v>70</v>
      </c>
      <c r="D7" s="92"/>
      <c r="E7" s="95">
        <v>0</v>
      </c>
      <c r="F7" s="72"/>
      <c r="G7" s="72"/>
      <c r="M7" s="144">
        <f>SUM(M3:M6)</f>
        <v>3794.01</v>
      </c>
      <c r="N7" s="144" t="s">
        <v>564</v>
      </c>
      <c r="O7" s="145"/>
    </row>
    <row r="8" spans="2:15">
      <c r="B8" s="186" t="s">
        <v>1079</v>
      </c>
      <c r="C8" s="91">
        <v>146.94999999999999</v>
      </c>
      <c r="D8" s="92"/>
      <c r="E8" s="95">
        <v>0</v>
      </c>
      <c r="F8" s="72"/>
      <c r="G8" s="72"/>
    </row>
    <row r="9" spans="2:15" ht="15.75">
      <c r="B9" s="186" t="s">
        <v>107</v>
      </c>
      <c r="C9" s="91">
        <v>136</v>
      </c>
      <c r="D9" s="92"/>
      <c r="E9" s="95">
        <f>C9</f>
        <v>136</v>
      </c>
      <c r="F9" s="72"/>
      <c r="G9" s="72"/>
      <c r="M9" s="221" t="s">
        <v>707</v>
      </c>
      <c r="N9" s="221" t="s">
        <v>408</v>
      </c>
      <c r="O9" s="221" t="s">
        <v>1</v>
      </c>
    </row>
    <row r="10" spans="2:15" ht="14.25" customHeight="1">
      <c r="B10" s="186" t="s">
        <v>1073</v>
      </c>
      <c r="C10" s="91">
        <v>306.20999999999998</v>
      </c>
      <c r="D10" s="92"/>
      <c r="E10" s="95">
        <v>0</v>
      </c>
      <c r="F10" s="72"/>
      <c r="G10" s="72"/>
      <c r="M10" s="10">
        <v>7474.49</v>
      </c>
      <c r="N10" s="10" t="s">
        <v>1015</v>
      </c>
      <c r="O10" s="16"/>
    </row>
    <row r="11" spans="2:15">
      <c r="B11" s="99" t="s">
        <v>714</v>
      </c>
      <c r="C11" s="96">
        <v>-40</v>
      </c>
      <c r="D11" s="97"/>
      <c r="E11" s="63">
        <v>0</v>
      </c>
      <c r="F11" s="64"/>
      <c r="G11" s="64" t="s">
        <v>58</v>
      </c>
      <c r="M11" s="10">
        <v>0</v>
      </c>
      <c r="N11" s="10" t="s">
        <v>1010</v>
      </c>
      <c r="O11" s="16"/>
    </row>
    <row r="12" spans="2:15">
      <c r="B12" s="99" t="s">
        <v>1085</v>
      </c>
      <c r="C12" s="96">
        <v>4000</v>
      </c>
      <c r="D12" s="97"/>
      <c r="E12" s="63">
        <v>0</v>
      </c>
      <c r="F12" s="64"/>
      <c r="G12" s="64" t="s">
        <v>58</v>
      </c>
      <c r="M12" s="10">
        <f>(3167.36/4)*3</f>
        <v>2375.52</v>
      </c>
      <c r="N12" s="10" t="s">
        <v>1012</v>
      </c>
      <c r="O12" s="16"/>
    </row>
    <row r="13" spans="2:15">
      <c r="B13" s="99" t="s">
        <v>1086</v>
      </c>
      <c r="C13" s="96">
        <v>2047.75</v>
      </c>
      <c r="D13" s="97"/>
      <c r="E13" s="63">
        <v>0</v>
      </c>
      <c r="F13" s="64"/>
      <c r="G13" s="64" t="s">
        <v>58</v>
      </c>
      <c r="M13" s="10">
        <v>724.3</v>
      </c>
      <c r="N13" s="10" t="s">
        <v>1075</v>
      </c>
      <c r="O13" s="16"/>
    </row>
    <row r="14" spans="2:15">
      <c r="B14" s="99" t="s">
        <v>144</v>
      </c>
      <c r="C14" s="96">
        <v>-600</v>
      </c>
      <c r="D14" s="97"/>
      <c r="E14" s="63">
        <v>0</v>
      </c>
      <c r="F14" s="64"/>
      <c r="G14" s="64" t="s">
        <v>58</v>
      </c>
      <c r="M14" s="10">
        <v>6427.41</v>
      </c>
      <c r="N14" s="10" t="s">
        <v>1048</v>
      </c>
      <c r="O14" s="16"/>
    </row>
    <row r="15" spans="2:15">
      <c r="B15" s="99" t="s">
        <v>312</v>
      </c>
      <c r="C15" s="96">
        <v>-50</v>
      </c>
      <c r="D15" s="97"/>
      <c r="E15" s="63">
        <v>0</v>
      </c>
      <c r="F15" s="64"/>
      <c r="G15" s="64" t="s">
        <v>58</v>
      </c>
      <c r="I15" s="187"/>
      <c r="M15" s="10">
        <v>1832.88</v>
      </c>
      <c r="N15" s="10" t="s">
        <v>1087</v>
      </c>
      <c r="O15" s="16"/>
    </row>
    <row r="16" spans="2:15">
      <c r="B16" s="99" t="s">
        <v>1069</v>
      </c>
      <c r="C16" s="96">
        <v>-935</v>
      </c>
      <c r="D16" s="97"/>
      <c r="E16" s="63">
        <v>0</v>
      </c>
      <c r="F16" s="64"/>
      <c r="G16" s="64" t="s">
        <v>58</v>
      </c>
      <c r="M16" s="10">
        <f>316.86*1.98</f>
        <v>627.38279999999997</v>
      </c>
      <c r="N16" s="10" t="s">
        <v>1088</v>
      </c>
      <c r="O16" s="16"/>
    </row>
    <row r="17" spans="2:18">
      <c r="B17" s="99" t="s">
        <v>103</v>
      </c>
      <c r="C17" s="96">
        <v>-6356.94</v>
      </c>
      <c r="D17" s="97"/>
      <c r="E17" s="63">
        <v>0</v>
      </c>
      <c r="F17" s="64"/>
      <c r="G17" s="64" t="s">
        <v>58</v>
      </c>
      <c r="M17" s="144">
        <f>SUM(M10:M16)</f>
        <v>19461.982800000002</v>
      </c>
      <c r="N17" s="144" t="s">
        <v>1031</v>
      </c>
      <c r="O17" s="145"/>
    </row>
    <row r="18" spans="2:18">
      <c r="B18" s="99" t="s">
        <v>934</v>
      </c>
      <c r="C18" s="96">
        <v>-400</v>
      </c>
      <c r="D18" s="97"/>
      <c r="E18" s="63">
        <v>0</v>
      </c>
      <c r="F18" s="64"/>
      <c r="G18" s="64" t="s">
        <v>58</v>
      </c>
      <c r="H18" s="143"/>
    </row>
    <row r="19" spans="2:18" ht="15.75">
      <c r="B19" s="99" t="s">
        <v>102</v>
      </c>
      <c r="C19" s="96">
        <v>0</v>
      </c>
      <c r="D19" s="97"/>
      <c r="E19" s="63">
        <v>0</v>
      </c>
      <c r="F19" s="64"/>
      <c r="G19" s="64" t="s">
        <v>58</v>
      </c>
      <c r="M19" s="221" t="s">
        <v>1018</v>
      </c>
      <c r="N19" s="221" t="s">
        <v>1019</v>
      </c>
      <c r="O19" s="221" t="s">
        <v>1020</v>
      </c>
    </row>
    <row r="20" spans="2:18">
      <c r="B20" s="99" t="s">
        <v>1032</v>
      </c>
      <c r="C20" s="96">
        <v>0</v>
      </c>
      <c r="D20" s="97"/>
      <c r="E20" s="63">
        <v>0</v>
      </c>
      <c r="F20" s="64"/>
      <c r="G20" s="64" t="s">
        <v>58</v>
      </c>
      <c r="M20" s="10" t="s">
        <v>1015</v>
      </c>
      <c r="N20" s="184">
        <v>0</v>
      </c>
      <c r="O20" s="185">
        <v>8</v>
      </c>
      <c r="Q20" s="161"/>
      <c r="R20" s="161"/>
    </row>
    <row r="21" spans="2:18">
      <c r="B21" s="99" t="s">
        <v>73</v>
      </c>
      <c r="C21" s="96">
        <v>-703.84</v>
      </c>
      <c r="D21" s="97"/>
      <c r="E21" s="63">
        <v>0</v>
      </c>
      <c r="F21" s="64"/>
      <c r="G21" s="64" t="s">
        <v>58</v>
      </c>
      <c r="M21" s="10" t="s">
        <v>1010</v>
      </c>
      <c r="N21" s="184">
        <v>3</v>
      </c>
      <c r="O21" s="185">
        <v>0</v>
      </c>
      <c r="Q21" s="161"/>
      <c r="R21" s="161"/>
    </row>
    <row r="22" spans="2:18">
      <c r="B22" s="99" t="s">
        <v>41</v>
      </c>
      <c r="C22" s="96">
        <v>-50.78</v>
      </c>
      <c r="D22" s="97"/>
      <c r="E22" s="63">
        <v>0</v>
      </c>
      <c r="F22" s="64"/>
      <c r="G22" s="64" t="s">
        <v>58</v>
      </c>
      <c r="M22" s="10" t="s">
        <v>1012</v>
      </c>
      <c r="N22" s="184">
        <v>1</v>
      </c>
      <c r="O22" s="185">
        <v>3</v>
      </c>
      <c r="Q22" s="161"/>
      <c r="R22" s="161"/>
    </row>
    <row r="23" spans="2:18">
      <c r="B23" s="99" t="s">
        <v>586</v>
      </c>
      <c r="C23" s="96">
        <v>-175.23</v>
      </c>
      <c r="D23" s="97"/>
      <c r="E23" s="63">
        <v>0</v>
      </c>
      <c r="F23" s="64"/>
      <c r="G23" s="64" t="s">
        <v>58</v>
      </c>
      <c r="M23" s="10" t="s">
        <v>1075</v>
      </c>
      <c r="N23" s="184">
        <v>0</v>
      </c>
      <c r="O23" s="185">
        <v>1</v>
      </c>
    </row>
    <row r="24" spans="2:18">
      <c r="B24" s="99" t="s">
        <v>1089</v>
      </c>
      <c r="C24" s="96">
        <v>-120</v>
      </c>
      <c r="D24" s="97"/>
      <c r="E24" s="63">
        <v>0</v>
      </c>
      <c r="F24" s="64"/>
      <c r="G24" s="64" t="s">
        <v>58</v>
      </c>
      <c r="M24" s="10" t="s">
        <v>1055</v>
      </c>
      <c r="N24" s="184">
        <v>0</v>
      </c>
      <c r="O24" s="185">
        <v>3</v>
      </c>
    </row>
    <row r="25" spans="2:18">
      <c r="B25" s="99" t="s">
        <v>924</v>
      </c>
      <c r="C25" s="96">
        <v>-44.3</v>
      </c>
      <c r="D25" s="97"/>
      <c r="E25" s="63">
        <v>0</v>
      </c>
      <c r="F25" s="64"/>
      <c r="G25" s="64" t="s">
        <v>58</v>
      </c>
      <c r="M25" s="10" t="s">
        <v>1090</v>
      </c>
      <c r="N25" s="184">
        <v>0</v>
      </c>
      <c r="O25" s="185">
        <v>1</v>
      </c>
    </row>
    <row r="26" spans="2:18">
      <c r="B26" s="99" t="s">
        <v>143</v>
      </c>
      <c r="C26" s="96">
        <v>160</v>
      </c>
      <c r="D26" s="97"/>
      <c r="E26" s="63">
        <v>0</v>
      </c>
      <c r="F26" s="64"/>
      <c r="G26" s="64" t="s">
        <v>58</v>
      </c>
      <c r="M26" s="10"/>
      <c r="N26" s="184">
        <v>0</v>
      </c>
      <c r="O26" s="185">
        <v>0</v>
      </c>
    </row>
    <row r="27" spans="2:18">
      <c r="B27" s="99" t="s">
        <v>755</v>
      </c>
      <c r="C27" s="96">
        <v>8316.08</v>
      </c>
      <c r="D27" s="97"/>
      <c r="E27" s="63">
        <v>0</v>
      </c>
      <c r="F27" s="64"/>
      <c r="G27" s="64" t="s">
        <v>58</v>
      </c>
      <c r="M27" s="10"/>
      <c r="N27" s="184">
        <v>0</v>
      </c>
      <c r="O27" s="185">
        <v>0</v>
      </c>
    </row>
    <row r="28" spans="2:18">
      <c r="B28" s="99" t="s">
        <v>102</v>
      </c>
      <c r="C28" s="96">
        <v>-3371.31</v>
      </c>
      <c r="D28" s="97"/>
      <c r="E28" s="63">
        <v>0</v>
      </c>
      <c r="F28" s="64"/>
      <c r="G28" s="64" t="s">
        <v>58</v>
      </c>
    </row>
    <row r="29" spans="2:18">
      <c r="B29" s="99" t="s">
        <v>686</v>
      </c>
      <c r="C29" s="96">
        <v>-657.07</v>
      </c>
      <c r="D29" s="97"/>
      <c r="E29" s="63">
        <v>0</v>
      </c>
      <c r="F29" s="64"/>
      <c r="G29" s="64" t="s">
        <v>58</v>
      </c>
    </row>
    <row r="30" spans="2:18" ht="18">
      <c r="B30" s="74" t="s">
        <v>45</v>
      </c>
      <c r="C30" s="188"/>
      <c r="D30" s="98"/>
      <c r="E30" s="129">
        <f>SUM(E3:E29)</f>
        <v>164.11</v>
      </c>
      <c r="F30" s="75"/>
      <c r="G30" s="75"/>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pageSetUpPr autoPageBreaks="0"/>
  </sheetPr>
  <dimension ref="B2:J29"/>
  <sheetViews>
    <sheetView showGridLines="0" workbookViewId="0">
      <selection activeCell="H16" activeCellId="1" sqref="G13 H16"/>
    </sheetView>
  </sheetViews>
  <sheetFormatPr defaultColWidth="8.85546875" defaultRowHeight="12.75"/>
  <cols>
    <col min="1" max="1" width="1" customWidth="1"/>
    <col min="2" max="2" width="25.7109375" customWidth="1"/>
    <col min="3" max="3" width="18.28515625" style="1" customWidth="1"/>
    <col min="4" max="5" width="10.28515625" style="32" customWidth="1"/>
    <col min="6" max="6" width="3" customWidth="1"/>
    <col min="7" max="7" width="12.42578125" customWidth="1"/>
    <col min="8" max="8" width="16.85546875" customWidth="1"/>
    <col min="9" max="9" width="15.42578125" customWidth="1"/>
  </cols>
  <sheetData>
    <row r="2" spans="2:10" ht="18">
      <c r="B2" s="579" t="s">
        <v>0</v>
      </c>
      <c r="C2" s="579"/>
      <c r="D2" s="59" t="s">
        <v>1</v>
      </c>
      <c r="E2" s="59" t="s">
        <v>57</v>
      </c>
    </row>
    <row r="3" spans="2:10">
      <c r="B3" s="60" t="s">
        <v>7</v>
      </c>
      <c r="C3" s="60">
        <v>12.68</v>
      </c>
      <c r="D3" s="73"/>
      <c r="E3" s="73"/>
      <c r="G3" s="8"/>
      <c r="H3" s="1"/>
    </row>
    <row r="4" spans="2:10">
      <c r="B4" s="62" t="s">
        <v>11</v>
      </c>
      <c r="C4" s="62">
        <v>-465.65</v>
      </c>
      <c r="D4" s="61"/>
      <c r="E4" s="61"/>
      <c r="G4" s="8"/>
      <c r="H4" s="1"/>
    </row>
    <row r="5" spans="2:10">
      <c r="B5" s="62" t="s">
        <v>56</v>
      </c>
      <c r="C5" s="62">
        <v>-69.48</v>
      </c>
      <c r="D5" s="61"/>
      <c r="E5" s="61"/>
      <c r="G5" s="8"/>
      <c r="H5" s="1"/>
    </row>
    <row r="6" spans="2:10" s="8" customFormat="1">
      <c r="B6" s="63" t="s">
        <v>84</v>
      </c>
      <c r="C6" s="63">
        <v>0</v>
      </c>
      <c r="D6" s="64">
        <v>38988</v>
      </c>
      <c r="E6" s="64" t="s">
        <v>58</v>
      </c>
      <c r="G6"/>
      <c r="H6"/>
      <c r="I6"/>
      <c r="J6"/>
    </row>
    <row r="7" spans="2:10" s="8" customFormat="1">
      <c r="B7" s="63" t="s">
        <v>65</v>
      </c>
      <c r="C7" s="63">
        <v>0</v>
      </c>
      <c r="D7" s="64">
        <v>38989</v>
      </c>
      <c r="E7" s="64" t="s">
        <v>58</v>
      </c>
      <c r="G7"/>
      <c r="H7"/>
      <c r="I7"/>
      <c r="J7"/>
    </row>
    <row r="8" spans="2:10" s="8" customFormat="1">
      <c r="B8" s="63" t="s">
        <v>85</v>
      </c>
      <c r="C8" s="63">
        <v>0</v>
      </c>
      <c r="D8" s="64">
        <v>38989</v>
      </c>
      <c r="E8" s="64" t="s">
        <v>58</v>
      </c>
      <c r="G8"/>
      <c r="H8"/>
      <c r="I8"/>
      <c r="J8"/>
    </row>
    <row r="9" spans="2:10" s="8" customFormat="1">
      <c r="B9" s="63" t="s">
        <v>86</v>
      </c>
      <c r="C9" s="63">
        <v>0</v>
      </c>
      <c r="D9" s="64" t="s">
        <v>87</v>
      </c>
      <c r="E9" s="64" t="s">
        <v>58</v>
      </c>
      <c r="G9"/>
      <c r="H9"/>
      <c r="I9"/>
      <c r="J9"/>
    </row>
    <row r="10" spans="2:10" s="8" customFormat="1">
      <c r="B10" s="63" t="s">
        <v>14</v>
      </c>
      <c r="C10" s="63">
        <v>0</v>
      </c>
      <c r="D10" s="64">
        <v>38988</v>
      </c>
      <c r="E10" s="64" t="s">
        <v>58</v>
      </c>
      <c r="G10"/>
      <c r="H10"/>
      <c r="I10"/>
      <c r="J10"/>
    </row>
    <row r="11" spans="2:10" s="8" customFormat="1">
      <c r="B11" s="63" t="s">
        <v>88</v>
      </c>
      <c r="C11" s="63">
        <v>0</v>
      </c>
      <c r="D11" s="64"/>
      <c r="E11" s="64" t="s">
        <v>58</v>
      </c>
      <c r="G11"/>
      <c r="H11"/>
      <c r="I11"/>
      <c r="J11"/>
    </row>
    <row r="12" spans="2:10" s="8" customFormat="1">
      <c r="B12" s="63" t="s">
        <v>89</v>
      </c>
      <c r="C12" s="63">
        <v>0</v>
      </c>
      <c r="D12" s="64"/>
      <c r="E12" s="64" t="s">
        <v>58</v>
      </c>
      <c r="G12"/>
      <c r="H12"/>
      <c r="I12"/>
      <c r="J12"/>
    </row>
    <row r="13" spans="2:10" s="8" customFormat="1">
      <c r="B13" s="63" t="s">
        <v>90</v>
      </c>
      <c r="C13" s="63">
        <v>0</v>
      </c>
      <c r="D13" s="64">
        <v>38995</v>
      </c>
      <c r="E13" s="64" t="s">
        <v>58</v>
      </c>
      <c r="G13"/>
      <c r="H13"/>
      <c r="I13"/>
      <c r="J13"/>
    </row>
    <row r="14" spans="2:10" s="8" customFormat="1">
      <c r="B14" s="63" t="s">
        <v>91</v>
      </c>
      <c r="C14" s="63">
        <v>0</v>
      </c>
      <c r="D14" s="64"/>
      <c r="E14" s="64" t="s">
        <v>58</v>
      </c>
      <c r="G14"/>
      <c r="H14"/>
      <c r="I14"/>
      <c r="J14"/>
    </row>
    <row r="15" spans="2:10" s="8" customFormat="1">
      <c r="B15" s="63" t="s">
        <v>92</v>
      </c>
      <c r="C15" s="63">
        <v>0</v>
      </c>
      <c r="D15" s="64"/>
      <c r="E15" s="64" t="s">
        <v>58</v>
      </c>
      <c r="G15"/>
      <c r="H15"/>
      <c r="I15"/>
      <c r="J15"/>
    </row>
    <row r="16" spans="2:10" s="8" customFormat="1">
      <c r="B16" s="63" t="s">
        <v>82</v>
      </c>
      <c r="C16" s="63">
        <v>0</v>
      </c>
      <c r="D16" s="64"/>
      <c r="E16" s="64" t="s">
        <v>58</v>
      </c>
      <c r="G16"/>
      <c r="H16"/>
      <c r="I16"/>
      <c r="J16"/>
    </row>
    <row r="17" spans="2:10" s="8" customFormat="1">
      <c r="B17" s="63" t="s">
        <v>93</v>
      </c>
      <c r="C17" s="63">
        <v>0</v>
      </c>
      <c r="D17" s="64">
        <v>38991</v>
      </c>
      <c r="E17" s="64"/>
      <c r="G17"/>
      <c r="H17"/>
      <c r="I17"/>
      <c r="J17"/>
    </row>
    <row r="18" spans="2:10" s="8" customFormat="1">
      <c r="B18" s="63" t="s">
        <v>28</v>
      </c>
      <c r="C18" s="63">
        <v>0</v>
      </c>
      <c r="D18" s="64" t="s">
        <v>94</v>
      </c>
      <c r="E18" s="64" t="s">
        <v>58</v>
      </c>
      <c r="G18"/>
      <c r="H18"/>
      <c r="I18"/>
      <c r="J18"/>
    </row>
    <row r="19" spans="2:10" s="8" customFormat="1">
      <c r="B19" s="63" t="s">
        <v>29</v>
      </c>
      <c r="C19" s="63">
        <v>0</v>
      </c>
      <c r="D19" s="64" t="s">
        <v>95</v>
      </c>
      <c r="E19" s="64" t="s">
        <v>58</v>
      </c>
      <c r="G19"/>
      <c r="H19"/>
      <c r="I19"/>
      <c r="J19"/>
    </row>
    <row r="20" spans="2:10" s="8" customFormat="1">
      <c r="B20" s="63" t="s">
        <v>73</v>
      </c>
      <c r="C20" s="63">
        <v>0</v>
      </c>
      <c r="D20" s="64" t="s">
        <v>95</v>
      </c>
      <c r="E20" s="64" t="s">
        <v>58</v>
      </c>
      <c r="G20"/>
      <c r="H20"/>
      <c r="I20"/>
      <c r="J20"/>
    </row>
    <row r="21" spans="2:10" s="8" customFormat="1">
      <c r="B21" s="63" t="s">
        <v>96</v>
      </c>
      <c r="C21" s="63">
        <v>0</v>
      </c>
      <c r="D21" s="64"/>
      <c r="E21" s="64" t="s">
        <v>58</v>
      </c>
      <c r="G21"/>
      <c r="H21"/>
      <c r="I21" s="1"/>
      <c r="J21"/>
    </row>
    <row r="22" spans="2:10" s="8" customFormat="1">
      <c r="B22" s="63" t="s">
        <v>41</v>
      </c>
      <c r="C22" s="63">
        <v>0</v>
      </c>
      <c r="D22" s="64" t="s">
        <v>97</v>
      </c>
      <c r="E22" s="64" t="s">
        <v>58</v>
      </c>
      <c r="G22"/>
      <c r="H22"/>
      <c r="I22" s="1"/>
      <c r="J22"/>
    </row>
    <row r="23" spans="2:10" s="8" customFormat="1">
      <c r="B23" s="63" t="s">
        <v>98</v>
      </c>
      <c r="C23" s="63">
        <v>0</v>
      </c>
      <c r="D23" s="64" t="s">
        <v>99</v>
      </c>
      <c r="E23" s="64" t="s">
        <v>58</v>
      </c>
      <c r="G23"/>
      <c r="H23"/>
      <c r="I23"/>
      <c r="J23"/>
    </row>
    <row r="24" spans="2:10" s="8" customFormat="1">
      <c r="B24" s="63" t="s">
        <v>52</v>
      </c>
      <c r="C24" s="63">
        <v>0</v>
      </c>
      <c r="D24" s="64" t="s">
        <v>100</v>
      </c>
      <c r="E24" s="64" t="s">
        <v>58</v>
      </c>
      <c r="G24"/>
      <c r="H24"/>
      <c r="I24"/>
      <c r="J24"/>
    </row>
    <row r="25" spans="2:10" s="8" customFormat="1">
      <c r="B25" s="63" t="s">
        <v>60</v>
      </c>
      <c r="C25" s="63">
        <v>0</v>
      </c>
      <c r="D25" s="64" t="s">
        <v>101</v>
      </c>
      <c r="E25" s="64" t="s">
        <v>58</v>
      </c>
      <c r="G25"/>
      <c r="H25"/>
      <c r="I25"/>
      <c r="J25"/>
    </row>
    <row r="26" spans="2:10" s="8" customFormat="1">
      <c r="B26" s="63" t="s">
        <v>102</v>
      </c>
      <c r="C26" s="63">
        <v>0</v>
      </c>
      <c r="D26" s="64"/>
      <c r="E26" s="64" t="s">
        <v>58</v>
      </c>
      <c r="G26"/>
      <c r="H26"/>
      <c r="I26" s="1"/>
      <c r="J26"/>
    </row>
    <row r="27" spans="2:10">
      <c r="B27" s="71" t="s">
        <v>81</v>
      </c>
      <c r="C27" s="71">
        <v>200</v>
      </c>
      <c r="D27" s="72"/>
      <c r="E27" s="72"/>
    </row>
    <row r="28" spans="2:10">
      <c r="B28" s="63" t="s">
        <v>103</v>
      </c>
      <c r="C28" s="63">
        <v>0</v>
      </c>
      <c r="D28" s="64"/>
      <c r="E28" s="64" t="s">
        <v>58</v>
      </c>
    </row>
    <row r="29" spans="2:10" ht="18">
      <c r="B29" s="74" t="s">
        <v>45</v>
      </c>
      <c r="C29" s="74">
        <f>SUM(C3:C28)</f>
        <v>-322.44999999999993</v>
      </c>
      <c r="D29" s="75"/>
      <c r="E29" s="75"/>
    </row>
  </sheetData>
  <sheetProtection selectLockedCells="1" selectUnlockedCells="1"/>
  <mergeCells count="1">
    <mergeCell ref="B2:C2"/>
  </mergeCells>
  <pageMargins left="0.75" right="0.75" top="1" bottom="1" header="0.51180555555555551" footer="0.51180555555555551"/>
  <pageSetup firstPageNumber="0" orientation="portrait" horizontalDpi="300" verticalDpi="300"/>
  <headerFooter alignWithMargins="0"/>
</worksheet>
</file>

<file path=xl/worksheets/sheet90.xml><?xml version="1.0" encoding="utf-8"?>
<worksheet xmlns="http://schemas.openxmlformats.org/spreadsheetml/2006/main" xmlns:r="http://schemas.openxmlformats.org/officeDocument/2006/relationships">
  <sheetPr>
    <pageSetUpPr autoPageBreaks="0"/>
  </sheetPr>
  <dimension ref="B1:R27"/>
  <sheetViews>
    <sheetView zoomScale="75" zoomScaleNormal="75" zoomScalePageLayoutView="75" workbookViewId="0">
      <selection activeCell="C4" sqref="C4"/>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v>0</v>
      </c>
      <c r="E3" s="95">
        <v>-1095.1300000000001</v>
      </c>
      <c r="F3" s="72"/>
      <c r="G3" s="72"/>
      <c r="I3" s="10">
        <f>6.25*2.05+158.55</f>
        <v>171.36250000000001</v>
      </c>
      <c r="J3" s="10" t="s">
        <v>914</v>
      </c>
      <c r="K3" s="16"/>
      <c r="M3" s="10">
        <v>0</v>
      </c>
      <c r="N3" s="10" t="s">
        <v>1010</v>
      </c>
      <c r="O3" s="16"/>
      <c r="Q3" t="s">
        <v>45</v>
      </c>
      <c r="R3" s="193">
        <v>9671.5</v>
      </c>
    </row>
    <row r="4" spans="2:18" ht="12" customHeight="1">
      <c r="B4" s="71" t="s">
        <v>5</v>
      </c>
      <c r="C4" s="91">
        <f>5138.55+2826.21</f>
        <v>7964.76</v>
      </c>
      <c r="D4" s="92"/>
      <c r="E4" s="95">
        <v>0</v>
      </c>
      <c r="F4" s="72"/>
      <c r="G4" s="72"/>
      <c r="I4" s="10">
        <v>0</v>
      </c>
      <c r="J4" s="10" t="s">
        <v>915</v>
      </c>
      <c r="K4" s="16"/>
      <c r="M4" s="10">
        <v>0</v>
      </c>
      <c r="N4" s="10" t="s">
        <v>1012</v>
      </c>
      <c r="O4" s="16"/>
      <c r="Q4" t="s">
        <v>993</v>
      </c>
      <c r="R4" s="193">
        <f>R3/2</f>
        <v>4835.75</v>
      </c>
    </row>
    <row r="5" spans="2:18" ht="12" customHeight="1">
      <c r="B5" s="186" t="s">
        <v>1006</v>
      </c>
      <c r="C5" s="91">
        <v>5430.52</v>
      </c>
      <c r="D5" s="92"/>
      <c r="E5" s="95">
        <v>0</v>
      </c>
      <c r="F5" s="72"/>
      <c r="G5" s="72"/>
      <c r="I5" s="10"/>
      <c r="J5" s="10"/>
      <c r="K5" s="16"/>
      <c r="M5" s="10">
        <v>0</v>
      </c>
      <c r="N5" s="10" t="s">
        <v>1024</v>
      </c>
      <c r="O5" s="16"/>
      <c r="Q5" t="s">
        <v>1092</v>
      </c>
      <c r="R5" s="193">
        <f>R3/2</f>
        <v>4835.75</v>
      </c>
    </row>
    <row r="6" spans="2:18">
      <c r="B6" s="186" t="s">
        <v>81</v>
      </c>
      <c r="C6" s="91">
        <v>690</v>
      </c>
      <c r="D6" s="92"/>
      <c r="E6" s="95">
        <v>0</v>
      </c>
      <c r="F6" s="72"/>
      <c r="G6" s="72"/>
      <c r="M6" s="10">
        <v>0</v>
      </c>
      <c r="N6" s="10"/>
      <c r="O6" s="16"/>
    </row>
    <row r="7" spans="2:18">
      <c r="B7" s="186" t="s">
        <v>107</v>
      </c>
      <c r="C7" s="91">
        <v>136</v>
      </c>
      <c r="D7" s="92"/>
      <c r="E7" s="95">
        <v>0</v>
      </c>
      <c r="F7" s="72"/>
      <c r="G7" s="72"/>
      <c r="M7" s="10">
        <v>0</v>
      </c>
      <c r="N7" s="10"/>
      <c r="O7" s="145"/>
    </row>
    <row r="8" spans="2:18">
      <c r="B8" s="186" t="s">
        <v>1073</v>
      </c>
      <c r="C8" s="91">
        <v>306.20999999999998</v>
      </c>
      <c r="D8" s="92"/>
      <c r="E8" s="95">
        <v>0</v>
      </c>
      <c r="F8" s="72"/>
      <c r="G8" s="72"/>
      <c r="M8" s="144">
        <f>SUM(M3:M7)</f>
        <v>0</v>
      </c>
      <c r="N8" s="144" t="s">
        <v>564</v>
      </c>
      <c r="O8" s="145"/>
    </row>
    <row r="9" spans="2:18">
      <c r="B9" s="99" t="s">
        <v>714</v>
      </c>
      <c r="C9" s="96">
        <v>-88.36</v>
      </c>
      <c r="D9" s="97"/>
      <c r="E9" s="63">
        <v>0</v>
      </c>
      <c r="F9" s="64"/>
      <c r="G9" s="64" t="s">
        <v>58</v>
      </c>
    </row>
    <row r="10" spans="2:18" ht="14.25" customHeight="1">
      <c r="B10" s="99" t="s">
        <v>144</v>
      </c>
      <c r="C10" s="96">
        <v>-600</v>
      </c>
      <c r="D10" s="97"/>
      <c r="E10" s="63">
        <v>0</v>
      </c>
      <c r="F10" s="64"/>
      <c r="G10" s="64" t="s">
        <v>58</v>
      </c>
      <c r="M10" s="221" t="s">
        <v>707</v>
      </c>
      <c r="N10" s="221" t="s">
        <v>408</v>
      </c>
      <c r="O10" s="221" t="s">
        <v>1</v>
      </c>
    </row>
    <row r="11" spans="2:18">
      <c r="B11" s="99" t="s">
        <v>1069</v>
      </c>
      <c r="C11" s="96">
        <v>-935</v>
      </c>
      <c r="D11" s="97"/>
      <c r="E11" s="63">
        <v>0</v>
      </c>
      <c r="F11" s="64"/>
      <c r="G11" s="64" t="s">
        <v>58</v>
      </c>
      <c r="M11" s="10">
        <v>7498.45</v>
      </c>
      <c r="N11" s="10" t="s">
        <v>1015</v>
      </c>
      <c r="O11" s="16"/>
    </row>
    <row r="12" spans="2:18">
      <c r="B12" s="99" t="s">
        <v>103</v>
      </c>
      <c r="C12" s="96">
        <v>-3904.24</v>
      </c>
      <c r="D12" s="97"/>
      <c r="E12" s="63">
        <v>0</v>
      </c>
      <c r="F12" s="64"/>
      <c r="G12" s="64" t="s">
        <v>58</v>
      </c>
      <c r="M12" s="10">
        <v>0</v>
      </c>
      <c r="N12" s="10" t="s">
        <v>1010</v>
      </c>
      <c r="O12" s="16"/>
    </row>
    <row r="13" spans="2:18">
      <c r="B13" s="99" t="s">
        <v>1093</v>
      </c>
      <c r="C13" s="96">
        <v>401.7</v>
      </c>
      <c r="D13" s="97"/>
      <c r="E13" s="63">
        <v>0</v>
      </c>
      <c r="F13" s="64"/>
      <c r="G13" s="64" t="s">
        <v>58</v>
      </c>
      <c r="M13" s="10">
        <v>0</v>
      </c>
      <c r="N13" s="10" t="s">
        <v>1012</v>
      </c>
      <c r="O13" s="16"/>
    </row>
    <row r="14" spans="2:18">
      <c r="B14" s="99" t="s">
        <v>1094</v>
      </c>
      <c r="C14" s="96">
        <v>4107.49</v>
      </c>
      <c r="D14" s="97"/>
      <c r="E14" s="63">
        <v>0</v>
      </c>
      <c r="F14" s="64"/>
      <c r="G14" s="64" t="s">
        <v>58</v>
      </c>
      <c r="I14" s="52"/>
      <c r="M14" s="10">
        <v>6351.14</v>
      </c>
      <c r="N14" s="10" t="s">
        <v>1048</v>
      </c>
      <c r="O14" s="16"/>
    </row>
    <row r="15" spans="2:18">
      <c r="B15" s="99" t="s">
        <v>1095</v>
      </c>
      <c r="C15" s="96">
        <v>-10000</v>
      </c>
      <c r="D15" s="97"/>
      <c r="E15" s="63">
        <v>0</v>
      </c>
      <c r="F15" s="64"/>
      <c r="G15" s="64" t="s">
        <v>58</v>
      </c>
      <c r="I15" s="192"/>
      <c r="M15" s="10">
        <v>1719.26</v>
      </c>
      <c r="N15" s="10" t="s">
        <v>1087</v>
      </c>
      <c r="O15" s="16"/>
    </row>
    <row r="16" spans="2:18">
      <c r="B16" s="99" t="s">
        <v>1032</v>
      </c>
      <c r="C16" s="96">
        <v>-62.8</v>
      </c>
      <c r="D16" s="97"/>
      <c r="E16" s="63">
        <v>0</v>
      </c>
      <c r="F16" s="64"/>
      <c r="G16" s="64" t="s">
        <v>58</v>
      </c>
      <c r="M16" s="10">
        <f>316.86*2.15</f>
        <v>681.24900000000002</v>
      </c>
      <c r="N16" s="10" t="s">
        <v>1088</v>
      </c>
      <c r="O16" s="16"/>
    </row>
    <row r="17" spans="2:18">
      <c r="B17" s="99" t="s">
        <v>183</v>
      </c>
      <c r="C17" s="96">
        <v>-1000</v>
      </c>
      <c r="D17" s="97"/>
      <c r="E17" s="63">
        <v>0</v>
      </c>
      <c r="F17" s="64"/>
      <c r="G17" s="64" t="s">
        <v>58</v>
      </c>
      <c r="M17" s="10">
        <v>0</v>
      </c>
      <c r="N17" s="10" t="s">
        <v>1096</v>
      </c>
      <c r="O17" s="145"/>
    </row>
    <row r="18" spans="2:18">
      <c r="B18" s="99" t="s">
        <v>755</v>
      </c>
      <c r="C18" s="96">
        <v>2308.6</v>
      </c>
      <c r="D18" s="97"/>
      <c r="E18" s="63">
        <v>0</v>
      </c>
      <c r="F18" s="64"/>
      <c r="G18" s="64" t="s">
        <v>58</v>
      </c>
      <c r="H18" s="143"/>
      <c r="M18" s="144">
        <f>SUM(M11:M17)</f>
        <v>16250.099</v>
      </c>
      <c r="N18" s="144" t="s">
        <v>1031</v>
      </c>
      <c r="O18" s="145"/>
    </row>
    <row r="19" spans="2:18">
      <c r="B19" s="99" t="s">
        <v>73</v>
      </c>
      <c r="C19" s="96">
        <v>-278.33</v>
      </c>
      <c r="D19" s="97"/>
      <c r="E19" s="63">
        <v>0</v>
      </c>
      <c r="F19" s="64"/>
      <c r="G19" s="64" t="s">
        <v>58</v>
      </c>
    </row>
    <row r="20" spans="2:18" ht="15.75">
      <c r="B20" s="99" t="s">
        <v>41</v>
      </c>
      <c r="C20" s="96">
        <v>-49.93</v>
      </c>
      <c r="D20" s="97"/>
      <c r="E20" s="63">
        <v>0</v>
      </c>
      <c r="F20" s="64"/>
      <c r="G20" s="64" t="s">
        <v>58</v>
      </c>
      <c r="M20" s="221" t="s">
        <v>1018</v>
      </c>
      <c r="N20" s="221" t="s">
        <v>1019</v>
      </c>
      <c r="O20" s="221" t="s">
        <v>1020</v>
      </c>
    </row>
    <row r="21" spans="2:18">
      <c r="B21" s="99" t="s">
        <v>586</v>
      </c>
      <c r="C21" s="96">
        <v>-175.23</v>
      </c>
      <c r="D21" s="97"/>
      <c r="E21" s="63">
        <v>0</v>
      </c>
      <c r="F21" s="64"/>
      <c r="G21" s="64" t="s">
        <v>58</v>
      </c>
      <c r="M21" s="10" t="s">
        <v>1015</v>
      </c>
      <c r="N21" s="184">
        <v>0</v>
      </c>
      <c r="O21" s="185">
        <v>8</v>
      </c>
      <c r="Q21" s="161"/>
      <c r="R21" s="161"/>
    </row>
    <row r="22" spans="2:18">
      <c r="B22" s="99" t="s">
        <v>924</v>
      </c>
      <c r="C22" s="96">
        <v>-40.69</v>
      </c>
      <c r="D22" s="97"/>
      <c r="E22" s="63">
        <v>0</v>
      </c>
      <c r="F22" s="64"/>
      <c r="G22" s="64" t="s">
        <v>58</v>
      </c>
      <c r="M22" s="10" t="s">
        <v>1010</v>
      </c>
      <c r="N22" s="184">
        <v>0</v>
      </c>
      <c r="O22" s="185">
        <v>0</v>
      </c>
      <c r="Q22" s="161"/>
      <c r="R22" s="161"/>
    </row>
    <row r="23" spans="2:18">
      <c r="B23" s="99" t="s">
        <v>685</v>
      </c>
      <c r="C23" s="96">
        <v>-47.41</v>
      </c>
      <c r="D23" s="97"/>
      <c r="E23" s="63">
        <v>0</v>
      </c>
      <c r="F23" s="64"/>
      <c r="G23" s="64" t="s">
        <v>58</v>
      </c>
      <c r="M23" s="10" t="s">
        <v>1012</v>
      </c>
      <c r="N23" s="184">
        <v>0</v>
      </c>
      <c r="O23" s="185">
        <v>3</v>
      </c>
      <c r="Q23" s="161"/>
      <c r="R23" s="161"/>
    </row>
    <row r="24" spans="2:18">
      <c r="B24" s="99" t="s">
        <v>572</v>
      </c>
      <c r="C24" s="96">
        <f>-85.13+17.02</f>
        <v>-68.11</v>
      </c>
      <c r="D24" s="97"/>
      <c r="E24" s="63">
        <v>0</v>
      </c>
      <c r="F24" s="64"/>
      <c r="G24" s="64" t="s">
        <v>58</v>
      </c>
      <c r="M24" s="10" t="s">
        <v>1075</v>
      </c>
      <c r="N24" s="184">
        <v>0</v>
      </c>
      <c r="O24" s="185">
        <v>0</v>
      </c>
    </row>
    <row r="25" spans="2:18">
      <c r="B25" s="99" t="s">
        <v>573</v>
      </c>
      <c r="C25" s="96">
        <f>-85.13+17.02</f>
        <v>-68.11</v>
      </c>
      <c r="D25" s="97"/>
      <c r="E25" s="63">
        <v>0</v>
      </c>
      <c r="F25" s="64"/>
      <c r="G25" s="64" t="s">
        <v>58</v>
      </c>
      <c r="M25" s="10" t="s">
        <v>1055</v>
      </c>
      <c r="N25" s="184">
        <v>0</v>
      </c>
      <c r="O25" s="185">
        <v>3</v>
      </c>
    </row>
    <row r="26" spans="2:18">
      <c r="B26" s="99" t="s">
        <v>686</v>
      </c>
      <c r="C26" s="96">
        <v>-578.04</v>
      </c>
      <c r="D26" s="97"/>
      <c r="E26" s="63">
        <v>0</v>
      </c>
      <c r="F26" s="64"/>
      <c r="G26" s="64" t="s">
        <v>58</v>
      </c>
      <c r="M26" s="10" t="s">
        <v>1090</v>
      </c>
      <c r="N26" s="184">
        <v>0</v>
      </c>
      <c r="O26" s="185">
        <v>1</v>
      </c>
    </row>
    <row r="27" spans="2:18" ht="18">
      <c r="B27" s="74" t="s">
        <v>45</v>
      </c>
      <c r="C27" s="188"/>
      <c r="D27" s="98"/>
      <c r="E27" s="129">
        <f>SUM(E3:E26)</f>
        <v>-1095.1300000000001</v>
      </c>
      <c r="F27" s="75"/>
      <c r="G27" s="75"/>
    </row>
  </sheetData>
  <mergeCells count="1">
    <mergeCell ref="Q2:R2"/>
  </mergeCells>
  <conditionalFormatting sqref="E16">
    <cfRule type="cellIs" dxfId="887" priority="21" stopIfTrue="1" operator="greaterThan">
      <formula>0</formula>
    </cfRule>
  </conditionalFormatting>
  <conditionalFormatting sqref="E10">
    <cfRule type="cellIs" dxfId="886" priority="20" stopIfTrue="1" operator="greaterThan">
      <formula>0</formula>
    </cfRule>
  </conditionalFormatting>
  <conditionalFormatting sqref="E24">
    <cfRule type="cellIs" dxfId="885" priority="19" stopIfTrue="1" operator="greaterThan">
      <formula>0</formula>
    </cfRule>
  </conditionalFormatting>
  <conditionalFormatting sqref="E25">
    <cfRule type="cellIs" dxfId="884" priority="18" stopIfTrue="1" operator="greaterThan">
      <formula>0</formula>
    </cfRule>
  </conditionalFormatting>
  <conditionalFormatting sqref="E12">
    <cfRule type="cellIs" dxfId="883" priority="17" stopIfTrue="1" operator="greaterThan">
      <formula>0</formula>
    </cfRule>
  </conditionalFormatting>
  <conditionalFormatting sqref="E11">
    <cfRule type="cellIs" dxfId="882" priority="15" stopIfTrue="1" operator="greaterThan">
      <formula>0</formula>
    </cfRule>
  </conditionalFormatting>
  <conditionalFormatting sqref="E13">
    <cfRule type="cellIs" dxfId="881" priority="14" stopIfTrue="1" operator="greaterThan">
      <formula>0</formula>
    </cfRule>
  </conditionalFormatting>
  <conditionalFormatting sqref="E9">
    <cfRule type="cellIs" dxfId="880" priority="13" stopIfTrue="1" operator="greaterThan">
      <formula>0</formula>
    </cfRule>
  </conditionalFormatting>
  <conditionalFormatting sqref="E14">
    <cfRule type="cellIs" dxfId="879" priority="12" stopIfTrue="1" operator="greaterThan">
      <formula>0</formula>
    </cfRule>
  </conditionalFormatting>
  <conditionalFormatting sqref="E15">
    <cfRule type="cellIs" dxfId="878" priority="11" stopIfTrue="1" operator="greaterThan">
      <formula>0</formula>
    </cfRule>
  </conditionalFormatting>
  <conditionalFormatting sqref="E26">
    <cfRule type="cellIs" dxfId="877" priority="8" stopIfTrue="1" operator="greaterThan">
      <formula>0</formula>
    </cfRule>
  </conditionalFormatting>
  <conditionalFormatting sqref="E17:E23">
    <cfRule type="cellIs" dxfId="876"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91.xml><?xml version="1.0" encoding="utf-8"?>
<worksheet xmlns="http://schemas.openxmlformats.org/spreadsheetml/2006/main" xmlns:r="http://schemas.openxmlformats.org/officeDocument/2006/relationships">
  <sheetPr>
    <pageSetUpPr autoPageBreaks="0"/>
  </sheetPr>
  <dimension ref="B1:R27"/>
  <sheetViews>
    <sheetView zoomScale="75" zoomScaleNormal="75" zoomScalePageLayoutView="75" workbookViewId="0">
      <selection activeCell="E21" sqref="E21:G21"/>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-50.37</v>
      </c>
      <c r="F3" s="72"/>
      <c r="G3" s="72"/>
      <c r="I3" s="10">
        <v>-642.09</v>
      </c>
      <c r="J3" s="10" t="s">
        <v>914</v>
      </c>
      <c r="K3" s="16"/>
      <c r="M3" s="10">
        <v>0</v>
      </c>
      <c r="N3" s="10" t="s">
        <v>1010</v>
      </c>
      <c r="O3" s="16"/>
      <c r="Q3" t="s">
        <v>45</v>
      </c>
      <c r="R3" s="193">
        <v>9509.1200000000008</v>
      </c>
    </row>
    <row r="4" spans="2:18" ht="12" customHeight="1">
      <c r="B4" s="71" t="s">
        <v>5</v>
      </c>
      <c r="C4" s="91">
        <v>6025.93</v>
      </c>
      <c r="D4" s="92"/>
      <c r="E4" s="95">
        <v>0</v>
      </c>
      <c r="F4" s="72"/>
      <c r="G4" s="72"/>
      <c r="I4" s="10">
        <v>-1589.67</v>
      </c>
      <c r="J4" s="10" t="s">
        <v>915</v>
      </c>
      <c r="K4" s="16"/>
      <c r="M4" s="10">
        <v>0</v>
      </c>
      <c r="N4" s="10" t="s">
        <v>1012</v>
      </c>
      <c r="O4" s="16"/>
      <c r="Q4" t="s">
        <v>993</v>
      </c>
      <c r="R4" s="193">
        <f>R3/2</f>
        <v>4754.5600000000004</v>
      </c>
    </row>
    <row r="5" spans="2:18" ht="12" customHeight="1">
      <c r="B5" s="186" t="s">
        <v>1013</v>
      </c>
      <c r="C5" s="91">
        <v>5430.52</v>
      </c>
      <c r="D5" s="92"/>
      <c r="E5" s="95">
        <v>0</v>
      </c>
      <c r="F5" s="72"/>
      <c r="G5" s="72"/>
      <c r="I5" s="10"/>
      <c r="J5" s="10"/>
      <c r="K5" s="16"/>
      <c r="M5" s="10">
        <v>0</v>
      </c>
      <c r="N5" s="10" t="s">
        <v>1024</v>
      </c>
      <c r="O5" s="16"/>
      <c r="Q5" t="s">
        <v>1092</v>
      </c>
      <c r="R5" s="193">
        <f>R3/2</f>
        <v>4754.5600000000004</v>
      </c>
    </row>
    <row r="6" spans="2:18">
      <c r="B6" s="186" t="s">
        <v>81</v>
      </c>
      <c r="C6" s="91">
        <v>0</v>
      </c>
      <c r="D6" s="92"/>
      <c r="E6" s="95">
        <f>C6</f>
        <v>0</v>
      </c>
      <c r="F6" s="72"/>
      <c r="G6" s="72"/>
      <c r="M6" s="10">
        <v>0</v>
      </c>
      <c r="N6" s="10"/>
      <c r="O6" s="16"/>
    </row>
    <row r="7" spans="2:18">
      <c r="B7" s="186" t="s">
        <v>107</v>
      </c>
      <c r="C7" s="91">
        <v>238</v>
      </c>
      <c r="D7" s="92"/>
      <c r="E7" s="95">
        <v>0</v>
      </c>
      <c r="F7" s="72"/>
      <c r="G7" s="72"/>
      <c r="M7" s="10">
        <v>0</v>
      </c>
      <c r="N7" s="10"/>
      <c r="O7" s="145"/>
    </row>
    <row r="8" spans="2:18">
      <c r="B8" s="186" t="s">
        <v>1073</v>
      </c>
      <c r="C8" s="91">
        <v>612.41999999999996</v>
      </c>
      <c r="D8" s="92"/>
      <c r="E8" s="95">
        <v>0</v>
      </c>
      <c r="F8" s="72"/>
      <c r="G8" s="72"/>
      <c r="M8" s="144">
        <f>SUM(M3:M7)</f>
        <v>0</v>
      </c>
      <c r="N8" s="144" t="s">
        <v>564</v>
      </c>
      <c r="O8" s="145"/>
    </row>
    <row r="9" spans="2:18">
      <c r="B9" s="99" t="s">
        <v>714</v>
      </c>
      <c r="C9" s="96">
        <v>-28.57</v>
      </c>
      <c r="D9" s="97"/>
      <c r="E9" s="63">
        <v>0</v>
      </c>
      <c r="F9" s="64"/>
      <c r="G9" s="64" t="s">
        <v>58</v>
      </c>
    </row>
    <row r="10" spans="2:18" ht="14.25" customHeight="1">
      <c r="B10" s="99" t="s">
        <v>1097</v>
      </c>
      <c r="C10" s="96">
        <v>-47</v>
      </c>
      <c r="D10" s="97"/>
      <c r="E10" s="63">
        <v>0</v>
      </c>
      <c r="F10" s="64"/>
      <c r="G10" s="64" t="s">
        <v>58</v>
      </c>
      <c r="M10" s="221" t="s">
        <v>707</v>
      </c>
      <c r="N10" s="221" t="s">
        <v>408</v>
      </c>
      <c r="O10" s="221" t="s">
        <v>1</v>
      </c>
    </row>
    <row r="11" spans="2:18">
      <c r="B11" s="99" t="s">
        <v>1098</v>
      </c>
      <c r="C11" s="96">
        <v>-22.81</v>
      </c>
      <c r="D11" s="97"/>
      <c r="E11" s="63">
        <v>0</v>
      </c>
      <c r="F11" s="64"/>
      <c r="G11" s="64" t="s">
        <v>58</v>
      </c>
      <c r="M11" s="10">
        <v>7561.26</v>
      </c>
      <c r="N11" s="10" t="s">
        <v>1015</v>
      </c>
      <c r="O11" s="16"/>
    </row>
    <row r="12" spans="2:18">
      <c r="B12" s="99" t="s">
        <v>144</v>
      </c>
      <c r="C12" s="96">
        <v>-600</v>
      </c>
      <c r="D12" s="97"/>
      <c r="E12" s="63">
        <v>0</v>
      </c>
      <c r="F12" s="64"/>
      <c r="G12" s="64" t="s">
        <v>58</v>
      </c>
      <c r="M12" s="10">
        <v>0</v>
      </c>
      <c r="N12" s="10" t="s">
        <v>1010</v>
      </c>
      <c r="O12" s="16"/>
    </row>
    <row r="13" spans="2:18">
      <c r="B13" s="99" t="s">
        <v>1069</v>
      </c>
      <c r="C13" s="96">
        <v>-935</v>
      </c>
      <c r="D13" s="97"/>
      <c r="E13" s="63">
        <v>0</v>
      </c>
      <c r="F13" s="64"/>
      <c r="G13" s="64" t="s">
        <v>58</v>
      </c>
      <c r="M13" s="10">
        <v>0</v>
      </c>
      <c r="N13" s="10" t="s">
        <v>1012</v>
      </c>
      <c r="O13" s="16"/>
    </row>
    <row r="14" spans="2:18">
      <c r="B14" s="99" t="s">
        <v>103</v>
      </c>
      <c r="C14" s="96">
        <v>-332.42</v>
      </c>
      <c r="D14" s="97"/>
      <c r="E14" s="63">
        <v>0</v>
      </c>
      <c r="F14" s="64"/>
      <c r="G14" s="64" t="s">
        <v>58</v>
      </c>
      <c r="I14" s="52"/>
      <c r="M14" s="10">
        <v>6398</v>
      </c>
      <c r="N14" s="10" t="s">
        <v>1048</v>
      </c>
      <c r="O14" s="16"/>
    </row>
    <row r="15" spans="2:18">
      <c r="B15" s="99" t="s">
        <v>1099</v>
      </c>
      <c r="C15" s="96">
        <v>-85</v>
      </c>
      <c r="D15" s="97"/>
      <c r="E15" s="63">
        <v>0</v>
      </c>
      <c r="F15" s="64"/>
      <c r="G15" s="64" t="s">
        <v>58</v>
      </c>
      <c r="I15" s="192"/>
      <c r="M15" s="10">
        <v>1741.04</v>
      </c>
      <c r="N15" s="10" t="s">
        <v>1087</v>
      </c>
      <c r="O15" s="16"/>
    </row>
    <row r="16" spans="2:18">
      <c r="B16" s="99" t="s">
        <v>1100</v>
      </c>
      <c r="C16" s="96">
        <v>-30</v>
      </c>
      <c r="D16" s="97"/>
      <c r="E16" s="63">
        <v>0</v>
      </c>
      <c r="F16" s="64"/>
      <c r="G16" s="64" t="s">
        <v>58</v>
      </c>
      <c r="M16" s="10">
        <f>316.86*2.2</f>
        <v>697.0920000000001</v>
      </c>
      <c r="N16" s="10" t="s">
        <v>1088</v>
      </c>
      <c r="O16" s="16"/>
    </row>
    <row r="17" spans="2:18">
      <c r="B17" s="99" t="s">
        <v>102</v>
      </c>
      <c r="C17" s="96">
        <v>-5664.97</v>
      </c>
      <c r="D17" s="97"/>
      <c r="E17" s="63">
        <v>0</v>
      </c>
      <c r="F17" s="64"/>
      <c r="G17" s="64" t="s">
        <v>58</v>
      </c>
      <c r="M17" s="10">
        <v>5659.53</v>
      </c>
      <c r="N17" s="10" t="s">
        <v>1101</v>
      </c>
      <c r="O17" s="145"/>
    </row>
    <row r="18" spans="2:18">
      <c r="B18" s="99" t="s">
        <v>1032</v>
      </c>
      <c r="C18" s="96">
        <v>-2314.64</v>
      </c>
      <c r="D18" s="97"/>
      <c r="E18" s="63">
        <v>0</v>
      </c>
      <c r="F18" s="64"/>
      <c r="G18" s="64" t="s">
        <v>58</v>
      </c>
      <c r="H18" s="143"/>
      <c r="M18" s="144">
        <f>SUM(M11:M17)</f>
        <v>22056.921999999999</v>
      </c>
      <c r="N18" s="144" t="s">
        <v>1031</v>
      </c>
      <c r="O18" s="145"/>
    </row>
    <row r="19" spans="2:18">
      <c r="B19" s="99" t="s">
        <v>748</v>
      </c>
      <c r="C19" s="96">
        <v>-100</v>
      </c>
      <c r="D19" s="97"/>
      <c r="E19" s="63">
        <v>0</v>
      </c>
      <c r="F19" s="64"/>
      <c r="G19" s="64" t="s">
        <v>58</v>
      </c>
    </row>
    <row r="20" spans="2:18" ht="15.75">
      <c r="B20" s="99" t="s">
        <v>73</v>
      </c>
      <c r="C20" s="96">
        <v>-498.14</v>
      </c>
      <c r="D20" s="97"/>
      <c r="E20" s="63">
        <v>0</v>
      </c>
      <c r="F20" s="64"/>
      <c r="G20" s="64" t="s">
        <v>58</v>
      </c>
      <c r="M20" s="221" t="s">
        <v>1018</v>
      </c>
      <c r="N20" s="221" t="s">
        <v>1019</v>
      </c>
      <c r="O20" s="221" t="s">
        <v>1020</v>
      </c>
    </row>
    <row r="21" spans="2:18">
      <c r="B21" s="99" t="s">
        <v>41</v>
      </c>
      <c r="C21" s="96">
        <v>-46.21</v>
      </c>
      <c r="D21" s="97"/>
      <c r="E21" s="63">
        <v>0</v>
      </c>
      <c r="F21" s="64"/>
      <c r="G21" s="64" t="s">
        <v>58</v>
      </c>
      <c r="M21" s="10" t="s">
        <v>1015</v>
      </c>
      <c r="N21" s="184">
        <v>0</v>
      </c>
      <c r="O21" s="185">
        <v>8</v>
      </c>
      <c r="Q21" s="161"/>
      <c r="R21" s="161"/>
    </row>
    <row r="22" spans="2:18">
      <c r="B22" s="99" t="s">
        <v>586</v>
      </c>
      <c r="C22" s="96">
        <v>-175.23</v>
      </c>
      <c r="D22" s="97"/>
      <c r="E22" s="63">
        <v>0</v>
      </c>
      <c r="F22" s="64"/>
      <c r="G22" s="64" t="s">
        <v>58</v>
      </c>
      <c r="M22" s="10" t="s">
        <v>1010</v>
      </c>
      <c r="N22" s="184">
        <v>0</v>
      </c>
      <c r="O22" s="185">
        <v>0</v>
      </c>
      <c r="Q22" s="161"/>
      <c r="R22" s="161"/>
    </row>
    <row r="23" spans="2:18">
      <c r="B23" s="99" t="s">
        <v>924</v>
      </c>
      <c r="C23" s="96">
        <v>-40.69</v>
      </c>
      <c r="D23" s="97"/>
      <c r="E23" s="63">
        <v>0</v>
      </c>
      <c r="F23" s="64"/>
      <c r="G23" s="64" t="s">
        <v>58</v>
      </c>
      <c r="M23" s="10" t="s">
        <v>1012</v>
      </c>
      <c r="N23" s="184">
        <v>0</v>
      </c>
      <c r="O23" s="185">
        <v>3</v>
      </c>
      <c r="Q23" s="161"/>
      <c r="R23" s="161"/>
    </row>
    <row r="24" spans="2:18">
      <c r="B24" s="99" t="s">
        <v>686</v>
      </c>
      <c r="C24" s="96">
        <v>-678.87</v>
      </c>
      <c r="D24" s="97"/>
      <c r="E24" s="63">
        <v>0</v>
      </c>
      <c r="F24" s="64"/>
      <c r="G24" s="64" t="s">
        <v>58</v>
      </c>
      <c r="M24" s="10" t="s">
        <v>1075</v>
      </c>
      <c r="N24" s="184">
        <v>0</v>
      </c>
      <c r="O24" s="185">
        <v>0</v>
      </c>
    </row>
    <row r="25" spans="2:18">
      <c r="B25" s="99" t="s">
        <v>1102</v>
      </c>
      <c r="C25" s="96">
        <v>-73.3</v>
      </c>
      <c r="D25" s="97"/>
      <c r="E25" s="63">
        <v>0</v>
      </c>
      <c r="F25" s="64"/>
      <c r="G25" s="64" t="s">
        <v>58</v>
      </c>
      <c r="M25" s="10" t="s">
        <v>1055</v>
      </c>
      <c r="N25" s="184">
        <v>0</v>
      </c>
      <c r="O25" s="185">
        <v>3</v>
      </c>
    </row>
    <row r="26" spans="2:18" ht="18">
      <c r="B26" s="74" t="s">
        <v>45</v>
      </c>
      <c r="C26" s="188"/>
      <c r="D26" s="98"/>
      <c r="E26" s="129">
        <f>SUM(E3:E25)</f>
        <v>-50.37</v>
      </c>
      <c r="F26" s="75"/>
      <c r="G26" s="75"/>
      <c r="M26" s="10" t="s">
        <v>1090</v>
      </c>
      <c r="N26" s="184">
        <v>0</v>
      </c>
      <c r="O26" s="185">
        <v>1</v>
      </c>
    </row>
    <row r="27" spans="2:18">
      <c r="M27" s="10" t="s">
        <v>1101</v>
      </c>
      <c r="N27" s="184">
        <v>0</v>
      </c>
      <c r="O27" s="185">
        <v>1</v>
      </c>
    </row>
  </sheetData>
  <mergeCells count="1">
    <mergeCell ref="Q2:R2"/>
  </mergeCells>
  <conditionalFormatting sqref="E18">
    <cfRule type="cellIs" dxfId="875" priority="17" stopIfTrue="1" operator="greaterThan">
      <formula>0</formula>
    </cfRule>
  </conditionalFormatting>
  <conditionalFormatting sqref="E17">
    <cfRule type="cellIs" dxfId="874" priority="16" stopIfTrue="1" operator="greaterThan">
      <formula>0</formula>
    </cfRule>
  </conditionalFormatting>
  <conditionalFormatting sqref="E14">
    <cfRule type="cellIs" dxfId="873" priority="15" stopIfTrue="1" operator="greaterThan">
      <formula>0</formula>
    </cfRule>
  </conditionalFormatting>
  <conditionalFormatting sqref="E13">
    <cfRule type="cellIs" dxfId="872" priority="14" stopIfTrue="1" operator="greaterThan">
      <formula>0</formula>
    </cfRule>
  </conditionalFormatting>
  <conditionalFormatting sqref="E9">
    <cfRule type="cellIs" dxfId="871" priority="13" stopIfTrue="1" operator="greaterThan">
      <formula>0</formula>
    </cfRule>
  </conditionalFormatting>
  <conditionalFormatting sqref="E10">
    <cfRule type="cellIs" dxfId="870" priority="12" stopIfTrue="1" operator="greaterThan">
      <formula>0</formula>
    </cfRule>
  </conditionalFormatting>
  <conditionalFormatting sqref="E12">
    <cfRule type="cellIs" dxfId="869" priority="11" stopIfTrue="1" operator="greaterThan">
      <formula>0</formula>
    </cfRule>
  </conditionalFormatting>
  <conditionalFormatting sqref="E19">
    <cfRule type="cellIs" dxfId="868" priority="10" stopIfTrue="1" operator="greaterThan">
      <formula>0</formula>
    </cfRule>
  </conditionalFormatting>
  <conditionalFormatting sqref="E22">
    <cfRule type="cellIs" dxfId="867" priority="9" stopIfTrue="1" operator="greaterThan">
      <formula>0</formula>
    </cfRule>
  </conditionalFormatting>
  <conditionalFormatting sqref="E16">
    <cfRule type="cellIs" dxfId="866" priority="8" stopIfTrue="1" operator="greaterThan">
      <formula>0</formula>
    </cfRule>
  </conditionalFormatting>
  <conditionalFormatting sqref="E11">
    <cfRule type="cellIs" dxfId="865" priority="7" stopIfTrue="1" operator="greaterThan">
      <formula>0</formula>
    </cfRule>
  </conditionalFormatting>
  <conditionalFormatting sqref="E15">
    <cfRule type="cellIs" dxfId="864" priority="6" stopIfTrue="1" operator="greaterThan">
      <formula>0</formula>
    </cfRule>
  </conditionalFormatting>
  <conditionalFormatting sqref="E25">
    <cfRule type="cellIs" dxfId="863" priority="5" stopIfTrue="1" operator="greaterThan">
      <formula>0</formula>
    </cfRule>
  </conditionalFormatting>
  <conditionalFormatting sqref="E20">
    <cfRule type="cellIs" dxfId="862" priority="4" stopIfTrue="1" operator="greaterThan">
      <formula>0</formula>
    </cfRule>
  </conditionalFormatting>
  <conditionalFormatting sqref="E24">
    <cfRule type="cellIs" dxfId="861" priority="3" stopIfTrue="1" operator="greaterThan">
      <formula>0</formula>
    </cfRule>
  </conditionalFormatting>
  <conditionalFormatting sqref="E23">
    <cfRule type="cellIs" dxfId="860" priority="2" stopIfTrue="1" operator="greaterThan">
      <formula>0</formula>
    </cfRule>
  </conditionalFormatting>
  <conditionalFormatting sqref="E21">
    <cfRule type="cellIs" dxfId="859" priority="1" stopIfTrue="1" operator="greaterThan">
      <formula>0</formula>
    </cfRule>
  </conditionalFormatting>
  <pageMargins left="0.511811024" right="0.511811024" top="0.78740157499999996" bottom="0.78740157499999996" header="0.31496062000000002" footer="0.31496062000000002"/>
</worksheet>
</file>

<file path=xl/worksheets/sheet92.xml><?xml version="1.0" encoding="utf-8"?>
<worksheet xmlns="http://schemas.openxmlformats.org/spreadsheetml/2006/main" xmlns:r="http://schemas.openxmlformats.org/officeDocument/2006/relationships">
  <sheetPr>
    <pageSetUpPr autoPageBreaks="0"/>
  </sheetPr>
  <dimension ref="B1:R30"/>
  <sheetViews>
    <sheetView zoomScale="75" zoomScaleNormal="75" zoomScalePageLayoutView="75" workbookViewId="0">
      <selection activeCell="L17" sqref="L17"/>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-683.56</v>
      </c>
      <c r="F3" s="72"/>
      <c r="G3" s="72"/>
      <c r="I3" s="10">
        <v>64</v>
      </c>
      <c r="J3" s="10" t="s">
        <v>914</v>
      </c>
      <c r="K3" s="16"/>
      <c r="M3" s="10">
        <v>0</v>
      </c>
      <c r="N3" s="10" t="s">
        <v>1010</v>
      </c>
      <c r="O3" s="16"/>
      <c r="Q3" t="s">
        <v>45</v>
      </c>
      <c r="R3" s="193">
        <v>9847.4500000000007</v>
      </c>
    </row>
    <row r="4" spans="2:18" ht="12" customHeight="1">
      <c r="B4" s="71" t="s">
        <v>5</v>
      </c>
      <c r="C4" s="91">
        <v>8062.9</v>
      </c>
      <c r="D4" s="92"/>
      <c r="E4" s="95">
        <v>0</v>
      </c>
      <c r="F4" s="72"/>
      <c r="G4" s="72"/>
      <c r="I4" s="10">
        <v>6200</v>
      </c>
      <c r="J4" s="10" t="s">
        <v>915</v>
      </c>
      <c r="K4" s="16"/>
      <c r="M4" s="10">
        <v>0</v>
      </c>
      <c r="N4" s="10" t="s">
        <v>1012</v>
      </c>
      <c r="O4" s="16"/>
      <c r="Q4" t="s">
        <v>993</v>
      </c>
      <c r="R4" s="193">
        <f>R3/2</f>
        <v>4923.7250000000004</v>
      </c>
    </row>
    <row r="5" spans="2:18" ht="12" customHeight="1">
      <c r="B5" s="186" t="s">
        <v>107</v>
      </c>
      <c r="C5" s="91">
        <v>372</v>
      </c>
      <c r="D5" s="92"/>
      <c r="E5" s="95">
        <v>0</v>
      </c>
      <c r="F5" s="72"/>
      <c r="G5" s="72"/>
      <c r="I5" s="10"/>
      <c r="J5" s="10"/>
      <c r="K5" s="16"/>
      <c r="M5" s="10">
        <v>0</v>
      </c>
      <c r="N5" s="10" t="s">
        <v>1024</v>
      </c>
      <c r="O5" s="16"/>
      <c r="Q5" t="s">
        <v>1092</v>
      </c>
      <c r="R5" s="193">
        <f>R3/2</f>
        <v>4923.7250000000004</v>
      </c>
    </row>
    <row r="6" spans="2:18">
      <c r="B6" s="186" t="s">
        <v>1103</v>
      </c>
      <c r="C6" s="91">
        <v>230</v>
      </c>
      <c r="D6" s="92"/>
      <c r="E6" s="95">
        <v>0</v>
      </c>
      <c r="F6" s="72"/>
      <c r="G6" s="72"/>
      <c r="M6" s="10">
        <v>0</v>
      </c>
      <c r="N6" s="10"/>
      <c r="O6" s="16"/>
    </row>
    <row r="7" spans="2:18">
      <c r="B7" s="186" t="s">
        <v>81</v>
      </c>
      <c r="C7" s="91">
        <f>198+64</f>
        <v>262</v>
      </c>
      <c r="D7" s="92"/>
      <c r="E7" s="95">
        <v>0</v>
      </c>
      <c r="F7" s="72"/>
      <c r="G7" s="72"/>
      <c r="M7" s="10">
        <v>0</v>
      </c>
      <c r="N7" s="10"/>
      <c r="O7" s="145"/>
    </row>
    <row r="8" spans="2:18">
      <c r="B8" s="186" t="s">
        <v>1073</v>
      </c>
      <c r="C8" s="91">
        <v>306.20999999999998</v>
      </c>
      <c r="D8" s="92"/>
      <c r="E8" s="95">
        <v>0</v>
      </c>
      <c r="F8" s="72"/>
      <c r="G8" s="72"/>
      <c r="M8" s="144">
        <f>SUM(M3:M7)</f>
        <v>0</v>
      </c>
      <c r="N8" s="144" t="s">
        <v>564</v>
      </c>
      <c r="O8" s="145"/>
    </row>
    <row r="9" spans="2:18">
      <c r="B9" s="99" t="s">
        <v>714</v>
      </c>
      <c r="C9" s="96">
        <v>-0.41</v>
      </c>
      <c r="D9" s="97"/>
      <c r="E9" s="63">
        <v>0</v>
      </c>
      <c r="F9" s="64"/>
      <c r="G9" s="64" t="s">
        <v>58</v>
      </c>
    </row>
    <row r="10" spans="2:18" ht="14.25" customHeight="1">
      <c r="B10" s="99" t="s">
        <v>1098</v>
      </c>
      <c r="C10" s="96">
        <v>-92.93</v>
      </c>
      <c r="D10" s="97"/>
      <c r="E10" s="63">
        <v>0</v>
      </c>
      <c r="F10" s="64"/>
      <c r="G10" s="64" t="s">
        <v>58</v>
      </c>
      <c r="M10" s="221" t="s">
        <v>707</v>
      </c>
      <c r="N10" s="221" t="s">
        <v>408</v>
      </c>
      <c r="O10" s="221" t="s">
        <v>1</v>
      </c>
    </row>
    <row r="11" spans="2:18">
      <c r="B11" s="99" t="s">
        <v>83</v>
      </c>
      <c r="C11" s="96">
        <v>-85</v>
      </c>
      <c r="D11" s="97"/>
      <c r="E11" s="63">
        <v>0</v>
      </c>
      <c r="F11" s="64"/>
      <c r="G11" s="64" t="s">
        <v>58</v>
      </c>
      <c r="M11" s="10">
        <v>7587.43</v>
      </c>
      <c r="N11" s="10" t="s">
        <v>1015</v>
      </c>
      <c r="O11" s="16"/>
    </row>
    <row r="12" spans="2:18">
      <c r="B12" s="99" t="s">
        <v>144</v>
      </c>
      <c r="C12" s="96">
        <v>-600</v>
      </c>
      <c r="D12" s="97"/>
      <c r="E12" s="63">
        <v>0</v>
      </c>
      <c r="F12" s="64"/>
      <c r="G12" s="64" t="s">
        <v>58</v>
      </c>
      <c r="M12" s="10"/>
      <c r="N12" s="10"/>
      <c r="O12" s="16"/>
    </row>
    <row r="13" spans="2:18">
      <c r="B13" s="99" t="s">
        <v>1069</v>
      </c>
      <c r="C13" s="96">
        <v>-935</v>
      </c>
      <c r="D13" s="97"/>
      <c r="E13" s="63">
        <v>0</v>
      </c>
      <c r="F13" s="64"/>
      <c r="G13" s="64" t="s">
        <v>58</v>
      </c>
      <c r="M13" s="10">
        <v>1963.4</v>
      </c>
      <c r="N13" s="10" t="s">
        <v>1012</v>
      </c>
      <c r="O13" s="16"/>
    </row>
    <row r="14" spans="2:18">
      <c r="B14" s="99" t="s">
        <v>103</v>
      </c>
      <c r="C14" s="96">
        <v>-642.09</v>
      </c>
      <c r="D14" s="97"/>
      <c r="E14" s="63">
        <v>0</v>
      </c>
      <c r="F14" s="64"/>
      <c r="G14" s="64" t="s">
        <v>58</v>
      </c>
      <c r="I14" s="52"/>
      <c r="M14" s="10">
        <v>6422.84</v>
      </c>
      <c r="N14" s="10" t="s">
        <v>1048</v>
      </c>
      <c r="O14" s="16"/>
    </row>
    <row r="15" spans="2:18">
      <c r="B15" s="99" t="s">
        <v>102</v>
      </c>
      <c r="C15" s="96">
        <v>-1976.23</v>
      </c>
      <c r="D15" s="97"/>
      <c r="E15" s="63">
        <v>0</v>
      </c>
      <c r="F15" s="64"/>
      <c r="G15" s="64" t="s">
        <v>58</v>
      </c>
      <c r="I15" s="192"/>
      <c r="M15" s="10">
        <v>1731.28</v>
      </c>
      <c r="N15" s="10" t="s">
        <v>1087</v>
      </c>
      <c r="O15" s="16"/>
    </row>
    <row r="16" spans="2:18">
      <c r="B16" s="99" t="s">
        <v>1032</v>
      </c>
      <c r="C16" s="96">
        <v>-1871.06</v>
      </c>
      <c r="D16" s="97"/>
      <c r="E16" s="63">
        <v>0</v>
      </c>
      <c r="F16" s="64"/>
      <c r="G16" s="64" t="s">
        <v>58</v>
      </c>
      <c r="M16" s="10">
        <f>316.86*2.25</f>
        <v>712.93500000000006</v>
      </c>
      <c r="N16" s="10" t="s">
        <v>1088</v>
      </c>
      <c r="O16" s="16"/>
    </row>
    <row r="17" spans="2:18">
      <c r="B17" s="99" t="s">
        <v>748</v>
      </c>
      <c r="C17" s="96">
        <v>-100</v>
      </c>
      <c r="D17" s="97"/>
      <c r="E17" s="63">
        <v>0</v>
      </c>
      <c r="F17" s="64"/>
      <c r="G17" s="64" t="s">
        <v>58</v>
      </c>
      <c r="M17" s="10">
        <v>5682.51</v>
      </c>
      <c r="N17" s="10" t="s">
        <v>1101</v>
      </c>
      <c r="O17" s="145"/>
    </row>
    <row r="18" spans="2:18">
      <c r="B18" s="99" t="s">
        <v>1104</v>
      </c>
      <c r="C18" s="96">
        <v>47.44</v>
      </c>
      <c r="D18" s="97"/>
      <c r="E18" s="63">
        <v>0</v>
      </c>
      <c r="F18" s="64"/>
      <c r="G18" s="64" t="s">
        <v>58</v>
      </c>
      <c r="H18" s="143"/>
      <c r="M18" s="144">
        <f>SUM(M11:M17)</f>
        <v>24100.395000000004</v>
      </c>
      <c r="N18" s="144" t="s">
        <v>1031</v>
      </c>
      <c r="O18" s="145"/>
    </row>
    <row r="19" spans="2:18">
      <c r="B19" s="99" t="s">
        <v>73</v>
      </c>
      <c r="C19" s="96">
        <v>-774.5</v>
      </c>
      <c r="D19" s="97"/>
      <c r="E19" s="63">
        <v>0</v>
      </c>
      <c r="F19" s="64"/>
      <c r="G19" s="64" t="s">
        <v>58</v>
      </c>
    </row>
    <row r="20" spans="2:18" ht="15.75">
      <c r="B20" s="99" t="s">
        <v>41</v>
      </c>
      <c r="C20" s="96">
        <v>-52.48</v>
      </c>
      <c r="D20" s="97"/>
      <c r="E20" s="63">
        <v>0</v>
      </c>
      <c r="F20" s="64"/>
      <c r="G20" s="64" t="s">
        <v>58</v>
      </c>
      <c r="M20" s="221" t="s">
        <v>1018</v>
      </c>
      <c r="N20" s="221" t="s">
        <v>1019</v>
      </c>
      <c r="O20" s="221" t="s">
        <v>1020</v>
      </c>
    </row>
    <row r="21" spans="2:18">
      <c r="B21" s="99" t="s">
        <v>586</v>
      </c>
      <c r="C21" s="96">
        <v>-183.64</v>
      </c>
      <c r="D21" s="97"/>
      <c r="E21" s="63">
        <v>0</v>
      </c>
      <c r="F21" s="64"/>
      <c r="G21" s="64" t="s">
        <v>58</v>
      </c>
      <c r="M21" s="10" t="s">
        <v>1015</v>
      </c>
      <c r="N21" s="184">
        <v>0</v>
      </c>
      <c r="O21" s="185">
        <v>8</v>
      </c>
      <c r="Q21" s="161"/>
      <c r="R21" s="161"/>
    </row>
    <row r="22" spans="2:18">
      <c r="B22" s="99" t="s">
        <v>924</v>
      </c>
      <c r="C22" s="96">
        <v>-41.69</v>
      </c>
      <c r="D22" s="97"/>
      <c r="E22" s="63">
        <v>0</v>
      </c>
      <c r="F22" s="64"/>
      <c r="G22" s="64" t="s">
        <v>58</v>
      </c>
      <c r="M22" s="10" t="s">
        <v>1010</v>
      </c>
      <c r="N22" s="184">
        <v>0</v>
      </c>
      <c r="O22" s="185">
        <v>0</v>
      </c>
      <c r="Q22" s="161"/>
      <c r="R22" s="161"/>
    </row>
    <row r="23" spans="2:18">
      <c r="B23" s="99" t="s">
        <v>686</v>
      </c>
      <c r="C23" s="96">
        <v>-595.11</v>
      </c>
      <c r="D23" s="97"/>
      <c r="E23" s="63">
        <v>0</v>
      </c>
      <c r="F23" s="64"/>
      <c r="G23" s="64" t="s">
        <v>58</v>
      </c>
      <c r="M23" s="10" t="s">
        <v>1012</v>
      </c>
      <c r="N23" s="184">
        <v>0</v>
      </c>
      <c r="O23" s="185">
        <v>2</v>
      </c>
      <c r="Q23" s="161"/>
      <c r="R23" s="161"/>
    </row>
    <row r="24" spans="2:18">
      <c r="B24" s="99" t="s">
        <v>1105</v>
      </c>
      <c r="C24" s="96">
        <v>-300</v>
      </c>
      <c r="D24" s="97"/>
      <c r="E24" s="63">
        <v>0</v>
      </c>
      <c r="F24" s="64"/>
      <c r="G24" s="64" t="s">
        <v>58</v>
      </c>
      <c r="M24" s="10" t="s">
        <v>1075</v>
      </c>
      <c r="N24" s="184">
        <v>0</v>
      </c>
      <c r="O24" s="185">
        <v>0</v>
      </c>
    </row>
    <row r="25" spans="2:18" ht="18">
      <c r="B25" s="74" t="s">
        <v>45</v>
      </c>
      <c r="C25" s="188"/>
      <c r="D25" s="98"/>
      <c r="E25" s="129">
        <f>SUM(E3:E24)</f>
        <v>-683.56</v>
      </c>
      <c r="F25" s="75"/>
      <c r="G25" s="75"/>
      <c r="M25" s="10" t="s">
        <v>1055</v>
      </c>
      <c r="N25" s="184">
        <v>0</v>
      </c>
      <c r="O25" s="185">
        <v>3</v>
      </c>
    </row>
    <row r="26" spans="2:18">
      <c r="M26" s="10" t="s">
        <v>1090</v>
      </c>
      <c r="N26" s="184">
        <v>0</v>
      </c>
      <c r="O26" s="185">
        <v>1</v>
      </c>
    </row>
    <row r="27" spans="2:18">
      <c r="M27" s="10" t="s">
        <v>1101</v>
      </c>
      <c r="N27" s="184">
        <v>0</v>
      </c>
      <c r="O27" s="185">
        <v>1</v>
      </c>
    </row>
    <row r="29" spans="2:18" ht="15.75">
      <c r="M29" s="221" t="s">
        <v>707</v>
      </c>
      <c r="N29" s="221" t="s">
        <v>408</v>
      </c>
    </row>
    <row r="30" spans="2:18">
      <c r="M30" s="10">
        <v>820</v>
      </c>
      <c r="N30" s="10" t="s">
        <v>602</v>
      </c>
    </row>
  </sheetData>
  <mergeCells count="1">
    <mergeCell ref="Q2:R2"/>
  </mergeCells>
  <conditionalFormatting sqref="E24">
    <cfRule type="cellIs" dxfId="858" priority="16" stopIfTrue="1" operator="greaterThan">
      <formula>0</formula>
    </cfRule>
  </conditionalFormatting>
  <conditionalFormatting sqref="E18">
    <cfRule type="cellIs" dxfId="857" priority="20" stopIfTrue="1" operator="greaterThan">
      <formula>0</formula>
    </cfRule>
  </conditionalFormatting>
  <conditionalFormatting sqref="E10">
    <cfRule type="cellIs" dxfId="856" priority="15" stopIfTrue="1" operator="greaterThan">
      <formula>0</formula>
    </cfRule>
  </conditionalFormatting>
  <conditionalFormatting sqref="E15">
    <cfRule type="cellIs" dxfId="855" priority="17" stopIfTrue="1" operator="greaterThan">
      <formula>0</formula>
    </cfRule>
  </conditionalFormatting>
  <conditionalFormatting sqref="E14">
    <cfRule type="cellIs" dxfId="854" priority="14" stopIfTrue="1" operator="greaterThan">
      <formula>0</formula>
    </cfRule>
  </conditionalFormatting>
  <conditionalFormatting sqref="E16">
    <cfRule type="cellIs" dxfId="853" priority="13" stopIfTrue="1" operator="greaterThan">
      <formula>0</formula>
    </cfRule>
  </conditionalFormatting>
  <conditionalFormatting sqref="E12">
    <cfRule type="cellIs" dxfId="852" priority="12" stopIfTrue="1" operator="greaterThan">
      <formula>0</formula>
    </cfRule>
  </conditionalFormatting>
  <conditionalFormatting sqref="E13">
    <cfRule type="cellIs" dxfId="851" priority="11" stopIfTrue="1" operator="greaterThan">
      <formula>0</formula>
    </cfRule>
  </conditionalFormatting>
  <conditionalFormatting sqref="E9">
    <cfRule type="cellIs" dxfId="850" priority="10" stopIfTrue="1" operator="greaterThan">
      <formula>0</formula>
    </cfRule>
  </conditionalFormatting>
  <conditionalFormatting sqref="E23">
    <cfRule type="cellIs" dxfId="849" priority="9" stopIfTrue="1" operator="greaterThan">
      <formula>0</formula>
    </cfRule>
  </conditionalFormatting>
  <conditionalFormatting sqref="E21">
    <cfRule type="cellIs" dxfId="848" priority="8" stopIfTrue="1" operator="greaterThan">
      <formula>0</formula>
    </cfRule>
  </conditionalFormatting>
  <conditionalFormatting sqref="E17">
    <cfRule type="cellIs" dxfId="847" priority="7" stopIfTrue="1" operator="greaterThan">
      <formula>0</formula>
    </cfRule>
  </conditionalFormatting>
  <conditionalFormatting sqref="E19">
    <cfRule type="cellIs" dxfId="846" priority="6" stopIfTrue="1" operator="greaterThan">
      <formula>0</formula>
    </cfRule>
  </conditionalFormatting>
  <conditionalFormatting sqref="E11">
    <cfRule type="cellIs" dxfId="845" priority="2" stopIfTrue="1" operator="greaterThan">
      <formula>0</formula>
    </cfRule>
  </conditionalFormatting>
  <conditionalFormatting sqref="E20">
    <cfRule type="cellIs" dxfId="844" priority="3" stopIfTrue="1" operator="greaterThan">
      <formula>0</formula>
    </cfRule>
  </conditionalFormatting>
  <conditionalFormatting sqref="E22">
    <cfRule type="cellIs" dxfId="843" priority="1" stopIfTrue="1" operator="greaterThan">
      <formula>0</formula>
    </cfRule>
  </conditionalFormatting>
  <pageMargins left="0.511811024" right="0.511811024" top="0.78740157499999996" bottom="0.78740157499999996" header="0.31496062000000002" footer="0.31496062000000002"/>
</worksheet>
</file>

<file path=xl/worksheets/sheet93.xml><?xml version="1.0" encoding="utf-8"?>
<worksheet xmlns="http://schemas.openxmlformats.org/spreadsheetml/2006/main" xmlns:r="http://schemas.openxmlformats.org/officeDocument/2006/relationships">
  <sheetPr>
    <pageSetUpPr autoPageBreaks="0"/>
  </sheetPr>
  <dimension ref="B1:R29"/>
  <sheetViews>
    <sheetView zoomScale="75" zoomScaleNormal="75" zoomScalePageLayoutView="75" workbookViewId="0">
      <selection activeCell="E24" sqref="E24:G24"/>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79.64</v>
      </c>
      <c r="F3" s="72"/>
      <c r="G3" s="72"/>
      <c r="I3" s="10">
        <v>-436.15</v>
      </c>
      <c r="J3" s="10" t="s">
        <v>914</v>
      </c>
      <c r="K3" s="16"/>
      <c r="M3" s="10">
        <v>0</v>
      </c>
      <c r="N3" s="10" t="s">
        <v>1010</v>
      </c>
      <c r="O3" s="16"/>
      <c r="Q3" t="s">
        <v>45</v>
      </c>
      <c r="R3" s="193">
        <v>10358.120000000001</v>
      </c>
    </row>
    <row r="4" spans="2:18" ht="12" customHeight="1">
      <c r="B4" s="71" t="s">
        <v>5</v>
      </c>
      <c r="C4" s="91">
        <v>8101.65</v>
      </c>
      <c r="D4" s="92"/>
      <c r="E4" s="95">
        <v>0</v>
      </c>
      <c r="F4" s="72"/>
      <c r="G4" s="72"/>
      <c r="I4" s="10">
        <v>-3171.41</v>
      </c>
      <c r="J4" s="10" t="s">
        <v>915</v>
      </c>
      <c r="K4" s="16"/>
      <c r="M4" s="10">
        <v>0</v>
      </c>
      <c r="N4" s="10" t="s">
        <v>1012</v>
      </c>
      <c r="O4" s="16"/>
      <c r="Q4" t="s">
        <v>993</v>
      </c>
      <c r="R4" s="193">
        <f>R3/2</f>
        <v>5179.0600000000004</v>
      </c>
    </row>
    <row r="5" spans="2:18" ht="12" customHeight="1">
      <c r="B5" s="186" t="s">
        <v>107</v>
      </c>
      <c r="C5" s="91">
        <v>372</v>
      </c>
      <c r="D5" s="92"/>
      <c r="E5" s="95">
        <v>0</v>
      </c>
      <c r="F5" s="72"/>
      <c r="G5" s="72"/>
      <c r="I5" s="10"/>
      <c r="J5" s="10"/>
      <c r="K5" s="16"/>
      <c r="M5" s="10">
        <v>0</v>
      </c>
      <c r="N5" s="10" t="s">
        <v>1024</v>
      </c>
      <c r="O5" s="16"/>
      <c r="Q5" t="s">
        <v>1092</v>
      </c>
      <c r="R5" s="193">
        <f>R3/2</f>
        <v>5179.0600000000004</v>
      </c>
    </row>
    <row r="6" spans="2:18">
      <c r="B6" s="186" t="s">
        <v>1103</v>
      </c>
      <c r="C6" s="91">
        <v>230</v>
      </c>
      <c r="D6" s="92"/>
      <c r="E6" s="95">
        <v>0</v>
      </c>
      <c r="F6" s="72"/>
      <c r="G6" s="72"/>
      <c r="M6" s="10">
        <v>0</v>
      </c>
      <c r="N6" s="10"/>
      <c r="O6" s="16"/>
    </row>
    <row r="7" spans="2:18">
      <c r="B7" s="186" t="s">
        <v>81</v>
      </c>
      <c r="C7" s="91">
        <v>301</v>
      </c>
      <c r="D7" s="92"/>
      <c r="E7" s="95">
        <v>0</v>
      </c>
      <c r="F7" s="72"/>
      <c r="G7" s="72"/>
      <c r="M7" s="10">
        <v>0</v>
      </c>
      <c r="N7" s="10"/>
      <c r="O7" s="145"/>
    </row>
    <row r="8" spans="2:18">
      <c r="B8" s="186" t="s">
        <v>1073</v>
      </c>
      <c r="C8" s="91">
        <v>306.20999999999998</v>
      </c>
      <c r="D8" s="92"/>
      <c r="E8" s="95">
        <v>0</v>
      </c>
      <c r="F8" s="72"/>
      <c r="G8" s="72"/>
      <c r="M8" s="144">
        <f>SUM(M3:M7)</f>
        <v>0</v>
      </c>
      <c r="N8" s="144" t="s">
        <v>564</v>
      </c>
      <c r="O8" s="145"/>
    </row>
    <row r="9" spans="2:18">
      <c r="B9" s="99" t="s">
        <v>714</v>
      </c>
      <c r="C9" s="96">
        <v>-20</v>
      </c>
      <c r="D9" s="97"/>
      <c r="E9" s="63">
        <v>0</v>
      </c>
      <c r="F9" s="64"/>
      <c r="G9" s="64" t="s">
        <v>58</v>
      </c>
    </row>
    <row r="10" spans="2:18" ht="14.25" customHeight="1">
      <c r="B10" s="99" t="s">
        <v>1106</v>
      </c>
      <c r="C10" s="96">
        <v>-500</v>
      </c>
      <c r="D10" s="97"/>
      <c r="E10" s="63">
        <v>0</v>
      </c>
      <c r="F10" s="64"/>
      <c r="G10" s="64" t="s">
        <v>58</v>
      </c>
      <c r="M10" s="221" t="s">
        <v>707</v>
      </c>
      <c r="N10" s="221" t="s">
        <v>408</v>
      </c>
      <c r="O10" s="221" t="s">
        <v>1</v>
      </c>
    </row>
    <row r="11" spans="2:18">
      <c r="B11" s="99" t="s">
        <v>1098</v>
      </c>
      <c r="C11" s="96">
        <v>-105.93</v>
      </c>
      <c r="D11" s="97"/>
      <c r="E11" s="63">
        <v>0</v>
      </c>
      <c r="F11" s="64"/>
      <c r="G11" s="64" t="s">
        <v>58</v>
      </c>
      <c r="M11" s="10">
        <v>7642.88</v>
      </c>
      <c r="N11" s="10" t="s">
        <v>1015</v>
      </c>
      <c r="O11" s="16"/>
    </row>
    <row r="12" spans="2:18">
      <c r="B12" s="99" t="s">
        <v>1107</v>
      </c>
      <c r="C12" s="96">
        <v>-349.5</v>
      </c>
      <c r="D12" s="97"/>
      <c r="E12" s="63">
        <v>0</v>
      </c>
      <c r="F12" s="64"/>
      <c r="G12" s="64" t="s">
        <v>58</v>
      </c>
      <c r="M12" s="10"/>
      <c r="N12" s="10"/>
      <c r="O12" s="16"/>
    </row>
    <row r="13" spans="2:18">
      <c r="B13" s="99" t="s">
        <v>83</v>
      </c>
      <c r="C13" s="96">
        <v>-85</v>
      </c>
      <c r="D13" s="97"/>
      <c r="E13" s="63">
        <v>0</v>
      </c>
      <c r="F13" s="64"/>
      <c r="G13" s="64" t="s">
        <v>58</v>
      </c>
      <c r="M13" s="10">
        <v>1572.96</v>
      </c>
      <c r="N13" s="10" t="s">
        <v>1012</v>
      </c>
      <c r="O13" s="16"/>
    </row>
    <row r="14" spans="2:18">
      <c r="B14" s="99" t="s">
        <v>144</v>
      </c>
      <c r="C14" s="96">
        <v>-600</v>
      </c>
      <c r="D14" s="97"/>
      <c r="E14" s="63">
        <v>0</v>
      </c>
      <c r="F14" s="64"/>
      <c r="G14" s="64" t="s">
        <v>58</v>
      </c>
      <c r="I14" s="52"/>
      <c r="M14" s="10">
        <v>6453.95</v>
      </c>
      <c r="N14" s="10" t="s">
        <v>1048</v>
      </c>
      <c r="O14" s="16"/>
    </row>
    <row r="15" spans="2:18">
      <c r="B15" s="99" t="s">
        <v>1069</v>
      </c>
      <c r="C15" s="96">
        <v>-935</v>
      </c>
      <c r="D15" s="97"/>
      <c r="E15" s="63">
        <v>0</v>
      </c>
      <c r="F15" s="64"/>
      <c r="G15" s="64" t="s">
        <v>58</v>
      </c>
      <c r="I15" s="192"/>
      <c r="M15" s="10">
        <v>0</v>
      </c>
      <c r="N15" s="10" t="s">
        <v>1087</v>
      </c>
      <c r="O15" s="16"/>
    </row>
    <row r="16" spans="2:18">
      <c r="B16" s="99" t="s">
        <v>103</v>
      </c>
      <c r="C16" s="96">
        <v>-64</v>
      </c>
      <c r="D16" s="97"/>
      <c r="E16" s="63">
        <v>0</v>
      </c>
      <c r="F16" s="64"/>
      <c r="G16" s="64" t="s">
        <v>58</v>
      </c>
      <c r="M16" s="10">
        <f>316.86*2.15</f>
        <v>681.24900000000002</v>
      </c>
      <c r="N16" s="10" t="s">
        <v>1088</v>
      </c>
      <c r="O16" s="16"/>
    </row>
    <row r="17" spans="2:18">
      <c r="B17" s="99" t="s">
        <v>46</v>
      </c>
      <c r="C17" s="96">
        <v>793.65</v>
      </c>
      <c r="D17" s="97"/>
      <c r="E17" s="63">
        <v>0</v>
      </c>
      <c r="F17" s="64"/>
      <c r="G17" s="64" t="s">
        <v>58</v>
      </c>
      <c r="M17" s="10">
        <v>5722.96</v>
      </c>
      <c r="N17" s="10" t="s">
        <v>1101</v>
      </c>
      <c r="O17" s="145"/>
    </row>
    <row r="18" spans="2:18">
      <c r="B18" s="99" t="s">
        <v>102</v>
      </c>
      <c r="C18" s="96">
        <v>0</v>
      </c>
      <c r="D18" s="97"/>
      <c r="E18" s="63">
        <v>0</v>
      </c>
      <c r="F18" s="64"/>
      <c r="G18" s="64" t="s">
        <v>58</v>
      </c>
      <c r="H18" s="143"/>
      <c r="M18" s="144">
        <f>SUM(M11:M17)</f>
        <v>22073.999</v>
      </c>
      <c r="N18" s="144" t="s">
        <v>1031</v>
      </c>
      <c r="O18" s="145"/>
    </row>
    <row r="19" spans="2:18">
      <c r="B19" s="99" t="s">
        <v>1032</v>
      </c>
      <c r="C19" s="96">
        <f>-6283.32</f>
        <v>-6283.32</v>
      </c>
      <c r="D19" s="97"/>
      <c r="E19" s="63">
        <v>0</v>
      </c>
      <c r="F19" s="64"/>
      <c r="G19" s="64" t="s">
        <v>58</v>
      </c>
    </row>
    <row r="20" spans="2:18" ht="15.75">
      <c r="B20" s="99" t="s">
        <v>755</v>
      </c>
      <c r="C20" s="96">
        <v>2080</v>
      </c>
      <c r="D20" s="97"/>
      <c r="E20" s="63">
        <v>0</v>
      </c>
      <c r="F20" s="64"/>
      <c r="G20" s="64" t="s">
        <v>58</v>
      </c>
      <c r="M20" s="221" t="s">
        <v>1018</v>
      </c>
      <c r="N20" s="221" t="s">
        <v>1019</v>
      </c>
      <c r="O20" s="221" t="s">
        <v>1020</v>
      </c>
    </row>
    <row r="21" spans="2:18">
      <c r="B21" s="99" t="s">
        <v>1107</v>
      </c>
      <c r="C21" s="96">
        <v>400</v>
      </c>
      <c r="D21" s="97"/>
      <c r="E21" s="63">
        <v>0</v>
      </c>
      <c r="F21" s="64"/>
      <c r="G21" s="64" t="s">
        <v>58</v>
      </c>
      <c r="M21" s="10" t="s">
        <v>1015</v>
      </c>
      <c r="N21" s="184">
        <v>0</v>
      </c>
      <c r="O21" s="185">
        <v>8</v>
      </c>
      <c r="Q21" s="161"/>
      <c r="R21" s="161"/>
    </row>
    <row r="22" spans="2:18">
      <c r="B22" s="99" t="s">
        <v>748</v>
      </c>
      <c r="C22" s="96">
        <v>-100</v>
      </c>
      <c r="D22" s="97"/>
      <c r="E22" s="63">
        <v>0</v>
      </c>
      <c r="F22" s="64"/>
      <c r="G22" s="64" t="s">
        <v>58</v>
      </c>
      <c r="M22" s="10" t="s">
        <v>1010</v>
      </c>
      <c r="N22" s="184">
        <v>0</v>
      </c>
      <c r="O22" s="185">
        <v>0</v>
      </c>
      <c r="Q22" s="161"/>
      <c r="R22" s="161"/>
    </row>
    <row r="23" spans="2:18">
      <c r="B23" s="99" t="s">
        <v>73</v>
      </c>
      <c r="C23" s="96">
        <v>-510.25</v>
      </c>
      <c r="D23" s="97"/>
      <c r="E23" s="63">
        <v>0</v>
      </c>
      <c r="F23" s="64"/>
      <c r="G23" s="64" t="s">
        <v>58</v>
      </c>
      <c r="M23" s="10" t="s">
        <v>1012</v>
      </c>
      <c r="N23" s="184">
        <v>0</v>
      </c>
      <c r="O23" s="185">
        <v>2</v>
      </c>
      <c r="Q23" s="161"/>
      <c r="R23" s="161"/>
    </row>
    <row r="24" spans="2:18">
      <c r="B24" s="99" t="s">
        <v>41</v>
      </c>
      <c r="C24" s="96">
        <v>-51.28</v>
      </c>
      <c r="D24" s="97"/>
      <c r="E24" s="63">
        <v>0</v>
      </c>
      <c r="F24" s="64"/>
      <c r="G24" s="64" t="s">
        <v>58</v>
      </c>
      <c r="M24" s="10" t="s">
        <v>1075</v>
      </c>
      <c r="N24" s="184">
        <v>0</v>
      </c>
      <c r="O24" s="185">
        <v>0</v>
      </c>
    </row>
    <row r="25" spans="2:18">
      <c r="B25" s="99" t="s">
        <v>586</v>
      </c>
      <c r="C25" s="96">
        <v>-119.23</v>
      </c>
      <c r="D25" s="97"/>
      <c r="E25" s="63">
        <v>0</v>
      </c>
      <c r="F25" s="64"/>
      <c r="G25" s="64" t="s">
        <v>58</v>
      </c>
      <c r="M25" s="10" t="s">
        <v>1055</v>
      </c>
      <c r="N25" s="184">
        <v>0</v>
      </c>
      <c r="O25" s="185">
        <v>3</v>
      </c>
    </row>
    <row r="26" spans="2:18">
      <c r="B26" s="99" t="s">
        <v>924</v>
      </c>
      <c r="C26" s="96">
        <v>-40.24</v>
      </c>
      <c r="D26" s="97"/>
      <c r="E26" s="63">
        <v>0</v>
      </c>
      <c r="F26" s="64"/>
      <c r="G26" s="64" t="s">
        <v>58</v>
      </c>
      <c r="M26" s="10" t="s">
        <v>1090</v>
      </c>
      <c r="N26" s="184">
        <v>0</v>
      </c>
      <c r="O26" s="185">
        <v>0</v>
      </c>
    </row>
    <row r="27" spans="2:18">
      <c r="B27" s="99" t="s">
        <v>686</v>
      </c>
      <c r="C27" s="96">
        <v>-701.11</v>
      </c>
      <c r="D27" s="97"/>
      <c r="E27" s="63">
        <v>0</v>
      </c>
      <c r="F27" s="64"/>
      <c r="G27" s="64" t="s">
        <v>58</v>
      </c>
      <c r="M27" s="10" t="s">
        <v>1101</v>
      </c>
      <c r="N27" s="184">
        <v>0</v>
      </c>
      <c r="O27" s="185">
        <v>1</v>
      </c>
    </row>
    <row r="28" spans="2:18">
      <c r="B28" s="99" t="s">
        <v>125</v>
      </c>
      <c r="C28" s="96">
        <v>297</v>
      </c>
      <c r="D28" s="97"/>
      <c r="E28" s="63">
        <v>0</v>
      </c>
      <c r="F28" s="64"/>
      <c r="G28" s="64" t="s">
        <v>58</v>
      </c>
    </row>
    <row r="29" spans="2:18" ht="18">
      <c r="B29" s="74" t="s">
        <v>45</v>
      </c>
      <c r="C29" s="188"/>
      <c r="D29" s="98"/>
      <c r="E29" s="129">
        <f>SUM(E3:E28)</f>
        <v>79.64</v>
      </c>
      <c r="F29" s="75"/>
      <c r="G29" s="75"/>
    </row>
  </sheetData>
  <mergeCells count="1">
    <mergeCell ref="Q2:R2"/>
  </mergeCells>
  <conditionalFormatting sqref="E22">
    <cfRule type="cellIs" dxfId="842" priority="34" stopIfTrue="1" operator="greaterThan">
      <formula>0</formula>
    </cfRule>
  </conditionalFormatting>
  <conditionalFormatting sqref="E18">
    <cfRule type="cellIs" dxfId="841" priority="35" stopIfTrue="1" operator="greaterThan">
      <formula>0</formula>
    </cfRule>
  </conditionalFormatting>
  <conditionalFormatting sqref="E10">
    <cfRule type="cellIs" dxfId="840" priority="29" stopIfTrue="1" operator="greaterThan">
      <formula>0</formula>
    </cfRule>
  </conditionalFormatting>
  <conditionalFormatting sqref="E16">
    <cfRule type="cellIs" dxfId="839" priority="28" stopIfTrue="1" operator="greaterThan">
      <formula>0</formula>
    </cfRule>
  </conditionalFormatting>
  <conditionalFormatting sqref="E15">
    <cfRule type="cellIs" dxfId="838" priority="27" stopIfTrue="1" operator="greaterThan">
      <formula>0</formula>
    </cfRule>
  </conditionalFormatting>
  <conditionalFormatting sqref="E13">
    <cfRule type="cellIs" dxfId="837" priority="26" stopIfTrue="1" operator="greaterThan">
      <formula>0</formula>
    </cfRule>
  </conditionalFormatting>
  <conditionalFormatting sqref="E19">
    <cfRule type="cellIs" dxfId="836" priority="25" stopIfTrue="1" operator="greaterThan">
      <formula>0</formula>
    </cfRule>
  </conditionalFormatting>
  <conditionalFormatting sqref="E14">
    <cfRule type="cellIs" dxfId="835" priority="21" stopIfTrue="1" operator="greaterThan">
      <formula>0</formula>
    </cfRule>
  </conditionalFormatting>
  <conditionalFormatting sqref="E11">
    <cfRule type="cellIs" dxfId="834" priority="20" stopIfTrue="1" operator="greaterThan">
      <formula>0</formula>
    </cfRule>
  </conditionalFormatting>
  <conditionalFormatting sqref="E9">
    <cfRule type="cellIs" dxfId="833" priority="19" stopIfTrue="1" operator="greaterThan">
      <formula>0</formula>
    </cfRule>
  </conditionalFormatting>
  <conditionalFormatting sqref="E12">
    <cfRule type="cellIs" dxfId="832" priority="18" stopIfTrue="1" operator="greaterThan">
      <formula>0</formula>
    </cfRule>
  </conditionalFormatting>
  <conditionalFormatting sqref="E25">
    <cfRule type="cellIs" dxfId="831" priority="17" stopIfTrue="1" operator="greaterThan">
      <formula>0</formula>
    </cfRule>
  </conditionalFormatting>
  <conditionalFormatting sqref="E27">
    <cfRule type="cellIs" dxfId="830" priority="16" stopIfTrue="1" operator="greaterThan">
      <formula>0</formula>
    </cfRule>
  </conditionalFormatting>
  <conditionalFormatting sqref="E20">
    <cfRule type="cellIs" dxfId="829" priority="12" stopIfTrue="1" operator="greaterThan">
      <formula>0</formula>
    </cfRule>
  </conditionalFormatting>
  <conditionalFormatting sqref="E28">
    <cfRule type="cellIs" dxfId="828" priority="11" stopIfTrue="1" operator="greaterThan">
      <formula>0</formula>
    </cfRule>
  </conditionalFormatting>
  <conditionalFormatting sqref="E23">
    <cfRule type="cellIs" dxfId="827" priority="7" stopIfTrue="1" operator="greaterThan">
      <formula>0</formula>
    </cfRule>
  </conditionalFormatting>
  <conditionalFormatting sqref="E17">
    <cfRule type="cellIs" dxfId="826" priority="6" stopIfTrue="1" operator="greaterThan">
      <formula>0</formula>
    </cfRule>
  </conditionalFormatting>
  <conditionalFormatting sqref="E26">
    <cfRule type="cellIs" dxfId="825" priority="5" stopIfTrue="1" operator="greaterThan">
      <formula>0</formula>
    </cfRule>
  </conditionalFormatting>
  <conditionalFormatting sqref="E21">
    <cfRule type="cellIs" dxfId="824" priority="2" stopIfTrue="1" operator="greaterThan">
      <formula>0</formula>
    </cfRule>
  </conditionalFormatting>
  <conditionalFormatting sqref="E24">
    <cfRule type="cellIs" dxfId="823" priority="1" stopIfTrue="1" operator="greaterThan">
      <formula>0</formula>
    </cfRule>
  </conditionalFormatting>
  <pageMargins left="0.511811024" right="0.511811024" top="0.78740157499999996" bottom="0.78740157499999996" header="0.31496062000000002" footer="0.31496062000000002"/>
</worksheet>
</file>

<file path=xl/worksheets/sheet94.xml><?xml version="1.0" encoding="utf-8"?>
<worksheet xmlns="http://schemas.openxmlformats.org/spreadsheetml/2006/main" xmlns:r="http://schemas.openxmlformats.org/officeDocument/2006/relationships">
  <sheetPr>
    <pageSetUpPr autoPageBreaks="0"/>
  </sheetPr>
  <dimension ref="B1:R29"/>
  <sheetViews>
    <sheetView zoomScale="75" zoomScaleNormal="75" zoomScalePageLayoutView="75" workbookViewId="0">
      <selection activeCell="E13" sqref="E13:G13"/>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-1258.18</v>
      </c>
      <c r="F3" s="72"/>
      <c r="G3" s="72"/>
      <c r="I3" s="10">
        <v>79</v>
      </c>
      <c r="J3" s="10" t="s">
        <v>914</v>
      </c>
      <c r="K3" s="16"/>
      <c r="M3" s="10">
        <v>0</v>
      </c>
      <c r="N3" s="10" t="s">
        <v>1010</v>
      </c>
      <c r="O3" s="16"/>
      <c r="Q3" t="s">
        <v>45</v>
      </c>
      <c r="R3" s="193">
        <v>10562.79</v>
      </c>
    </row>
    <row r="4" spans="2:18" ht="12" customHeight="1">
      <c r="B4" s="71" t="s">
        <v>5</v>
      </c>
      <c r="C4" s="91">
        <f>8050.8-306.21</f>
        <v>7744.59</v>
      </c>
      <c r="D4" s="92"/>
      <c r="E4" s="95">
        <v>0</v>
      </c>
      <c r="F4" s="72"/>
      <c r="G4" s="72"/>
      <c r="I4" s="10">
        <v>2739</v>
      </c>
      <c r="J4" s="10" t="s">
        <v>915</v>
      </c>
      <c r="K4" s="16"/>
      <c r="M4" s="10">
        <v>0</v>
      </c>
      <c r="N4" s="10" t="s">
        <v>1012</v>
      </c>
      <c r="O4" s="16"/>
      <c r="Q4" t="s">
        <v>993</v>
      </c>
      <c r="R4" s="193">
        <f>R3/2</f>
        <v>5281.3950000000004</v>
      </c>
    </row>
    <row r="5" spans="2:18" ht="12" customHeight="1">
      <c r="B5" s="186" t="s">
        <v>107</v>
      </c>
      <c r="C5" s="91">
        <v>306.44</v>
      </c>
      <c r="D5" s="92"/>
      <c r="E5" s="95">
        <v>0</v>
      </c>
      <c r="F5" s="72"/>
      <c r="G5" s="72"/>
      <c r="I5" s="10"/>
      <c r="J5" s="10"/>
      <c r="K5" s="16"/>
      <c r="M5" s="10">
        <v>0</v>
      </c>
      <c r="N5" s="10" t="s">
        <v>1024</v>
      </c>
      <c r="O5" s="16"/>
      <c r="Q5" t="s">
        <v>1092</v>
      </c>
      <c r="R5" s="193">
        <f>R3/2</f>
        <v>5281.3950000000004</v>
      </c>
    </row>
    <row r="6" spans="2:18">
      <c r="B6" s="186" t="s">
        <v>1103</v>
      </c>
      <c r="C6" s="91">
        <v>300</v>
      </c>
      <c r="D6" s="92"/>
      <c r="E6" s="95">
        <v>0</v>
      </c>
      <c r="F6" s="72"/>
      <c r="G6" s="72"/>
      <c r="M6" s="10">
        <v>0</v>
      </c>
      <c r="N6" s="10"/>
      <c r="O6" s="16"/>
    </row>
    <row r="7" spans="2:18">
      <c r="B7" s="186" t="s">
        <v>81</v>
      </c>
      <c r="C7" s="91">
        <v>64</v>
      </c>
      <c r="D7" s="92"/>
      <c r="E7" s="95">
        <f>C7</f>
        <v>64</v>
      </c>
      <c r="F7" s="72"/>
      <c r="G7" s="72"/>
      <c r="M7" s="10">
        <v>0</v>
      </c>
      <c r="N7" s="10"/>
      <c r="O7" s="145"/>
    </row>
    <row r="8" spans="2:18">
      <c r="B8" s="186" t="s">
        <v>1108</v>
      </c>
      <c r="C8" s="91">
        <v>179</v>
      </c>
      <c r="D8" s="92"/>
      <c r="E8" s="95">
        <f>C8</f>
        <v>179</v>
      </c>
      <c r="F8" s="72"/>
      <c r="G8" s="72"/>
      <c r="M8" s="144">
        <f>SUM(M3:M7)</f>
        <v>0</v>
      </c>
      <c r="N8" s="144" t="s">
        <v>564</v>
      </c>
      <c r="O8" s="145"/>
    </row>
    <row r="9" spans="2:18">
      <c r="B9" s="186" t="s">
        <v>999</v>
      </c>
      <c r="C9" s="91">
        <v>118.22</v>
      </c>
      <c r="D9" s="92"/>
      <c r="E9" s="95">
        <v>0</v>
      </c>
      <c r="F9" s="72"/>
      <c r="G9" s="72"/>
    </row>
    <row r="10" spans="2:18" ht="14.25" customHeight="1">
      <c r="B10" s="99" t="s">
        <v>714</v>
      </c>
      <c r="C10" s="96">
        <v>-28.52</v>
      </c>
      <c r="D10" s="97"/>
      <c r="E10" s="63">
        <v>0</v>
      </c>
      <c r="F10" s="64"/>
      <c r="G10" s="64" t="s">
        <v>58</v>
      </c>
      <c r="M10" s="221" t="s">
        <v>707</v>
      </c>
      <c r="N10" s="221" t="s">
        <v>408</v>
      </c>
      <c r="O10" s="221" t="s">
        <v>1</v>
      </c>
    </row>
    <row r="11" spans="2:18">
      <c r="B11" s="99" t="s">
        <v>125</v>
      </c>
      <c r="C11" s="96">
        <v>0</v>
      </c>
      <c r="D11" s="97"/>
      <c r="E11" s="63">
        <v>0</v>
      </c>
      <c r="F11" s="64"/>
      <c r="G11" s="64" t="s">
        <v>58</v>
      </c>
      <c r="M11" s="10">
        <v>7679.94</v>
      </c>
      <c r="N11" s="10" t="s">
        <v>1015</v>
      </c>
      <c r="O11" s="16"/>
    </row>
    <row r="12" spans="2:18">
      <c r="B12" s="99" t="s">
        <v>1098</v>
      </c>
      <c r="C12" s="96">
        <v>-103.68</v>
      </c>
      <c r="D12" s="97"/>
      <c r="E12" s="63">
        <v>0</v>
      </c>
      <c r="F12" s="64"/>
      <c r="G12" s="64" t="s">
        <v>58</v>
      </c>
      <c r="M12" s="10">
        <v>283.48</v>
      </c>
      <c r="N12" s="10" t="s">
        <v>1075</v>
      </c>
      <c r="O12" s="16"/>
    </row>
    <row r="13" spans="2:18">
      <c r="B13" s="99" t="s">
        <v>144</v>
      </c>
      <c r="C13" s="96">
        <v>-600</v>
      </c>
      <c r="D13" s="97"/>
      <c r="E13" s="63">
        <v>0</v>
      </c>
      <c r="F13" s="64"/>
      <c r="G13" s="64" t="s">
        <v>58</v>
      </c>
      <c r="M13" s="10">
        <v>2609.0700000000002</v>
      </c>
      <c r="N13" s="10" t="s">
        <v>1012</v>
      </c>
      <c r="O13" s="16"/>
    </row>
    <row r="14" spans="2:18">
      <c r="B14" s="99" t="s">
        <v>1069</v>
      </c>
      <c r="C14" s="96">
        <v>-935</v>
      </c>
      <c r="D14" s="97"/>
      <c r="E14" s="63">
        <v>0</v>
      </c>
      <c r="F14" s="64"/>
      <c r="G14" s="64" t="s">
        <v>58</v>
      </c>
      <c r="I14" s="52"/>
      <c r="M14" s="10">
        <v>6478.46</v>
      </c>
      <c r="N14" s="10" t="s">
        <v>1048</v>
      </c>
      <c r="O14" s="16"/>
    </row>
    <row r="15" spans="2:18">
      <c r="B15" s="99" t="s">
        <v>103</v>
      </c>
      <c r="C15" s="96">
        <v>-436.15</v>
      </c>
      <c r="D15" s="97"/>
      <c r="E15" s="63">
        <v>0</v>
      </c>
      <c r="F15" s="64"/>
      <c r="G15" s="64" t="s">
        <v>58</v>
      </c>
      <c r="I15" s="192"/>
      <c r="M15" s="10">
        <v>0</v>
      </c>
      <c r="N15" s="10" t="s">
        <v>1087</v>
      </c>
      <c r="O15" s="16"/>
    </row>
    <row r="16" spans="2:18">
      <c r="B16" s="99" t="s">
        <v>1109</v>
      </c>
      <c r="C16" s="96">
        <v>-226.86</v>
      </c>
      <c r="D16" s="97"/>
      <c r="E16" s="63">
        <v>0</v>
      </c>
      <c r="F16" s="64"/>
      <c r="G16" s="64" t="s">
        <v>58</v>
      </c>
      <c r="M16" s="10">
        <f>416.86*2.18</f>
        <v>908.75480000000005</v>
      </c>
      <c r="N16" s="10" t="s">
        <v>1088</v>
      </c>
      <c r="O16" s="16"/>
    </row>
    <row r="17" spans="2:18">
      <c r="B17" s="99" t="s">
        <v>102</v>
      </c>
      <c r="C17" s="96">
        <v>-1026.96</v>
      </c>
      <c r="D17" s="97"/>
      <c r="E17" s="63">
        <v>0</v>
      </c>
      <c r="F17" s="64"/>
      <c r="G17" s="64" t="s">
        <v>58</v>
      </c>
      <c r="M17" s="10">
        <v>5750.99</v>
      </c>
      <c r="N17" s="10" t="s">
        <v>1101</v>
      </c>
      <c r="O17" s="145"/>
    </row>
    <row r="18" spans="2:18">
      <c r="B18" s="99" t="s">
        <v>1110</v>
      </c>
      <c r="C18" s="96">
        <v>-360</v>
      </c>
      <c r="D18" s="97"/>
      <c r="E18" s="63">
        <v>0</v>
      </c>
      <c r="F18" s="64"/>
      <c r="G18" s="64" t="s">
        <v>58</v>
      </c>
      <c r="H18" s="143"/>
      <c r="M18" s="144">
        <f>SUM(M11:M17)</f>
        <v>23710.694799999997</v>
      </c>
      <c r="N18" s="144" t="s">
        <v>1031</v>
      </c>
      <c r="O18" s="145"/>
    </row>
    <row r="19" spans="2:18">
      <c r="B19" s="99" t="s">
        <v>1111</v>
      </c>
      <c r="C19" s="96">
        <v>-284.32</v>
      </c>
      <c r="D19" s="97"/>
      <c r="E19" s="63">
        <v>0</v>
      </c>
      <c r="F19" s="64"/>
      <c r="G19" s="64" t="s">
        <v>58</v>
      </c>
    </row>
    <row r="20" spans="2:18" ht="15.75">
      <c r="B20" s="99" t="s">
        <v>1112</v>
      </c>
      <c r="C20" s="96">
        <v>-130</v>
      </c>
      <c r="D20" s="97"/>
      <c r="E20" s="63">
        <v>0</v>
      </c>
      <c r="F20" s="64"/>
      <c r="G20" s="64" t="s">
        <v>58</v>
      </c>
      <c r="M20" s="221" t="s">
        <v>1018</v>
      </c>
      <c r="N20" s="221" t="s">
        <v>1019</v>
      </c>
      <c r="O20" s="221" t="s">
        <v>1020</v>
      </c>
    </row>
    <row r="21" spans="2:18">
      <c r="B21" s="99" t="s">
        <v>1032</v>
      </c>
      <c r="C21" s="96">
        <v>-3171.41</v>
      </c>
      <c r="D21" s="97"/>
      <c r="E21" s="63">
        <v>0</v>
      </c>
      <c r="F21" s="64"/>
      <c r="G21" s="64" t="s">
        <v>58</v>
      </c>
      <c r="M21" s="10" t="s">
        <v>1015</v>
      </c>
      <c r="N21" s="184">
        <v>0</v>
      </c>
      <c r="O21" s="185">
        <v>8</v>
      </c>
      <c r="Q21" s="161"/>
      <c r="R21" s="161"/>
    </row>
    <row r="22" spans="2:18">
      <c r="B22" s="99" t="s">
        <v>1021</v>
      </c>
      <c r="C22" s="96">
        <f>-68.1*2</f>
        <v>-136.19999999999999</v>
      </c>
      <c r="D22" s="97"/>
      <c r="E22" s="63">
        <v>0</v>
      </c>
      <c r="F22" s="64"/>
      <c r="G22" s="64" t="s">
        <v>58</v>
      </c>
      <c r="M22" s="10" t="s">
        <v>1010</v>
      </c>
      <c r="N22" s="184">
        <v>0</v>
      </c>
      <c r="O22" s="185">
        <v>0</v>
      </c>
      <c r="Q22" s="161"/>
      <c r="R22" s="161"/>
    </row>
    <row r="23" spans="2:18">
      <c r="B23" s="99" t="s">
        <v>748</v>
      </c>
      <c r="C23" s="96">
        <v>-100</v>
      </c>
      <c r="D23" s="97"/>
      <c r="E23" s="63">
        <v>0</v>
      </c>
      <c r="F23" s="64"/>
      <c r="G23" s="64" t="s">
        <v>58</v>
      </c>
      <c r="M23" s="10" t="s">
        <v>1012</v>
      </c>
      <c r="N23" s="184">
        <v>0</v>
      </c>
      <c r="O23" s="185">
        <v>3.3</v>
      </c>
      <c r="Q23" s="161"/>
      <c r="R23" s="161"/>
    </row>
    <row r="24" spans="2:18">
      <c r="B24" s="99" t="s">
        <v>73</v>
      </c>
      <c r="C24" s="96">
        <v>-384.76</v>
      </c>
      <c r="D24" s="97"/>
      <c r="E24" s="63">
        <v>0</v>
      </c>
      <c r="F24" s="64"/>
      <c r="G24" s="64" t="s">
        <v>58</v>
      </c>
      <c r="M24" s="10" t="s">
        <v>1075</v>
      </c>
      <c r="N24" s="184">
        <v>0</v>
      </c>
      <c r="O24" s="185">
        <v>0.4</v>
      </c>
    </row>
    <row r="25" spans="2:18">
      <c r="B25" s="99" t="s">
        <v>41</v>
      </c>
      <c r="C25" s="96">
        <v>-51.27</v>
      </c>
      <c r="D25" s="97"/>
      <c r="E25" s="63">
        <v>0</v>
      </c>
      <c r="F25" s="64"/>
      <c r="G25" s="64" t="s">
        <v>58</v>
      </c>
      <c r="M25" s="10" t="s">
        <v>1055</v>
      </c>
      <c r="N25" s="184">
        <v>0</v>
      </c>
      <c r="O25" s="185">
        <v>3</v>
      </c>
    </row>
    <row r="26" spans="2:18">
      <c r="B26" s="99" t="s">
        <v>586</v>
      </c>
      <c r="C26" s="96">
        <v>-100.62</v>
      </c>
      <c r="D26" s="97"/>
      <c r="E26" s="63">
        <v>0</v>
      </c>
      <c r="F26" s="64"/>
      <c r="G26" s="64" t="s">
        <v>58</v>
      </c>
      <c r="M26" s="10" t="s">
        <v>1090</v>
      </c>
      <c r="N26" s="184">
        <v>0</v>
      </c>
      <c r="O26" s="185">
        <v>0</v>
      </c>
    </row>
    <row r="27" spans="2:18">
      <c r="B27" s="99" t="s">
        <v>924</v>
      </c>
      <c r="C27" s="96">
        <v>-39.75</v>
      </c>
      <c r="D27" s="97"/>
      <c r="E27" s="63">
        <v>0</v>
      </c>
      <c r="F27" s="64"/>
      <c r="G27" s="64" t="s">
        <v>58</v>
      </c>
      <c r="M27" s="10" t="s">
        <v>1101</v>
      </c>
      <c r="N27" s="184">
        <v>0</v>
      </c>
      <c r="O27" s="185">
        <v>0</v>
      </c>
    </row>
    <row r="28" spans="2:18">
      <c r="B28" s="99" t="s">
        <v>686</v>
      </c>
      <c r="C28" s="96">
        <v>-627</v>
      </c>
      <c r="D28" s="97"/>
      <c r="E28" s="63">
        <v>0</v>
      </c>
      <c r="F28" s="64"/>
      <c r="G28" s="64" t="s">
        <v>58</v>
      </c>
    </row>
    <row r="29" spans="2:18" ht="18">
      <c r="B29" s="74" t="s">
        <v>45</v>
      </c>
      <c r="C29" s="188"/>
      <c r="D29" s="98"/>
      <c r="E29" s="129">
        <f>SUM(E3:E28)</f>
        <v>-1015.1800000000001</v>
      </c>
      <c r="F29" s="75"/>
      <c r="G29" s="75"/>
    </row>
  </sheetData>
  <mergeCells count="1">
    <mergeCell ref="Q2:R2"/>
  </mergeCells>
  <conditionalFormatting sqref="E23">
    <cfRule type="cellIs" dxfId="822" priority="40" stopIfTrue="1" operator="greaterThan">
      <formula>0</formula>
    </cfRule>
  </conditionalFormatting>
  <conditionalFormatting sqref="E12">
    <cfRule type="cellIs" dxfId="821" priority="32" stopIfTrue="1" operator="greaterThan">
      <formula>0</formula>
    </cfRule>
  </conditionalFormatting>
  <conditionalFormatting sqref="E14">
    <cfRule type="cellIs" dxfId="820" priority="31" stopIfTrue="1" operator="greaterThan">
      <formula>0</formula>
    </cfRule>
  </conditionalFormatting>
  <conditionalFormatting sqref="E15">
    <cfRule type="cellIs" dxfId="819" priority="30" stopIfTrue="1" operator="greaterThan">
      <formula>0</formula>
    </cfRule>
  </conditionalFormatting>
  <conditionalFormatting sqref="E21">
    <cfRule type="cellIs" dxfId="818" priority="28" stopIfTrue="1" operator="greaterThan">
      <formula>0</formula>
    </cfRule>
  </conditionalFormatting>
  <conditionalFormatting sqref="E10">
    <cfRule type="cellIs" dxfId="817" priority="27" stopIfTrue="1" operator="greaterThan">
      <formula>0</formula>
    </cfRule>
  </conditionalFormatting>
  <conditionalFormatting sqref="E16">
    <cfRule type="cellIs" dxfId="816" priority="26" stopIfTrue="1" operator="greaterThan">
      <formula>0</formula>
    </cfRule>
  </conditionalFormatting>
  <conditionalFormatting sqref="E11">
    <cfRule type="cellIs" dxfId="815" priority="25" stopIfTrue="1" operator="greaterThan">
      <formula>0</formula>
    </cfRule>
  </conditionalFormatting>
  <conditionalFormatting sqref="E13">
    <cfRule type="cellIs" dxfId="814" priority="24" stopIfTrue="1" operator="greaterThan">
      <formula>0</formula>
    </cfRule>
  </conditionalFormatting>
  <conditionalFormatting sqref="E26">
    <cfRule type="cellIs" dxfId="813" priority="23" stopIfTrue="1" operator="greaterThan">
      <formula>0</formula>
    </cfRule>
  </conditionalFormatting>
  <conditionalFormatting sqref="E28">
    <cfRule type="cellIs" dxfId="812" priority="22" stopIfTrue="1" operator="greaterThan">
      <formula>0</formula>
    </cfRule>
  </conditionalFormatting>
  <conditionalFormatting sqref="E17">
    <cfRule type="cellIs" dxfId="811" priority="21" stopIfTrue="1" operator="greaterThan">
      <formula>0</formula>
    </cfRule>
  </conditionalFormatting>
  <conditionalFormatting sqref="E24">
    <cfRule type="cellIs" dxfId="810" priority="15" stopIfTrue="1" operator="greaterThan">
      <formula>0</formula>
    </cfRule>
  </conditionalFormatting>
  <conditionalFormatting sqref="E22">
    <cfRule type="cellIs" dxfId="809" priority="14" stopIfTrue="1" operator="greaterThan">
      <formula>0</formula>
    </cfRule>
  </conditionalFormatting>
  <conditionalFormatting sqref="E27">
    <cfRule type="cellIs" dxfId="808" priority="8" stopIfTrue="1" operator="greaterThan">
      <formula>0</formula>
    </cfRule>
  </conditionalFormatting>
  <conditionalFormatting sqref="E18">
    <cfRule type="cellIs" dxfId="807" priority="7" stopIfTrue="1" operator="greaterThan">
      <formula>0</formula>
    </cfRule>
  </conditionalFormatting>
  <conditionalFormatting sqref="E19">
    <cfRule type="cellIs" dxfId="806" priority="3" stopIfTrue="1" operator="greaterThan">
      <formula>0</formula>
    </cfRule>
  </conditionalFormatting>
  <conditionalFormatting sqref="E20">
    <cfRule type="cellIs" dxfId="805" priority="2" stopIfTrue="1" operator="greaterThan">
      <formula>0</formula>
    </cfRule>
  </conditionalFormatting>
  <conditionalFormatting sqref="E25">
    <cfRule type="cellIs" dxfId="804" priority="1" stopIfTrue="1" operator="greaterThan">
      <formula>0</formula>
    </cfRule>
  </conditionalFormatting>
  <pageMargins left="0.511811024" right="0.511811024" top="0.78740157499999996" bottom="0.78740157499999996" header="0.31496062000000002" footer="0.31496062000000002"/>
</worksheet>
</file>

<file path=xl/worksheets/sheet95.xml><?xml version="1.0" encoding="utf-8"?>
<worksheet xmlns="http://schemas.openxmlformats.org/spreadsheetml/2006/main" xmlns:r="http://schemas.openxmlformats.org/officeDocument/2006/relationships">
  <sheetPr>
    <pageSetUpPr autoPageBreaks="0"/>
  </sheetPr>
  <dimension ref="B1:R33"/>
  <sheetViews>
    <sheetView zoomScale="75" zoomScaleNormal="75" zoomScalePageLayoutView="75" workbookViewId="0">
      <selection activeCell="E29" sqref="E29:G29"/>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-362.9</v>
      </c>
      <c r="F3" s="72"/>
      <c r="G3" s="72"/>
      <c r="I3" s="10">
        <v>559.75</v>
      </c>
      <c r="J3" s="10" t="s">
        <v>914</v>
      </c>
      <c r="K3" s="16"/>
      <c r="M3" s="10">
        <v>0</v>
      </c>
      <c r="N3" s="10" t="s">
        <v>1010</v>
      </c>
      <c r="O3" s="16"/>
      <c r="Q3" t="s">
        <v>45</v>
      </c>
      <c r="R3" s="193">
        <v>10554.86</v>
      </c>
    </row>
    <row r="4" spans="2:18" ht="12" customHeight="1">
      <c r="B4" s="71" t="s">
        <v>5</v>
      </c>
      <c r="C4" s="91">
        <v>15636.82</v>
      </c>
      <c r="D4" s="92"/>
      <c r="E4" s="95">
        <v>0</v>
      </c>
      <c r="F4" s="72"/>
      <c r="G4" s="72"/>
      <c r="I4" s="10">
        <v>3270.1</v>
      </c>
      <c r="J4" s="10" t="s">
        <v>915</v>
      </c>
      <c r="K4" s="16"/>
      <c r="M4" s="10">
        <v>0</v>
      </c>
      <c r="N4" s="10" t="s">
        <v>1012</v>
      </c>
      <c r="O4" s="16"/>
      <c r="Q4" t="s">
        <v>993</v>
      </c>
      <c r="R4" s="193">
        <f>R3/2</f>
        <v>5277.43</v>
      </c>
    </row>
    <row r="5" spans="2:18" ht="12" customHeight="1">
      <c r="B5" s="186" t="s">
        <v>107</v>
      </c>
      <c r="C5" s="91">
        <v>222</v>
      </c>
      <c r="D5" s="92"/>
      <c r="E5" s="95">
        <v>0</v>
      </c>
      <c r="F5" s="72"/>
      <c r="G5" s="72"/>
      <c r="I5" s="10"/>
      <c r="J5" s="10"/>
      <c r="K5" s="16"/>
      <c r="M5" s="10">
        <v>0</v>
      </c>
      <c r="N5" s="10" t="s">
        <v>1024</v>
      </c>
      <c r="O5" s="16"/>
      <c r="Q5" t="s">
        <v>1092</v>
      </c>
      <c r="R5" s="193">
        <f>R3/2</f>
        <v>5277.43</v>
      </c>
    </row>
    <row r="6" spans="2:18">
      <c r="B6" s="186" t="s">
        <v>1103</v>
      </c>
      <c r="C6" s="91">
        <v>300</v>
      </c>
      <c r="D6" s="92"/>
      <c r="E6" s="95">
        <v>0</v>
      </c>
      <c r="F6" s="72"/>
      <c r="G6" s="72"/>
      <c r="M6" s="10">
        <v>0</v>
      </c>
      <c r="N6" s="10"/>
      <c r="O6" s="16"/>
    </row>
    <row r="7" spans="2:18">
      <c r="B7" s="186" t="s">
        <v>81</v>
      </c>
      <c r="C7" s="91">
        <v>64</v>
      </c>
      <c r="D7" s="92"/>
      <c r="E7" s="95">
        <v>0</v>
      </c>
      <c r="F7" s="72"/>
      <c r="G7" s="72"/>
      <c r="M7" s="10">
        <v>0</v>
      </c>
      <c r="N7" s="10"/>
      <c r="O7" s="145"/>
    </row>
    <row r="8" spans="2:18">
      <c r="B8" s="186" t="s">
        <v>1108</v>
      </c>
      <c r="C8" s="91">
        <v>179</v>
      </c>
      <c r="D8" s="92"/>
      <c r="E8" s="95">
        <v>0</v>
      </c>
      <c r="F8" s="72"/>
      <c r="G8" s="72"/>
      <c r="M8" s="144">
        <f>SUM(M3:M7)</f>
        <v>0</v>
      </c>
      <c r="N8" s="144" t="s">
        <v>564</v>
      </c>
      <c r="O8" s="145"/>
    </row>
    <row r="9" spans="2:18">
      <c r="B9" s="186" t="s">
        <v>1113</v>
      </c>
      <c r="C9" s="91">
        <v>80</v>
      </c>
      <c r="D9" s="92"/>
      <c r="E9" s="95">
        <v>0</v>
      </c>
      <c r="F9" s="72"/>
      <c r="G9" s="72"/>
    </row>
    <row r="10" spans="2:18" ht="14.25" customHeight="1">
      <c r="B10" s="186" t="s">
        <v>1114</v>
      </c>
      <c r="C10" s="91">
        <v>7095</v>
      </c>
      <c r="D10" s="92"/>
      <c r="E10" s="95">
        <v>0</v>
      </c>
      <c r="F10" s="72"/>
      <c r="G10" s="72"/>
      <c r="M10" s="221" t="s">
        <v>707</v>
      </c>
      <c r="N10" s="221" t="s">
        <v>408</v>
      </c>
      <c r="O10" s="221" t="s">
        <v>1</v>
      </c>
    </row>
    <row r="11" spans="2:18">
      <c r="B11" s="99" t="s">
        <v>714</v>
      </c>
      <c r="C11" s="96">
        <v>-15.05</v>
      </c>
      <c r="D11" s="97"/>
      <c r="E11" s="63">
        <v>0</v>
      </c>
      <c r="F11" s="64"/>
      <c r="G11" s="64" t="s">
        <v>58</v>
      </c>
      <c r="M11" s="10">
        <v>7733.58</v>
      </c>
      <c r="N11" s="10" t="s">
        <v>1015</v>
      </c>
      <c r="O11" s="16"/>
    </row>
    <row r="12" spans="2:18">
      <c r="B12" s="99" t="s">
        <v>125</v>
      </c>
      <c r="C12" s="96">
        <v>0</v>
      </c>
      <c r="D12" s="97"/>
      <c r="E12" s="63">
        <v>0</v>
      </c>
      <c r="F12" s="64"/>
      <c r="G12" s="64" t="s">
        <v>58</v>
      </c>
      <c r="M12" s="10">
        <v>279.70999999999998</v>
      </c>
      <c r="N12" s="10" t="s">
        <v>1075</v>
      </c>
      <c r="O12" s="16"/>
    </row>
    <row r="13" spans="2:18">
      <c r="B13" s="99" t="s">
        <v>1098</v>
      </c>
      <c r="C13" s="96">
        <v>-111.28</v>
      </c>
      <c r="D13" s="97"/>
      <c r="E13" s="63">
        <v>0</v>
      </c>
      <c r="F13" s="64"/>
      <c r="G13" s="64" t="s">
        <v>58</v>
      </c>
      <c r="M13" s="10">
        <v>0</v>
      </c>
      <c r="N13" s="10" t="s">
        <v>1012</v>
      </c>
      <c r="O13" s="16"/>
    </row>
    <row r="14" spans="2:18">
      <c r="B14" s="99" t="s">
        <v>144</v>
      </c>
      <c r="C14" s="96">
        <v>-600</v>
      </c>
      <c r="D14" s="97"/>
      <c r="E14" s="63">
        <v>0</v>
      </c>
      <c r="F14" s="64"/>
      <c r="G14" s="64" t="s">
        <v>58</v>
      </c>
      <c r="I14" s="52"/>
      <c r="M14" s="10">
        <v>6488.56</v>
      </c>
      <c r="N14" s="10" t="s">
        <v>1048</v>
      </c>
      <c r="O14" s="16"/>
    </row>
    <row r="15" spans="2:18">
      <c r="B15" s="99" t="s">
        <v>1069</v>
      </c>
      <c r="C15" s="96">
        <v>-935</v>
      </c>
      <c r="D15" s="97"/>
      <c r="E15" s="63">
        <v>0</v>
      </c>
      <c r="F15" s="64"/>
      <c r="G15" s="64" t="s">
        <v>58</v>
      </c>
      <c r="I15" s="192"/>
      <c r="M15" s="10">
        <v>8319.61</v>
      </c>
      <c r="N15" s="10" t="s">
        <v>1087</v>
      </c>
      <c r="O15" s="16"/>
    </row>
    <row r="16" spans="2:18">
      <c r="B16" s="99" t="s">
        <v>103</v>
      </c>
      <c r="C16" s="96">
        <v>-79</v>
      </c>
      <c r="D16" s="97"/>
      <c r="E16" s="63">
        <v>0</v>
      </c>
      <c r="F16" s="64"/>
      <c r="G16" s="64" t="s">
        <v>58</v>
      </c>
      <c r="M16" s="10">
        <f>416.86*2.2</f>
        <v>917.0920000000001</v>
      </c>
      <c r="N16" s="10" t="s">
        <v>1088</v>
      </c>
      <c r="O16" s="16"/>
    </row>
    <row r="17" spans="2:18">
      <c r="B17" s="99" t="s">
        <v>102</v>
      </c>
      <c r="C17" s="96">
        <v>-9051</v>
      </c>
      <c r="D17" s="97"/>
      <c r="E17" s="63">
        <v>0</v>
      </c>
      <c r="F17" s="64"/>
      <c r="G17" s="64" t="s">
        <v>58</v>
      </c>
      <c r="M17" s="10">
        <v>5787.94</v>
      </c>
      <c r="N17" s="10" t="s">
        <v>1101</v>
      </c>
      <c r="O17" s="145"/>
    </row>
    <row r="18" spans="2:18">
      <c r="B18" s="99" t="s">
        <v>1032</v>
      </c>
      <c r="C18" s="96">
        <v>-2929.52</v>
      </c>
      <c r="D18" s="97"/>
      <c r="E18" s="63">
        <v>0</v>
      </c>
      <c r="F18" s="64"/>
      <c r="G18" s="64" t="s">
        <v>58</v>
      </c>
      <c r="H18" s="143"/>
      <c r="M18" s="10">
        <v>0</v>
      </c>
      <c r="N18" s="10" t="s">
        <v>143</v>
      </c>
      <c r="O18" s="145"/>
    </row>
    <row r="19" spans="2:18">
      <c r="B19" s="99" t="s">
        <v>748</v>
      </c>
      <c r="C19" s="96">
        <v>-100</v>
      </c>
      <c r="D19" s="97"/>
      <c r="E19" s="63">
        <v>0</v>
      </c>
      <c r="F19" s="64"/>
      <c r="G19" s="64" t="s">
        <v>58</v>
      </c>
      <c r="M19" s="144">
        <f>SUM(M11:M18)</f>
        <v>29526.491999999998</v>
      </c>
      <c r="N19" s="144" t="s">
        <v>1031</v>
      </c>
      <c r="O19" s="145"/>
    </row>
    <row r="20" spans="2:18">
      <c r="B20" s="99" t="s">
        <v>1115</v>
      </c>
      <c r="C20" s="96">
        <v>328</v>
      </c>
      <c r="D20" s="97"/>
      <c r="E20" s="63">
        <v>0</v>
      </c>
      <c r="F20" s="64"/>
      <c r="G20" s="64" t="s">
        <v>58</v>
      </c>
    </row>
    <row r="21" spans="2:18" ht="15.75">
      <c r="B21" s="99" t="s">
        <v>1116</v>
      </c>
      <c r="C21" s="96">
        <v>-362</v>
      </c>
      <c r="D21" s="97"/>
      <c r="E21" s="63">
        <v>0</v>
      </c>
      <c r="F21" s="64"/>
      <c r="G21" s="64" t="s">
        <v>58</v>
      </c>
      <c r="M21" s="221" t="s">
        <v>1018</v>
      </c>
      <c r="N21" s="221" t="s">
        <v>1019</v>
      </c>
      <c r="O21" s="221" t="s">
        <v>1020</v>
      </c>
      <c r="Q21" s="161"/>
      <c r="R21" s="161"/>
    </row>
    <row r="22" spans="2:18">
      <c r="B22" s="99" t="s">
        <v>1117</v>
      </c>
      <c r="C22" s="96">
        <v>100</v>
      </c>
      <c r="D22" s="97"/>
      <c r="E22" s="63">
        <v>0</v>
      </c>
      <c r="F22" s="64"/>
      <c r="G22" s="64" t="s">
        <v>58</v>
      </c>
      <c r="M22" s="10" t="s">
        <v>1015</v>
      </c>
      <c r="N22" s="184">
        <v>0</v>
      </c>
      <c r="O22" s="185">
        <v>8</v>
      </c>
      <c r="Q22" s="161"/>
      <c r="R22" s="161"/>
    </row>
    <row r="23" spans="2:18">
      <c r="B23" s="99" t="s">
        <v>1118</v>
      </c>
      <c r="C23" s="96">
        <v>-7095</v>
      </c>
      <c r="D23" s="97"/>
      <c r="E23" s="63">
        <v>0</v>
      </c>
      <c r="F23" s="64"/>
      <c r="G23" s="64" t="s">
        <v>58</v>
      </c>
      <c r="M23" s="10" t="s">
        <v>1010</v>
      </c>
      <c r="N23" s="184">
        <v>0</v>
      </c>
      <c r="O23" s="185">
        <v>0</v>
      </c>
      <c r="Q23" s="161"/>
      <c r="R23" s="161"/>
    </row>
    <row r="24" spans="2:18">
      <c r="B24" s="99" t="s">
        <v>1119</v>
      </c>
      <c r="C24" s="96">
        <v>-2350</v>
      </c>
      <c r="D24" s="97"/>
      <c r="E24" s="63">
        <v>0</v>
      </c>
      <c r="F24" s="64"/>
      <c r="G24" s="64" t="s">
        <v>58</v>
      </c>
      <c r="M24" s="10" t="s">
        <v>1012</v>
      </c>
      <c r="N24" s="184">
        <v>0</v>
      </c>
      <c r="O24" s="185">
        <v>4</v>
      </c>
    </row>
    <row r="25" spans="2:18">
      <c r="B25" s="99" t="s">
        <v>755</v>
      </c>
      <c r="C25" s="96">
        <v>3154.89</v>
      </c>
      <c r="D25" s="97"/>
      <c r="E25" s="63">
        <v>0</v>
      </c>
      <c r="F25" s="64"/>
      <c r="G25" s="64" t="s">
        <v>58</v>
      </c>
      <c r="M25" s="10" t="s">
        <v>1075</v>
      </c>
      <c r="N25" s="184">
        <v>0</v>
      </c>
      <c r="O25" s="185">
        <v>0.4</v>
      </c>
    </row>
    <row r="26" spans="2:18">
      <c r="B26" s="99" t="s">
        <v>1120</v>
      </c>
      <c r="C26" s="96">
        <v>-480.81</v>
      </c>
      <c r="D26" s="97"/>
      <c r="E26" s="63">
        <v>0</v>
      </c>
      <c r="F26" s="64"/>
      <c r="G26" s="64" t="s">
        <v>58</v>
      </c>
      <c r="M26" s="10" t="s">
        <v>1055</v>
      </c>
      <c r="N26" s="184">
        <v>0</v>
      </c>
      <c r="O26" s="185">
        <v>3</v>
      </c>
    </row>
    <row r="27" spans="2:18">
      <c r="B27" s="99" t="s">
        <v>1121</v>
      </c>
      <c r="C27" s="96">
        <v>-150.74</v>
      </c>
      <c r="D27" s="97"/>
      <c r="E27" s="63">
        <v>0</v>
      </c>
      <c r="F27" s="64"/>
      <c r="G27" s="64" t="s">
        <v>58</v>
      </c>
      <c r="M27" s="10" t="s">
        <v>1090</v>
      </c>
      <c r="N27" s="184">
        <v>0</v>
      </c>
      <c r="O27" s="185">
        <v>4.9000000000000004</v>
      </c>
    </row>
    <row r="28" spans="2:18">
      <c r="B28" s="99" t="s">
        <v>73</v>
      </c>
      <c r="C28" s="96">
        <v>-407.89</v>
      </c>
      <c r="D28" s="97"/>
      <c r="E28" s="63">
        <v>0</v>
      </c>
      <c r="F28" s="64"/>
      <c r="G28" s="64" t="s">
        <v>58</v>
      </c>
      <c r="M28" s="10" t="s">
        <v>1101</v>
      </c>
      <c r="N28" s="184">
        <v>0</v>
      </c>
      <c r="O28" s="185">
        <v>1</v>
      </c>
    </row>
    <row r="29" spans="2:18">
      <c r="B29" s="99" t="s">
        <v>41</v>
      </c>
      <c r="C29" s="96">
        <v>-76.52</v>
      </c>
      <c r="D29" s="97"/>
      <c r="E29" s="63">
        <v>0</v>
      </c>
      <c r="F29" s="64"/>
      <c r="G29" s="64" t="s">
        <v>58</v>
      </c>
    </row>
    <row r="30" spans="2:18">
      <c r="B30" s="99" t="s">
        <v>586</v>
      </c>
      <c r="C30" s="96">
        <v>-100.62</v>
      </c>
      <c r="D30" s="97"/>
      <c r="E30" s="63">
        <v>0</v>
      </c>
      <c r="F30" s="64"/>
      <c r="G30" s="64" t="s">
        <v>58</v>
      </c>
    </row>
    <row r="31" spans="2:18">
      <c r="B31" s="99" t="s">
        <v>924</v>
      </c>
      <c r="C31" s="96">
        <v>-39.68</v>
      </c>
      <c r="D31" s="97"/>
      <c r="E31" s="63">
        <v>0</v>
      </c>
      <c r="F31" s="64"/>
      <c r="G31" s="64" t="s">
        <v>58</v>
      </c>
    </row>
    <row r="32" spans="2:18">
      <c r="B32" s="99" t="s">
        <v>686</v>
      </c>
      <c r="C32" s="96">
        <v>-709.9</v>
      </c>
      <c r="D32" s="97"/>
      <c r="E32" s="63">
        <v>0</v>
      </c>
      <c r="F32" s="64"/>
      <c r="G32" s="64" t="s">
        <v>58</v>
      </c>
    </row>
    <row r="33" spans="2:7" ht="18">
      <c r="B33" s="74" t="s">
        <v>45</v>
      </c>
      <c r="C33" s="188"/>
      <c r="D33" s="98"/>
      <c r="E33" s="129">
        <f>SUM(E3:E32)</f>
        <v>-362.9</v>
      </c>
      <c r="F33" s="75"/>
      <c r="G33" s="75"/>
    </row>
  </sheetData>
  <mergeCells count="1">
    <mergeCell ref="Q2:R2"/>
  </mergeCells>
  <conditionalFormatting sqref="E12">
    <cfRule type="cellIs" dxfId="803" priority="34" stopIfTrue="1" operator="greaterThan">
      <formula>0</formula>
    </cfRule>
  </conditionalFormatting>
  <conditionalFormatting sqref="E14">
    <cfRule type="cellIs" dxfId="802" priority="33" stopIfTrue="1" operator="greaterThan">
      <formula>0</formula>
    </cfRule>
  </conditionalFormatting>
  <conditionalFormatting sqref="E11">
    <cfRule type="cellIs" dxfId="801" priority="31" stopIfTrue="1" operator="greaterThan">
      <formula>0</formula>
    </cfRule>
  </conditionalFormatting>
  <conditionalFormatting sqref="E13">
    <cfRule type="cellIs" dxfId="800" priority="30" stopIfTrue="1" operator="greaterThan">
      <formula>0</formula>
    </cfRule>
  </conditionalFormatting>
  <conditionalFormatting sqref="E15">
    <cfRule type="cellIs" dxfId="799" priority="29" stopIfTrue="1" operator="greaterThan">
      <formula>0</formula>
    </cfRule>
  </conditionalFormatting>
  <conditionalFormatting sqref="E17">
    <cfRule type="cellIs" dxfId="798" priority="28" stopIfTrue="1" operator="greaterThan">
      <formula>0</formula>
    </cfRule>
  </conditionalFormatting>
  <conditionalFormatting sqref="E18">
    <cfRule type="cellIs" dxfId="797" priority="27" stopIfTrue="1" operator="greaterThan">
      <formula>0</formula>
    </cfRule>
  </conditionalFormatting>
  <conditionalFormatting sqref="E16">
    <cfRule type="cellIs" dxfId="796" priority="26" stopIfTrue="1" operator="greaterThan">
      <formula>0</formula>
    </cfRule>
  </conditionalFormatting>
  <conditionalFormatting sqref="E30">
    <cfRule type="cellIs" dxfId="795" priority="25" stopIfTrue="1" operator="greaterThan">
      <formula>0</formula>
    </cfRule>
  </conditionalFormatting>
  <conditionalFormatting sqref="E32">
    <cfRule type="cellIs" dxfId="794" priority="24" stopIfTrue="1" operator="greaterThan">
      <formula>0</formula>
    </cfRule>
  </conditionalFormatting>
  <conditionalFormatting sqref="E24">
    <cfRule type="cellIs" dxfId="793" priority="19" stopIfTrue="1" operator="greaterThan">
      <formula>0</formula>
    </cfRule>
  </conditionalFormatting>
  <conditionalFormatting sqref="E28">
    <cfRule type="cellIs" dxfId="792" priority="18" stopIfTrue="1" operator="greaterThan">
      <formula>0</formula>
    </cfRule>
  </conditionalFormatting>
  <conditionalFormatting sqref="E19">
    <cfRule type="cellIs" dxfId="791" priority="17" stopIfTrue="1" operator="greaterThan">
      <formula>0</formula>
    </cfRule>
  </conditionalFormatting>
  <conditionalFormatting sqref="E20">
    <cfRule type="cellIs" dxfId="790" priority="13" stopIfTrue="1" operator="greaterThan">
      <formula>0</formula>
    </cfRule>
  </conditionalFormatting>
  <conditionalFormatting sqref="E25">
    <cfRule type="cellIs" dxfId="789" priority="12" stopIfTrue="1" operator="greaterThan">
      <formula>0</formula>
    </cfRule>
  </conditionalFormatting>
  <conditionalFormatting sqref="E22">
    <cfRule type="cellIs" dxfId="788" priority="9" stopIfTrue="1" operator="greaterThan">
      <formula>0</formula>
    </cfRule>
  </conditionalFormatting>
  <conditionalFormatting sqref="E27">
    <cfRule type="cellIs" dxfId="787" priority="7" stopIfTrue="1" operator="greaterThan">
      <formula>0</formula>
    </cfRule>
  </conditionalFormatting>
  <conditionalFormatting sqref="E31">
    <cfRule type="cellIs" dxfId="786" priority="6" stopIfTrue="1" operator="greaterThan">
      <formula>0</formula>
    </cfRule>
  </conditionalFormatting>
  <conditionalFormatting sqref="E23">
    <cfRule type="cellIs" dxfId="785" priority="4" stopIfTrue="1" operator="greaterThan">
      <formula>0</formula>
    </cfRule>
  </conditionalFormatting>
  <conditionalFormatting sqref="E26">
    <cfRule type="cellIs" dxfId="784" priority="3" stopIfTrue="1" operator="greaterThan">
      <formula>0</formula>
    </cfRule>
  </conditionalFormatting>
  <conditionalFormatting sqref="E21">
    <cfRule type="cellIs" dxfId="783" priority="2" stopIfTrue="1" operator="greaterThan">
      <formula>0</formula>
    </cfRule>
  </conditionalFormatting>
  <conditionalFormatting sqref="E29">
    <cfRule type="cellIs" dxfId="782" priority="1" stopIfTrue="1" operator="greaterThan">
      <formula>0</formula>
    </cfRule>
  </conditionalFormatting>
  <pageMargins left="0.511811024" right="0.511811024" top="0.78740157499999996" bottom="0.78740157499999996" header="0.31496062000000002" footer="0.31496062000000002"/>
</worksheet>
</file>

<file path=xl/worksheets/sheet96.xml><?xml version="1.0" encoding="utf-8"?>
<worksheet xmlns="http://schemas.openxmlformats.org/spreadsheetml/2006/main" xmlns:r="http://schemas.openxmlformats.org/officeDocument/2006/relationships">
  <sheetPr>
    <pageSetUpPr autoPageBreaks="0"/>
  </sheetPr>
  <dimension ref="B1:R30"/>
  <sheetViews>
    <sheetView zoomScale="75" zoomScaleNormal="75" zoomScalePageLayoutView="75" workbookViewId="0">
      <selection activeCell="E22" sqref="E22:G22"/>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6.28515625" customWidth="1"/>
    <col min="12" max="12" width="1.42578125" customWidth="1"/>
    <col min="13" max="14" width="23.42578125" customWidth="1"/>
    <col min="15" max="15" width="18" customWidth="1"/>
    <col min="16" max="16" width="4.42578125" customWidth="1"/>
    <col min="17" max="17" width="11.140625" customWidth="1"/>
    <col min="18" max="18" width="14" bestFit="1" customWidth="1"/>
  </cols>
  <sheetData>
    <row r="1" spans="2:18">
      <c r="E1" s="106"/>
    </row>
    <row r="2" spans="2:18" ht="18">
      <c r="B2" s="220" t="s">
        <v>135</v>
      </c>
      <c r="C2" s="220" t="s">
        <v>136</v>
      </c>
      <c r="D2" s="90"/>
      <c r="E2" s="220" t="s">
        <v>0</v>
      </c>
      <c r="F2" s="82" t="s">
        <v>1</v>
      </c>
      <c r="G2" s="82" t="s">
        <v>57</v>
      </c>
      <c r="I2" s="221" t="s">
        <v>913</v>
      </c>
      <c r="J2" s="221" t="s">
        <v>408</v>
      </c>
      <c r="K2" s="221" t="s">
        <v>1</v>
      </c>
      <c r="M2" s="221" t="s">
        <v>993</v>
      </c>
      <c r="N2" s="221" t="s">
        <v>408</v>
      </c>
      <c r="O2" s="221" t="s">
        <v>1</v>
      </c>
      <c r="Q2" s="585" t="s">
        <v>1091</v>
      </c>
      <c r="R2" s="586"/>
    </row>
    <row r="3" spans="2:18">
      <c r="B3" s="71" t="s">
        <v>56</v>
      </c>
      <c r="C3" s="91">
        <v>0</v>
      </c>
      <c r="D3" s="92"/>
      <c r="E3" s="95">
        <v>-57.65</v>
      </c>
      <c r="F3" s="72"/>
      <c r="G3" s="72"/>
      <c r="I3" s="10">
        <v>160.49</v>
      </c>
      <c r="J3" s="10" t="s">
        <v>914</v>
      </c>
      <c r="K3" s="16"/>
      <c r="M3" s="10">
        <v>0</v>
      </c>
      <c r="N3" s="10" t="s">
        <v>1010</v>
      </c>
      <c r="O3" s="16"/>
      <c r="Q3" t="s">
        <v>45</v>
      </c>
      <c r="R3" s="193">
        <v>10419.42</v>
      </c>
    </row>
    <row r="4" spans="2:18" ht="12" customHeight="1">
      <c r="B4" s="71" t="s">
        <v>5</v>
      </c>
      <c r="C4" s="91">
        <v>12530.61</v>
      </c>
      <c r="D4" s="92"/>
      <c r="E4" s="95">
        <v>0</v>
      </c>
      <c r="F4" s="72"/>
      <c r="G4" s="72"/>
      <c r="I4" s="10">
        <v>925.66</v>
      </c>
      <c r="J4" s="10" t="s">
        <v>915</v>
      </c>
      <c r="K4" s="16"/>
      <c r="M4" s="10">
        <v>0</v>
      </c>
      <c r="N4" s="10" t="s">
        <v>1012</v>
      </c>
      <c r="O4" s="16"/>
      <c r="Q4" t="s">
        <v>993</v>
      </c>
      <c r="R4" s="193">
        <f>R3/2</f>
        <v>5209.71</v>
      </c>
    </row>
    <row r="5" spans="2:18" ht="12" customHeight="1">
      <c r="B5" s="186" t="s">
        <v>107</v>
      </c>
      <c r="C5" s="91">
        <v>0</v>
      </c>
      <c r="D5" s="92"/>
      <c r="E5" s="95">
        <f>C5</f>
        <v>0</v>
      </c>
      <c r="F5" s="72"/>
      <c r="G5" s="72"/>
      <c r="I5" s="10"/>
      <c r="J5" s="10"/>
      <c r="K5" s="16"/>
      <c r="M5" s="10">
        <v>0</v>
      </c>
      <c r="N5" s="10" t="s">
        <v>1024</v>
      </c>
      <c r="O5" s="16"/>
      <c r="Q5" t="s">
        <v>1092</v>
      </c>
      <c r="R5" s="193">
        <f>R3/2</f>
        <v>5209.71</v>
      </c>
    </row>
    <row r="6" spans="2:18">
      <c r="B6" s="186" t="s">
        <v>1103</v>
      </c>
      <c r="C6" s="91">
        <f>98+120</f>
        <v>218</v>
      </c>
      <c r="D6" s="92"/>
      <c r="E6" s="95">
        <f>C6</f>
        <v>218</v>
      </c>
      <c r="F6" s="72"/>
      <c r="G6" s="72"/>
      <c r="M6" s="10">
        <v>0</v>
      </c>
      <c r="N6" s="10"/>
      <c r="O6" s="16"/>
    </row>
    <row r="7" spans="2:18">
      <c r="B7" s="186" t="s">
        <v>81</v>
      </c>
      <c r="C7" s="91">
        <v>0</v>
      </c>
      <c r="D7" s="92"/>
      <c r="E7" s="95">
        <f>C7</f>
        <v>0</v>
      </c>
      <c r="F7" s="72"/>
      <c r="G7" s="72"/>
      <c r="M7" s="10">
        <v>0</v>
      </c>
      <c r="N7" s="10"/>
      <c r="O7" s="145"/>
    </row>
    <row r="8" spans="2:18">
      <c r="B8" s="186" t="s">
        <v>1108</v>
      </c>
      <c r="C8" s="91">
        <v>179</v>
      </c>
      <c r="D8" s="92"/>
      <c r="E8" s="95">
        <f>C8</f>
        <v>179</v>
      </c>
      <c r="F8" s="72"/>
      <c r="G8" s="72"/>
      <c r="M8" s="144">
        <f>SUM(M3:M7)</f>
        <v>0</v>
      </c>
      <c r="N8" s="144" t="s">
        <v>564</v>
      </c>
      <c r="O8" s="145"/>
    </row>
    <row r="9" spans="2:18">
      <c r="B9" s="186" t="s">
        <v>1113</v>
      </c>
      <c r="C9" s="91">
        <v>80</v>
      </c>
      <c r="D9" s="92"/>
      <c r="E9" s="95">
        <f>C9</f>
        <v>80</v>
      </c>
      <c r="F9" s="72"/>
      <c r="G9" s="72"/>
    </row>
    <row r="10" spans="2:18" ht="14.25" customHeight="1">
      <c r="B10" s="99" t="s">
        <v>714</v>
      </c>
      <c r="C10" s="96">
        <v>-45.46</v>
      </c>
      <c r="D10" s="97"/>
      <c r="E10" s="63">
        <v>0</v>
      </c>
      <c r="F10" s="64"/>
      <c r="G10" s="64" t="s">
        <v>58</v>
      </c>
      <c r="M10" s="221" t="s">
        <v>707</v>
      </c>
      <c r="N10" s="221" t="s">
        <v>408</v>
      </c>
      <c r="O10" s="221" t="s">
        <v>1</v>
      </c>
    </row>
    <row r="11" spans="2:18">
      <c r="B11" s="99" t="s">
        <v>125</v>
      </c>
      <c r="C11" s="96">
        <f>-381-179-80</f>
        <v>-640</v>
      </c>
      <c r="D11" s="97"/>
      <c r="E11" s="63">
        <v>0</v>
      </c>
      <c r="F11" s="64"/>
      <c r="G11" s="64" t="s">
        <v>58</v>
      </c>
      <c r="M11" s="10">
        <v>7767.43</v>
      </c>
      <c r="N11" s="10" t="s">
        <v>1015</v>
      </c>
      <c r="O11" s="16"/>
    </row>
    <row r="12" spans="2:18">
      <c r="B12" s="99" t="s">
        <v>1098</v>
      </c>
      <c r="C12" s="96">
        <v>-23.28</v>
      </c>
      <c r="D12" s="97"/>
      <c r="E12" s="63">
        <v>0</v>
      </c>
      <c r="F12" s="64"/>
      <c r="G12" s="64" t="s">
        <v>58</v>
      </c>
      <c r="M12" s="10">
        <v>4285.55</v>
      </c>
      <c r="N12" s="10" t="s">
        <v>1075</v>
      </c>
      <c r="O12" s="16"/>
    </row>
    <row r="13" spans="2:18">
      <c r="B13" s="99" t="s">
        <v>1122</v>
      </c>
      <c r="C13" s="96">
        <v>-480.81</v>
      </c>
      <c r="D13" s="97"/>
      <c r="E13" s="63">
        <v>0</v>
      </c>
      <c r="F13" s="64"/>
      <c r="G13" s="64" t="s">
        <v>58</v>
      </c>
      <c r="M13" s="10">
        <v>0</v>
      </c>
      <c r="N13" s="10" t="s">
        <v>1012</v>
      </c>
      <c r="O13" s="16"/>
    </row>
    <row r="14" spans="2:18">
      <c r="B14" s="99" t="s">
        <v>1123</v>
      </c>
      <c r="C14" s="96">
        <v>-775</v>
      </c>
      <c r="D14" s="97"/>
      <c r="E14" s="63">
        <v>0</v>
      </c>
      <c r="F14" s="64"/>
      <c r="G14" s="64" t="s">
        <v>58</v>
      </c>
      <c r="I14" s="52"/>
      <c r="M14" s="10">
        <v>6558.47</v>
      </c>
      <c r="N14" s="10" t="s">
        <v>1048</v>
      </c>
      <c r="O14" s="16"/>
    </row>
    <row r="15" spans="2:18">
      <c r="B15" s="99" t="s">
        <v>144</v>
      </c>
      <c r="C15" s="96">
        <v>-600</v>
      </c>
      <c r="D15" s="97"/>
      <c r="E15" s="63">
        <v>0</v>
      </c>
      <c r="F15" s="64"/>
      <c r="G15" s="64" t="s">
        <v>58</v>
      </c>
      <c r="I15" s="192"/>
      <c r="M15" s="10">
        <v>8356.2000000000007</v>
      </c>
      <c r="N15" s="10" t="s">
        <v>1087</v>
      </c>
      <c r="O15" s="16"/>
    </row>
    <row r="16" spans="2:18">
      <c r="B16" s="99" t="s">
        <v>1069</v>
      </c>
      <c r="C16" s="96">
        <v>-935</v>
      </c>
      <c r="D16" s="97"/>
      <c r="E16" s="63">
        <v>0</v>
      </c>
      <c r="F16" s="64"/>
      <c r="G16" s="64" t="s">
        <v>58</v>
      </c>
      <c r="M16" s="10">
        <f>216.86*2.35</f>
        <v>509.62100000000004</v>
      </c>
      <c r="N16" s="10" t="s">
        <v>1088</v>
      </c>
      <c r="O16" s="16"/>
    </row>
    <row r="17" spans="2:18">
      <c r="B17" s="99" t="s">
        <v>103</v>
      </c>
      <c r="C17" s="96">
        <v>-559.75</v>
      </c>
      <c r="D17" s="97"/>
      <c r="E17" s="63">
        <v>0</v>
      </c>
      <c r="F17" s="64"/>
      <c r="G17" s="64" t="s">
        <v>58</v>
      </c>
      <c r="M17" s="10">
        <f>100*2.35</f>
        <v>235</v>
      </c>
      <c r="N17" s="10" t="s">
        <v>1124</v>
      </c>
      <c r="O17" s="145"/>
    </row>
    <row r="18" spans="2:18">
      <c r="B18" s="99" t="s">
        <v>102</v>
      </c>
      <c r="C18" s="96">
        <v>-4008</v>
      </c>
      <c r="D18" s="97"/>
      <c r="E18" s="63">
        <v>0</v>
      </c>
      <c r="F18" s="64"/>
      <c r="G18" s="64" t="s">
        <v>58</v>
      </c>
      <c r="H18" s="143"/>
      <c r="M18" s="10">
        <f>100*2.35</f>
        <v>235</v>
      </c>
      <c r="N18" s="10" t="s">
        <v>1125</v>
      </c>
      <c r="O18" s="145"/>
    </row>
    <row r="19" spans="2:18">
      <c r="B19" s="99" t="s">
        <v>1032</v>
      </c>
      <c r="C19" s="96">
        <v>-3270</v>
      </c>
      <c r="D19" s="97"/>
      <c r="E19" s="63">
        <v>0</v>
      </c>
      <c r="F19" s="64"/>
      <c r="G19" s="64" t="s">
        <v>58</v>
      </c>
      <c r="M19" s="10">
        <v>5812.17</v>
      </c>
      <c r="N19" s="10" t="s">
        <v>1101</v>
      </c>
      <c r="O19" s="145"/>
    </row>
    <row r="20" spans="2:18">
      <c r="B20" s="99" t="s">
        <v>748</v>
      </c>
      <c r="C20" s="96">
        <v>-50</v>
      </c>
      <c r="D20" s="97"/>
      <c r="E20" s="63">
        <v>0</v>
      </c>
      <c r="F20" s="64"/>
      <c r="G20" s="64" t="s">
        <v>58</v>
      </c>
      <c r="M20" s="10">
        <v>0</v>
      </c>
      <c r="N20" s="10" t="s">
        <v>143</v>
      </c>
      <c r="O20" s="145"/>
    </row>
    <row r="21" spans="2:18">
      <c r="B21" s="99" t="s">
        <v>73</v>
      </c>
      <c r="C21" s="96">
        <v>-363.4</v>
      </c>
      <c r="D21" s="97"/>
      <c r="E21" s="63">
        <v>0</v>
      </c>
      <c r="F21" s="64"/>
      <c r="G21" s="64" t="s">
        <v>58</v>
      </c>
      <c r="M21" s="144">
        <f>SUM(M11:M20)</f>
        <v>33759.440999999999</v>
      </c>
      <c r="N21" s="144" t="s">
        <v>1031</v>
      </c>
      <c r="O21" s="145"/>
      <c r="Q21" s="161"/>
      <c r="R21" s="161"/>
    </row>
    <row r="22" spans="2:18">
      <c r="B22" s="99" t="s">
        <v>41</v>
      </c>
      <c r="C22" s="96">
        <v>-76.52</v>
      </c>
      <c r="D22" s="97"/>
      <c r="E22" s="190">
        <f>C22</f>
        <v>-76.52</v>
      </c>
      <c r="F22" s="191"/>
      <c r="G22" s="191"/>
      <c r="Q22" s="161"/>
      <c r="R22" s="161"/>
    </row>
    <row r="23" spans="2:18" ht="15.75">
      <c r="B23" s="99" t="s">
        <v>586</v>
      </c>
      <c r="C23" s="96">
        <v>-100.62</v>
      </c>
      <c r="D23" s="97"/>
      <c r="E23" s="63">
        <v>0</v>
      </c>
      <c r="F23" s="64"/>
      <c r="G23" s="64" t="s">
        <v>58</v>
      </c>
      <c r="M23" s="221" t="s">
        <v>1018</v>
      </c>
      <c r="N23" s="221" t="s">
        <v>1019</v>
      </c>
      <c r="O23" s="221" t="s">
        <v>1020</v>
      </c>
      <c r="Q23" s="161"/>
      <c r="R23" s="161"/>
    </row>
    <row r="24" spans="2:18">
      <c r="B24" s="99" t="s">
        <v>924</v>
      </c>
      <c r="C24" s="96">
        <v>-62.16</v>
      </c>
      <c r="D24" s="97"/>
      <c r="E24" s="190">
        <f>C24</f>
        <v>-62.16</v>
      </c>
      <c r="F24" s="191"/>
      <c r="G24" s="191"/>
      <c r="M24" s="10" t="s">
        <v>1015</v>
      </c>
      <c r="N24" s="184">
        <v>0</v>
      </c>
      <c r="O24" s="185">
        <v>8</v>
      </c>
    </row>
    <row r="25" spans="2:18">
      <c r="B25" s="99" t="s">
        <v>686</v>
      </c>
      <c r="C25" s="96">
        <v>-711.16</v>
      </c>
      <c r="D25" s="97"/>
      <c r="E25" s="63">
        <v>0</v>
      </c>
      <c r="F25" s="64"/>
      <c r="G25" s="64" t="s">
        <v>58</v>
      </c>
      <c r="M25" s="10" t="s">
        <v>1010</v>
      </c>
      <c r="N25" s="184">
        <v>0</v>
      </c>
      <c r="O25" s="185">
        <v>0</v>
      </c>
    </row>
    <row r="26" spans="2:18" ht="18">
      <c r="B26" s="74" t="s">
        <v>45</v>
      </c>
      <c r="C26" s="188"/>
      <c r="D26" s="98"/>
      <c r="E26" s="129">
        <f>SUM(E3:E25)</f>
        <v>280.67000000000007</v>
      </c>
      <c r="F26" s="75"/>
      <c r="G26" s="75"/>
      <c r="M26" s="10" t="s">
        <v>1012</v>
      </c>
      <c r="N26" s="184">
        <v>0</v>
      </c>
      <c r="O26" s="185">
        <v>4</v>
      </c>
    </row>
    <row r="27" spans="2:18">
      <c r="M27" s="10" t="s">
        <v>1075</v>
      </c>
      <c r="N27" s="184">
        <v>0</v>
      </c>
      <c r="O27" s="185">
        <v>0.4</v>
      </c>
    </row>
    <row r="28" spans="2:18">
      <c r="M28" s="10" t="s">
        <v>1055</v>
      </c>
      <c r="N28" s="184">
        <v>0</v>
      </c>
      <c r="O28" s="185">
        <v>3</v>
      </c>
    </row>
    <row r="29" spans="2:18">
      <c r="M29" s="10" t="s">
        <v>1090</v>
      </c>
      <c r="N29" s="184">
        <v>0</v>
      </c>
      <c r="O29" s="185">
        <v>4.9000000000000004</v>
      </c>
    </row>
    <row r="30" spans="2:18">
      <c r="M30" s="10" t="s">
        <v>1101</v>
      </c>
      <c r="N30" s="184">
        <v>0</v>
      </c>
      <c r="O30" s="185">
        <v>1</v>
      </c>
    </row>
  </sheetData>
  <mergeCells count="1">
    <mergeCell ref="Q2:R2"/>
  </mergeCells>
  <conditionalFormatting sqref="E22 E24">
    <cfRule type="cellIs" dxfId="781" priority="39" stopIfTrue="1" operator="greaterThan">
      <formula>0</formula>
    </cfRule>
  </conditionalFormatting>
  <conditionalFormatting sqref="E15">
    <cfRule type="cellIs" dxfId="780" priority="16" stopIfTrue="1" operator="greaterThan">
      <formula>0</formula>
    </cfRule>
  </conditionalFormatting>
  <conditionalFormatting sqref="E20">
    <cfRule type="cellIs" dxfId="779" priority="15" stopIfTrue="1" operator="greaterThan">
      <formula>0</formula>
    </cfRule>
  </conditionalFormatting>
  <conditionalFormatting sqref="E13">
    <cfRule type="cellIs" dxfId="778" priority="13" stopIfTrue="1" operator="greaterThan">
      <formula>0</formula>
    </cfRule>
  </conditionalFormatting>
  <conditionalFormatting sqref="E11">
    <cfRule type="cellIs" dxfId="777" priority="11" stopIfTrue="1" operator="greaterThan">
      <formula>0</formula>
    </cfRule>
  </conditionalFormatting>
  <conditionalFormatting sqref="E10">
    <cfRule type="cellIs" dxfId="776" priority="10" stopIfTrue="1" operator="greaterThan">
      <formula>0</formula>
    </cfRule>
  </conditionalFormatting>
  <conditionalFormatting sqref="E18">
    <cfRule type="cellIs" dxfId="775" priority="9" stopIfTrue="1" operator="greaterThan">
      <formula>0</formula>
    </cfRule>
  </conditionalFormatting>
  <conditionalFormatting sqref="E17">
    <cfRule type="cellIs" dxfId="774" priority="8" stopIfTrue="1" operator="greaterThan">
      <formula>0</formula>
    </cfRule>
  </conditionalFormatting>
  <conditionalFormatting sqref="E19">
    <cfRule type="cellIs" dxfId="773" priority="7" stopIfTrue="1" operator="greaterThan">
      <formula>0</formula>
    </cfRule>
  </conditionalFormatting>
  <conditionalFormatting sqref="E14">
    <cfRule type="cellIs" dxfId="772" priority="6" stopIfTrue="1" operator="greaterThan">
      <formula>0</formula>
    </cfRule>
  </conditionalFormatting>
  <conditionalFormatting sqref="E12">
    <cfRule type="cellIs" dxfId="771" priority="5" stopIfTrue="1" operator="greaterThan">
      <formula>0</formula>
    </cfRule>
  </conditionalFormatting>
  <conditionalFormatting sqref="E23">
    <cfRule type="cellIs" dxfId="770" priority="4" stopIfTrue="1" operator="greaterThan">
      <formula>0</formula>
    </cfRule>
  </conditionalFormatting>
  <conditionalFormatting sqref="E16">
    <cfRule type="cellIs" dxfId="769" priority="3" stopIfTrue="1" operator="greaterThan">
      <formula>0</formula>
    </cfRule>
  </conditionalFormatting>
  <conditionalFormatting sqref="E21">
    <cfRule type="cellIs" dxfId="768" priority="2" stopIfTrue="1" operator="greaterThan">
      <formula>0</formula>
    </cfRule>
  </conditionalFormatting>
  <conditionalFormatting sqref="E25">
    <cfRule type="cellIs" dxfId="767" priority="1" stopIfTrue="1" operator="greaterThan">
      <formula>0</formula>
    </cfRule>
  </conditionalFormatting>
  <pageMargins left="0.511811024" right="0.511811024" top="0.78740157499999996" bottom="0.78740157499999996" header="0.31496062000000002" footer="0.31496062000000002"/>
</worksheet>
</file>

<file path=xl/worksheets/sheet97.xml><?xml version="1.0" encoding="utf-8"?>
<worksheet xmlns="http://schemas.openxmlformats.org/spreadsheetml/2006/main" xmlns:r="http://schemas.openxmlformats.org/officeDocument/2006/relationships">
  <sheetPr>
    <pageSetUpPr autoPageBreaks="0"/>
  </sheetPr>
  <dimension ref="B1:O33"/>
  <sheetViews>
    <sheetView zoomScale="75" zoomScaleNormal="75" zoomScalePageLayoutView="75" workbookViewId="0">
      <selection activeCell="B5" sqref="B5"/>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5" t="s">
        <v>1091</v>
      </c>
      <c r="O2" s="586"/>
    </row>
    <row r="3" spans="2:15">
      <c r="B3" s="71" t="s">
        <v>56</v>
      </c>
      <c r="C3" s="91">
        <v>0</v>
      </c>
      <c r="D3" s="92"/>
      <c r="E3" s="95">
        <v>-349.43</v>
      </c>
      <c r="F3" s="72"/>
      <c r="G3" s="72"/>
      <c r="I3" s="10">
        <v>974.08</v>
      </c>
      <c r="J3" s="10" t="s">
        <v>914</v>
      </c>
      <c r="L3" s="10">
        <f>200*2.42</f>
        <v>484</v>
      </c>
      <c r="M3" s="10" t="s">
        <v>1125</v>
      </c>
      <c r="N3" t="s">
        <v>45</v>
      </c>
      <c r="O3" s="193">
        <v>10252.459999999999</v>
      </c>
    </row>
    <row r="4" spans="2:15" ht="12" customHeight="1">
      <c r="B4" s="71" t="s">
        <v>5</v>
      </c>
      <c r="C4" s="91">
        <v>8821.17</v>
      </c>
      <c r="D4" s="92"/>
      <c r="E4" s="95">
        <v>0</v>
      </c>
      <c r="F4" s="72"/>
      <c r="G4" s="72"/>
      <c r="I4" s="10">
        <v>3131.2</v>
      </c>
      <c r="J4" s="10" t="s">
        <v>915</v>
      </c>
      <c r="L4" s="10">
        <v>0</v>
      </c>
      <c r="M4" s="10"/>
      <c r="N4" t="s">
        <v>993</v>
      </c>
      <c r="O4" s="193">
        <f>O3/2</f>
        <v>5126.2299999999996</v>
      </c>
    </row>
    <row r="5" spans="2:15" ht="12" customHeight="1">
      <c r="B5" s="186" t="s">
        <v>140</v>
      </c>
      <c r="C5" s="91">
        <v>8223.35</v>
      </c>
      <c r="D5" s="92"/>
      <c r="E5" s="95">
        <v>0</v>
      </c>
      <c r="F5" s="72"/>
      <c r="G5" s="72"/>
      <c r="I5" s="10"/>
      <c r="J5" s="10"/>
      <c r="L5" s="10">
        <f>O4</f>
        <v>5126.2299999999996</v>
      </c>
      <c r="M5" s="10" t="s">
        <v>1127</v>
      </c>
      <c r="N5" t="s">
        <v>1092</v>
      </c>
      <c r="O5" s="193">
        <f>O3/2</f>
        <v>5126.2299999999996</v>
      </c>
    </row>
    <row r="6" spans="2:15">
      <c r="B6" s="186" t="s">
        <v>1128</v>
      </c>
      <c r="C6" s="91">
        <v>208.15</v>
      </c>
      <c r="D6" s="92"/>
      <c r="E6" s="95">
        <v>0</v>
      </c>
      <c r="F6" s="72"/>
      <c r="G6" s="72"/>
      <c r="L6" s="10">
        <v>0</v>
      </c>
      <c r="M6" s="10"/>
    </row>
    <row r="7" spans="2:15" ht="15.75">
      <c r="B7" s="186">
        <v>14</v>
      </c>
      <c r="C7" s="91">
        <v>5864.98</v>
      </c>
      <c r="D7" s="92"/>
      <c r="E7" s="95">
        <v>0</v>
      </c>
      <c r="F7" s="72"/>
      <c r="G7" s="72"/>
      <c r="I7" s="221" t="s">
        <v>707</v>
      </c>
      <c r="J7" s="221" t="s">
        <v>408</v>
      </c>
      <c r="L7" s="10">
        <v>0</v>
      </c>
      <c r="M7" s="10"/>
    </row>
    <row r="8" spans="2:15">
      <c r="B8" s="99" t="s">
        <v>714</v>
      </c>
      <c r="C8" s="96">
        <v>-2.23</v>
      </c>
      <c r="D8" s="97"/>
      <c r="E8" s="63">
        <v>0</v>
      </c>
      <c r="F8" s="64"/>
      <c r="G8" s="64" t="s">
        <v>58</v>
      </c>
      <c r="I8" s="10">
        <v>6414.25</v>
      </c>
      <c r="J8" s="10" t="s">
        <v>1129</v>
      </c>
      <c r="L8" s="144">
        <f>SUM(L3:L7)</f>
        <v>5610.23</v>
      </c>
      <c r="M8" s="144" t="s">
        <v>1031</v>
      </c>
    </row>
    <row r="9" spans="2:15">
      <c r="B9" s="99" t="s">
        <v>1098</v>
      </c>
      <c r="C9" s="96">
        <v>-76.88</v>
      </c>
      <c r="D9" s="97"/>
      <c r="E9" s="63">
        <v>0</v>
      </c>
      <c r="F9" s="64"/>
      <c r="G9" s="64" t="s">
        <v>58</v>
      </c>
      <c r="I9" s="10">
        <v>4935.3599999999997</v>
      </c>
      <c r="J9" s="10" t="s">
        <v>1075</v>
      </c>
    </row>
    <row r="10" spans="2:15" ht="14.25" customHeight="1">
      <c r="B10" s="99" t="s">
        <v>65</v>
      </c>
      <c r="C10" s="96">
        <v>-600</v>
      </c>
      <c r="D10" s="97"/>
      <c r="E10" s="63">
        <v>0</v>
      </c>
      <c r="F10" s="64"/>
      <c r="G10" s="64" t="s">
        <v>58</v>
      </c>
      <c r="I10" s="10">
        <v>10007.23</v>
      </c>
      <c r="J10" s="10" t="s">
        <v>1101</v>
      </c>
      <c r="L10" s="221" t="s">
        <v>1130</v>
      </c>
      <c r="M10" s="221" t="s">
        <v>408</v>
      </c>
    </row>
    <row r="11" spans="2:15">
      <c r="B11" s="99" t="s">
        <v>1131</v>
      </c>
      <c r="C11" s="96">
        <v>-240</v>
      </c>
      <c r="D11" s="97"/>
      <c r="E11" s="63">
        <v>0</v>
      </c>
      <c r="F11" s="64"/>
      <c r="G11" s="64" t="s">
        <v>58</v>
      </c>
      <c r="I11" s="10">
        <v>6614.54</v>
      </c>
      <c r="J11" s="10" t="s">
        <v>1048</v>
      </c>
      <c r="L11" s="10">
        <f>200*2.42</f>
        <v>484</v>
      </c>
      <c r="M11" s="10" t="s">
        <v>1088</v>
      </c>
    </row>
    <row r="12" spans="2:15">
      <c r="B12" s="99" t="s">
        <v>1069</v>
      </c>
      <c r="C12" s="96">
        <v>-780</v>
      </c>
      <c r="D12" s="97"/>
      <c r="E12" s="63">
        <v>0</v>
      </c>
      <c r="F12" s="64"/>
      <c r="G12" s="64" t="s">
        <v>58</v>
      </c>
      <c r="I12" s="10">
        <v>8325.0400000000009</v>
      </c>
      <c r="J12" s="10" t="s">
        <v>1087</v>
      </c>
      <c r="L12" s="10">
        <v>0</v>
      </c>
      <c r="M12" s="10"/>
    </row>
    <row r="13" spans="2:15">
      <c r="B13" s="99" t="s">
        <v>1132</v>
      </c>
      <c r="C13" s="96">
        <v>-179</v>
      </c>
      <c r="D13" s="97"/>
      <c r="E13" s="63">
        <v>0</v>
      </c>
      <c r="F13" s="64"/>
      <c r="G13" s="64" t="s">
        <v>58</v>
      </c>
      <c r="I13" s="10">
        <f>189.05*2.42</f>
        <v>457.50100000000003</v>
      </c>
      <c r="J13" s="10" t="s">
        <v>1088</v>
      </c>
      <c r="L13" s="10">
        <v>0</v>
      </c>
      <c r="M13" s="10"/>
    </row>
    <row r="14" spans="2:15">
      <c r="B14" s="99" t="s">
        <v>103</v>
      </c>
      <c r="C14" s="96">
        <v>-231.46</v>
      </c>
      <c r="D14" s="97"/>
      <c r="E14" s="63">
        <v>0</v>
      </c>
      <c r="F14" s="64"/>
      <c r="G14" s="64" t="s">
        <v>58</v>
      </c>
      <c r="I14" s="10">
        <f>O5</f>
        <v>5126.2299999999996</v>
      </c>
      <c r="J14" s="10" t="s">
        <v>1127</v>
      </c>
      <c r="L14" s="10">
        <v>0</v>
      </c>
      <c r="M14" s="10"/>
    </row>
    <row r="15" spans="2:15">
      <c r="B15" s="99" t="s">
        <v>102</v>
      </c>
      <c r="C15" s="96">
        <v>-1750</v>
      </c>
      <c r="D15" s="97"/>
      <c r="E15" s="63">
        <v>0</v>
      </c>
      <c r="F15" s="64"/>
      <c r="G15" s="64" t="s">
        <v>58</v>
      </c>
      <c r="I15" s="10">
        <f>15.34*200</f>
        <v>3068</v>
      </c>
      <c r="J15" s="10" t="s">
        <v>1133</v>
      </c>
      <c r="L15" s="10">
        <v>0</v>
      </c>
      <c r="M15" s="10"/>
    </row>
    <row r="16" spans="2:15">
      <c r="B16" s="99" t="s">
        <v>1112</v>
      </c>
      <c r="C16" s="96">
        <v>-85</v>
      </c>
      <c r="D16" s="97"/>
      <c r="E16" s="63">
        <v>0</v>
      </c>
      <c r="F16" s="64"/>
      <c r="G16" s="64" t="s">
        <v>58</v>
      </c>
      <c r="I16" s="10">
        <v>0</v>
      </c>
      <c r="J16" s="10"/>
      <c r="L16" s="144">
        <f>SUM(L11:L15)</f>
        <v>484</v>
      </c>
      <c r="M16" s="144" t="s">
        <v>1031</v>
      </c>
    </row>
    <row r="17" spans="2:15">
      <c r="B17" s="99" t="s">
        <v>1134</v>
      </c>
      <c r="C17" s="96">
        <v>-150</v>
      </c>
      <c r="D17" s="97"/>
      <c r="E17" s="63">
        <v>0</v>
      </c>
      <c r="F17" s="64"/>
      <c r="G17" s="64" t="s">
        <v>58</v>
      </c>
      <c r="I17" s="10">
        <v>0</v>
      </c>
      <c r="J17" s="10"/>
    </row>
    <row r="18" spans="2:15" ht="15.75">
      <c r="B18" s="99" t="s">
        <v>1135</v>
      </c>
      <c r="C18" s="96">
        <v>-381.7</v>
      </c>
      <c r="D18" s="97"/>
      <c r="E18" s="63">
        <v>0</v>
      </c>
      <c r="F18" s="64"/>
      <c r="G18" s="64" t="s">
        <v>58</v>
      </c>
      <c r="H18" s="143"/>
      <c r="I18" s="10">
        <v>2000</v>
      </c>
      <c r="J18" s="10" t="s">
        <v>996</v>
      </c>
      <c r="L18" s="221" t="s">
        <v>1136</v>
      </c>
      <c r="M18" s="221" t="s">
        <v>1019</v>
      </c>
      <c r="N18" s="221" t="s">
        <v>1130</v>
      </c>
      <c r="O18" s="221" t="s">
        <v>1020</v>
      </c>
    </row>
    <row r="19" spans="2:15">
      <c r="B19" s="99" t="s">
        <v>189</v>
      </c>
      <c r="C19" s="96">
        <v>-5000</v>
      </c>
      <c r="D19" s="97"/>
      <c r="E19" s="63">
        <v>0</v>
      </c>
      <c r="F19" s="64"/>
      <c r="G19" s="64" t="s">
        <v>58</v>
      </c>
      <c r="I19" s="10"/>
      <c r="J19" s="10"/>
      <c r="L19" s="10" t="s">
        <v>1015</v>
      </c>
      <c r="M19" s="184">
        <v>0</v>
      </c>
      <c r="N19" s="184">
        <v>0</v>
      </c>
      <c r="O19" s="185">
        <v>0</v>
      </c>
    </row>
    <row r="20" spans="2:15">
      <c r="B20" s="99" t="s">
        <v>462</v>
      </c>
      <c r="C20" s="96">
        <v>-2000</v>
      </c>
      <c r="D20" s="97"/>
      <c r="E20" s="63">
        <v>0</v>
      </c>
      <c r="F20" s="64"/>
      <c r="G20" s="64" t="s">
        <v>58</v>
      </c>
      <c r="I20" s="10"/>
      <c r="J20" s="10"/>
      <c r="L20" s="10" t="s">
        <v>1010</v>
      </c>
      <c r="M20" s="184">
        <v>0</v>
      </c>
      <c r="N20" s="184">
        <v>0</v>
      </c>
      <c r="O20" s="185">
        <v>0</v>
      </c>
    </row>
    <row r="21" spans="2:15">
      <c r="B21" s="99" t="s">
        <v>1032</v>
      </c>
      <c r="C21" s="96">
        <v>-2547.84</v>
      </c>
      <c r="D21" s="97"/>
      <c r="E21" s="63">
        <v>0</v>
      </c>
      <c r="F21" s="64"/>
      <c r="G21" s="64" t="s">
        <v>58</v>
      </c>
      <c r="I21" s="144">
        <f>SUM(I8:I20)</f>
        <v>46948.150999999998</v>
      </c>
      <c r="J21" s="144" t="s">
        <v>1031</v>
      </c>
      <c r="L21" s="10" t="s">
        <v>1012</v>
      </c>
      <c r="M21" s="184">
        <v>0</v>
      </c>
      <c r="N21" s="184">
        <v>0</v>
      </c>
      <c r="O21" s="185">
        <v>8</v>
      </c>
    </row>
    <row r="22" spans="2:15">
      <c r="B22" s="99" t="s">
        <v>748</v>
      </c>
      <c r="C22" s="96">
        <v>-50</v>
      </c>
      <c r="D22" s="97"/>
      <c r="E22" s="63">
        <v>0</v>
      </c>
      <c r="F22" s="64"/>
      <c r="G22" s="64" t="s">
        <v>58</v>
      </c>
      <c r="L22" s="10" t="s">
        <v>1075</v>
      </c>
      <c r="M22" s="184">
        <v>0</v>
      </c>
      <c r="N22" s="184">
        <v>0</v>
      </c>
      <c r="O22" s="185">
        <v>7</v>
      </c>
    </row>
    <row r="23" spans="2:15">
      <c r="B23" s="99" t="s">
        <v>1137</v>
      </c>
      <c r="C23" s="96">
        <v>-200</v>
      </c>
      <c r="D23" s="97"/>
      <c r="E23" s="63">
        <v>0</v>
      </c>
      <c r="F23" s="64"/>
      <c r="G23" s="64" t="s">
        <v>58</v>
      </c>
      <c r="L23" s="10" t="s">
        <v>1055</v>
      </c>
      <c r="M23" s="184">
        <v>0</v>
      </c>
      <c r="N23" s="184">
        <v>0</v>
      </c>
      <c r="O23" s="185">
        <v>3</v>
      </c>
    </row>
    <row r="24" spans="2:15">
      <c r="B24" s="99" t="s">
        <v>73</v>
      </c>
      <c r="C24" s="96">
        <v>-437.65</v>
      </c>
      <c r="D24" s="97"/>
      <c r="E24" s="63">
        <v>0</v>
      </c>
      <c r="F24" s="64"/>
      <c r="G24" s="64" t="s">
        <v>58</v>
      </c>
      <c r="L24" s="10" t="s">
        <v>1090</v>
      </c>
      <c r="M24" s="184">
        <v>0</v>
      </c>
      <c r="N24" s="184">
        <v>0</v>
      </c>
      <c r="O24" s="185">
        <v>4.9000000000000004</v>
      </c>
    </row>
    <row r="25" spans="2:15">
      <c r="B25" s="99" t="s">
        <v>1138</v>
      </c>
      <c r="C25" s="96">
        <v>-77.2</v>
      </c>
      <c r="D25" s="97"/>
      <c r="E25" s="63">
        <v>0</v>
      </c>
      <c r="F25" s="64"/>
      <c r="G25" s="64" t="s">
        <v>58</v>
      </c>
      <c r="L25" s="10" t="s">
        <v>1101</v>
      </c>
      <c r="M25" s="184">
        <v>0</v>
      </c>
      <c r="N25" s="184">
        <v>0</v>
      </c>
      <c r="O25" s="185">
        <v>1.7</v>
      </c>
    </row>
    <row r="26" spans="2:15">
      <c r="B26" s="99" t="s">
        <v>1139</v>
      </c>
      <c r="C26" s="96">
        <v>-53.05</v>
      </c>
      <c r="D26" s="97"/>
      <c r="E26" s="63">
        <v>0</v>
      </c>
      <c r="F26" s="64"/>
      <c r="G26" s="64" t="s">
        <v>58</v>
      </c>
    </row>
    <row r="27" spans="2:15">
      <c r="B27" s="99" t="s">
        <v>586</v>
      </c>
      <c r="C27" s="96">
        <v>-100.62</v>
      </c>
      <c r="D27" s="97"/>
      <c r="E27" s="63">
        <v>0</v>
      </c>
      <c r="F27" s="64"/>
      <c r="G27" s="64" t="s">
        <v>58</v>
      </c>
    </row>
    <row r="28" spans="2:15">
      <c r="B28" s="99" t="s">
        <v>1140</v>
      </c>
      <c r="C28" s="96">
        <v>-62.16</v>
      </c>
      <c r="D28" s="97"/>
      <c r="E28" s="63">
        <v>0</v>
      </c>
      <c r="F28" s="64"/>
      <c r="G28" s="64" t="s">
        <v>58</v>
      </c>
    </row>
    <row r="29" spans="2:15">
      <c r="B29" s="99" t="s">
        <v>1141</v>
      </c>
      <c r="C29" s="96">
        <v>-39.840000000000003</v>
      </c>
      <c r="D29" s="97"/>
      <c r="E29" s="63">
        <v>0</v>
      </c>
      <c r="F29" s="64"/>
      <c r="G29" s="64" t="s">
        <v>58</v>
      </c>
    </row>
    <row r="30" spans="2:15">
      <c r="B30" s="99" t="s">
        <v>1122</v>
      </c>
      <c r="C30" s="96">
        <v>-224.5</v>
      </c>
      <c r="D30" s="97"/>
      <c r="E30" s="63">
        <v>0</v>
      </c>
      <c r="F30" s="64"/>
      <c r="G30" s="64" t="s">
        <v>58</v>
      </c>
    </row>
    <row r="31" spans="2:15">
      <c r="B31" s="99" t="s">
        <v>686</v>
      </c>
      <c r="C31" s="96">
        <v>-771.72</v>
      </c>
      <c r="D31" s="97"/>
      <c r="E31" s="63">
        <v>0</v>
      </c>
      <c r="F31" s="64"/>
      <c r="G31" s="64" t="s">
        <v>58</v>
      </c>
    </row>
    <row r="32" spans="2:15">
      <c r="B32" s="99" t="s">
        <v>974</v>
      </c>
      <c r="C32" s="96">
        <v>-1732.61</v>
      </c>
      <c r="D32" s="97"/>
      <c r="E32" s="63">
        <v>0</v>
      </c>
      <c r="F32" s="64"/>
      <c r="G32" s="64" t="s">
        <v>58</v>
      </c>
    </row>
    <row r="33" spans="2:7" ht="18">
      <c r="B33" s="74" t="s">
        <v>45</v>
      </c>
      <c r="C33" s="188"/>
      <c r="D33" s="98"/>
      <c r="E33" s="129">
        <f>SUM(E3:E32)</f>
        <v>-349.43</v>
      </c>
      <c r="F33" s="75"/>
      <c r="G33" s="75"/>
    </row>
  </sheetData>
  <mergeCells count="1">
    <mergeCell ref="N2:O2"/>
  </mergeCells>
  <conditionalFormatting sqref="E28">
    <cfRule type="cellIs" dxfId="766" priority="40" stopIfTrue="1" operator="greaterThan">
      <formula>0</formula>
    </cfRule>
  </conditionalFormatting>
  <conditionalFormatting sqref="E15">
    <cfRule type="cellIs" dxfId="765" priority="34" stopIfTrue="1" operator="greaterThan">
      <formula>0</formula>
    </cfRule>
  </conditionalFormatting>
  <conditionalFormatting sqref="E21">
    <cfRule type="cellIs" dxfId="764" priority="33" stopIfTrue="1" operator="greaterThan">
      <formula>0</formula>
    </cfRule>
  </conditionalFormatting>
  <conditionalFormatting sqref="E14">
    <cfRule type="cellIs" dxfId="763" priority="32" stopIfTrue="1" operator="greaterThan">
      <formula>0</formula>
    </cfRule>
  </conditionalFormatting>
  <conditionalFormatting sqref="E23">
    <cfRule type="cellIs" dxfId="762" priority="28" stopIfTrue="1" operator="greaterThan">
      <formula>0</formula>
    </cfRule>
  </conditionalFormatting>
  <conditionalFormatting sqref="E10">
    <cfRule type="cellIs" dxfId="761" priority="27" stopIfTrue="1" operator="greaterThan">
      <formula>0</formula>
    </cfRule>
  </conditionalFormatting>
  <conditionalFormatting sqref="E9">
    <cfRule type="cellIs" dxfId="760" priority="26" stopIfTrue="1" operator="greaterThan">
      <formula>0</formula>
    </cfRule>
  </conditionalFormatting>
  <conditionalFormatting sqref="E8">
    <cfRule type="cellIs" dxfId="759" priority="25" stopIfTrue="1" operator="greaterThan">
      <formula>0</formula>
    </cfRule>
  </conditionalFormatting>
  <conditionalFormatting sqref="E12">
    <cfRule type="cellIs" dxfId="758" priority="24" stopIfTrue="1" operator="greaterThan">
      <formula>0</formula>
    </cfRule>
  </conditionalFormatting>
  <conditionalFormatting sqref="E25">
    <cfRule type="cellIs" dxfId="757" priority="23" stopIfTrue="1" operator="greaterThan">
      <formula>0</formula>
    </cfRule>
  </conditionalFormatting>
  <conditionalFormatting sqref="E32">
    <cfRule type="cellIs" dxfId="756" priority="20" stopIfTrue="1" operator="greaterThan">
      <formula>0</formula>
    </cfRule>
  </conditionalFormatting>
  <conditionalFormatting sqref="E18">
    <cfRule type="cellIs" dxfId="755" priority="21" stopIfTrue="1" operator="greaterThan">
      <formula>0</formula>
    </cfRule>
  </conditionalFormatting>
  <conditionalFormatting sqref="E27">
    <cfRule type="cellIs" dxfId="754" priority="17" stopIfTrue="1" operator="greaterThan">
      <formula>0</formula>
    </cfRule>
  </conditionalFormatting>
  <conditionalFormatting sqref="E31">
    <cfRule type="cellIs" dxfId="753" priority="16" stopIfTrue="1" operator="greaterThan">
      <formula>0</formula>
    </cfRule>
  </conditionalFormatting>
  <conditionalFormatting sqref="E16">
    <cfRule type="cellIs" dxfId="752" priority="15" stopIfTrue="1" operator="greaterThan">
      <formula>0</formula>
    </cfRule>
  </conditionalFormatting>
  <conditionalFormatting sqref="E19">
    <cfRule type="cellIs" dxfId="751" priority="12" stopIfTrue="1" operator="greaterThan">
      <formula>0</formula>
    </cfRule>
  </conditionalFormatting>
  <conditionalFormatting sqref="E24">
    <cfRule type="cellIs" dxfId="750" priority="11" stopIfTrue="1" operator="greaterThan">
      <formula>0</formula>
    </cfRule>
  </conditionalFormatting>
  <conditionalFormatting sqref="E30">
    <cfRule type="cellIs" dxfId="749" priority="10" stopIfTrue="1" operator="greaterThan">
      <formula>0</formula>
    </cfRule>
  </conditionalFormatting>
  <conditionalFormatting sqref="E17">
    <cfRule type="cellIs" dxfId="748" priority="8" stopIfTrue="1" operator="greaterThan">
      <formula>0</formula>
    </cfRule>
  </conditionalFormatting>
  <conditionalFormatting sqref="E11">
    <cfRule type="cellIs" dxfId="747" priority="7" stopIfTrue="1" operator="greaterThan">
      <formula>0</formula>
    </cfRule>
  </conditionalFormatting>
  <conditionalFormatting sqref="E20">
    <cfRule type="cellIs" dxfId="746" priority="6" stopIfTrue="1" operator="greaterThan">
      <formula>0</formula>
    </cfRule>
  </conditionalFormatting>
  <conditionalFormatting sqref="E29">
    <cfRule type="cellIs" dxfId="745" priority="4" stopIfTrue="1" operator="greaterThan">
      <formula>0</formula>
    </cfRule>
  </conditionalFormatting>
  <conditionalFormatting sqref="E13">
    <cfRule type="cellIs" dxfId="744" priority="3" stopIfTrue="1" operator="greaterThan">
      <formula>0</formula>
    </cfRule>
  </conditionalFormatting>
  <conditionalFormatting sqref="E22">
    <cfRule type="cellIs" dxfId="743" priority="2" stopIfTrue="1" operator="greaterThan">
      <formula>0</formula>
    </cfRule>
  </conditionalFormatting>
  <conditionalFormatting sqref="E26">
    <cfRule type="cellIs" dxfId="742" priority="1" stopIfTrue="1" operator="greaterThan">
      <formula>0</formula>
    </cfRule>
  </conditionalFormatting>
  <pageMargins left="0.511811024" right="0.511811024" top="0.78740157499999996" bottom="0.78740157499999996" header="0.31496062000000002" footer="0.31496062000000002"/>
</worksheet>
</file>

<file path=xl/worksheets/sheet98.xml><?xml version="1.0" encoding="utf-8"?>
<worksheet xmlns="http://schemas.openxmlformats.org/spreadsheetml/2006/main" xmlns:r="http://schemas.openxmlformats.org/officeDocument/2006/relationships">
  <sheetPr>
    <pageSetUpPr autoPageBreaks="0"/>
  </sheetPr>
  <dimension ref="B1:O27"/>
  <sheetViews>
    <sheetView zoomScale="75" zoomScaleNormal="75" zoomScalePageLayoutView="75" workbookViewId="0">
      <selection activeCell="C26" sqref="C26"/>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-596.72</v>
      </c>
      <c r="F3" s="72"/>
      <c r="G3" s="72"/>
      <c r="I3" s="10">
        <v>158.47</v>
      </c>
      <c r="J3" s="10" t="s">
        <v>914</v>
      </c>
      <c r="L3" s="10">
        <f>300*2.47</f>
        <v>741.00000000000011</v>
      </c>
      <c r="M3" s="10" t="s">
        <v>1125</v>
      </c>
      <c r="N3" s="194" t="s">
        <v>45</v>
      </c>
      <c r="O3" s="195">
        <v>10229.01</v>
      </c>
    </row>
    <row r="4" spans="2:15" ht="12" customHeight="1">
      <c r="B4" s="71" t="s">
        <v>5</v>
      </c>
      <c r="C4" s="91">
        <v>1196</v>
      </c>
      <c r="D4" s="92"/>
      <c r="E4" s="95">
        <v>0</v>
      </c>
      <c r="F4" s="72"/>
      <c r="G4" s="72"/>
      <c r="I4" s="10">
        <v>3235.3</v>
      </c>
      <c r="J4" s="10" t="s">
        <v>915</v>
      </c>
      <c r="L4" s="10">
        <v>0</v>
      </c>
      <c r="M4" s="10"/>
      <c r="N4" s="194" t="s">
        <v>993</v>
      </c>
      <c r="O4" s="195">
        <f>O3/2</f>
        <v>5114.5050000000001</v>
      </c>
    </row>
    <row r="5" spans="2:15" ht="12" customHeight="1">
      <c r="B5" s="186" t="s">
        <v>1142</v>
      </c>
      <c r="C5" s="91">
        <f>7982.87*(1-0.275)</f>
        <v>5787.5807500000001</v>
      </c>
      <c r="D5" s="92"/>
      <c r="E5" s="95">
        <v>0</v>
      </c>
      <c r="F5" s="72"/>
      <c r="G5" s="72"/>
      <c r="I5" s="10"/>
      <c r="J5" s="10"/>
      <c r="L5" s="10">
        <f>O4</f>
        <v>5114.5050000000001</v>
      </c>
      <c r="M5" s="10" t="s">
        <v>1127</v>
      </c>
      <c r="N5" s="194" t="s">
        <v>1092</v>
      </c>
      <c r="O5" s="195">
        <f>O3/2</f>
        <v>5114.5050000000001</v>
      </c>
    </row>
    <row r="6" spans="2:15">
      <c r="B6" s="186" t="s">
        <v>107</v>
      </c>
      <c r="C6" s="91">
        <v>312.99</v>
      </c>
      <c r="D6" s="92"/>
      <c r="E6" s="95">
        <v>0</v>
      </c>
      <c r="F6" s="72"/>
      <c r="G6" s="72"/>
      <c r="L6" s="10">
        <v>0</v>
      </c>
      <c r="M6" s="10"/>
    </row>
    <row r="7" spans="2:15" ht="15.75">
      <c r="B7" s="186" t="s">
        <v>1066</v>
      </c>
      <c r="C7" s="91">
        <v>560</v>
      </c>
      <c r="D7" s="92"/>
      <c r="E7" s="95">
        <v>0</v>
      </c>
      <c r="F7" s="72"/>
      <c r="G7" s="72"/>
      <c r="I7" s="221" t="s">
        <v>1143</v>
      </c>
      <c r="J7" s="221" t="s">
        <v>408</v>
      </c>
      <c r="L7" s="10">
        <v>0</v>
      </c>
      <c r="M7" s="10"/>
    </row>
    <row r="8" spans="2:15">
      <c r="B8" s="196" t="s">
        <v>81</v>
      </c>
      <c r="C8" s="197">
        <v>149</v>
      </c>
      <c r="D8" s="92"/>
      <c r="E8" s="95">
        <v>0</v>
      </c>
      <c r="F8" s="72"/>
      <c r="G8" s="72"/>
      <c r="I8" s="10">
        <v>6471.04</v>
      </c>
      <c r="J8" s="10" t="s">
        <v>1129</v>
      </c>
      <c r="L8" s="144">
        <f>SUM(L3:L7)</f>
        <v>5855.5050000000001</v>
      </c>
      <c r="M8" s="144" t="s">
        <v>1031</v>
      </c>
    </row>
    <row r="9" spans="2:15">
      <c r="B9" s="186" t="s">
        <v>1144</v>
      </c>
      <c r="C9" s="91">
        <v>149</v>
      </c>
      <c r="D9" s="92"/>
      <c r="E9" s="95">
        <v>0</v>
      </c>
      <c r="F9" s="72"/>
      <c r="G9" s="72"/>
      <c r="I9" s="10">
        <v>4685.22</v>
      </c>
      <c r="J9" s="10" t="s">
        <v>1075</v>
      </c>
    </row>
    <row r="10" spans="2:15" ht="14.25" customHeight="1">
      <c r="B10" s="196" t="s">
        <v>1145</v>
      </c>
      <c r="C10" s="197">
        <f>306*2</f>
        <v>612</v>
      </c>
      <c r="D10" s="92"/>
      <c r="E10" s="95">
        <v>0</v>
      </c>
      <c r="F10" s="72"/>
      <c r="G10" s="72"/>
      <c r="I10" s="10">
        <v>10085.36</v>
      </c>
      <c r="J10" s="10" t="s">
        <v>1101</v>
      </c>
      <c r="L10" s="221" t="s">
        <v>1130</v>
      </c>
      <c r="M10" s="221" t="s">
        <v>408</v>
      </c>
    </row>
    <row r="11" spans="2:15">
      <c r="B11" s="99" t="s">
        <v>714</v>
      </c>
      <c r="C11" s="96">
        <v>-5</v>
      </c>
      <c r="D11" s="97"/>
      <c r="E11" s="63">
        <v>0</v>
      </c>
      <c r="F11" s="64"/>
      <c r="G11" s="64" t="s">
        <v>58</v>
      </c>
      <c r="I11" s="10">
        <v>6668.32</v>
      </c>
      <c r="J11" s="10" t="s">
        <v>1048</v>
      </c>
      <c r="L11" s="10">
        <f>200*2.47</f>
        <v>494.00000000000006</v>
      </c>
      <c r="M11" s="10" t="s">
        <v>1088</v>
      </c>
    </row>
    <row r="12" spans="2:15">
      <c r="B12" s="99" t="s">
        <v>1098</v>
      </c>
      <c r="C12" s="96">
        <v>-146.47999999999999</v>
      </c>
      <c r="D12" s="97"/>
      <c r="E12" s="63">
        <v>0</v>
      </c>
      <c r="F12" s="64"/>
      <c r="G12" s="64" t="s">
        <v>58</v>
      </c>
      <c r="I12" s="10">
        <v>8511.5</v>
      </c>
      <c r="J12" s="10" t="s">
        <v>1087</v>
      </c>
      <c r="L12" s="10">
        <v>0</v>
      </c>
      <c r="M12" s="10"/>
    </row>
    <row r="13" spans="2:15">
      <c r="B13" s="99" t="s">
        <v>117</v>
      </c>
      <c r="C13" s="96">
        <f>-620.45-180.67</f>
        <v>-801.12</v>
      </c>
      <c r="D13" s="97"/>
      <c r="E13" s="63">
        <v>0</v>
      </c>
      <c r="F13" s="64"/>
      <c r="G13" s="64" t="s">
        <v>58</v>
      </c>
      <c r="I13" s="10">
        <f>89.05*2.47</f>
        <v>219.95350000000002</v>
      </c>
      <c r="J13" s="10" t="s">
        <v>1088</v>
      </c>
      <c r="L13" s="10">
        <v>249</v>
      </c>
      <c r="M13" s="10" t="s">
        <v>996</v>
      </c>
    </row>
    <row r="14" spans="2:15">
      <c r="B14" s="99" t="s">
        <v>1069</v>
      </c>
      <c r="C14" s="96">
        <v>-760</v>
      </c>
      <c r="D14" s="97"/>
      <c r="E14" s="63">
        <v>0</v>
      </c>
      <c r="F14" s="64"/>
      <c r="G14" s="64" t="s">
        <v>58</v>
      </c>
      <c r="I14" s="10">
        <f>O5</f>
        <v>5114.5050000000001</v>
      </c>
      <c r="J14" s="10" t="s">
        <v>1127</v>
      </c>
      <c r="L14" s="10">
        <v>0</v>
      </c>
      <c r="M14" s="10"/>
    </row>
    <row r="15" spans="2:15">
      <c r="B15" s="99" t="s">
        <v>1021</v>
      </c>
      <c r="C15" s="96">
        <v>-153.82</v>
      </c>
      <c r="D15" s="97"/>
      <c r="E15" s="63">
        <v>0</v>
      </c>
      <c r="F15" s="64"/>
      <c r="G15" s="64" t="s">
        <v>58</v>
      </c>
      <c r="I15" s="10">
        <f>14*200</f>
        <v>2800</v>
      </c>
      <c r="J15" s="10" t="s">
        <v>1133</v>
      </c>
      <c r="L15" s="10">
        <v>0</v>
      </c>
      <c r="M15" s="10"/>
    </row>
    <row r="16" spans="2:15">
      <c r="B16" s="99" t="s">
        <v>103</v>
      </c>
      <c r="C16" s="96">
        <v>-974.08</v>
      </c>
      <c r="D16" s="97"/>
      <c r="E16" s="63">
        <v>0</v>
      </c>
      <c r="F16" s="64"/>
      <c r="G16" s="64" t="s">
        <v>58</v>
      </c>
      <c r="I16" s="10">
        <f>400*2.47</f>
        <v>988.00000000000011</v>
      </c>
      <c r="J16" s="10" t="s">
        <v>716</v>
      </c>
      <c r="L16" s="144">
        <f>SUM(L11:L15)</f>
        <v>743</v>
      </c>
      <c r="M16" s="144" t="s">
        <v>1031</v>
      </c>
    </row>
    <row r="17" spans="2:15">
      <c r="B17" s="99" t="s">
        <v>1146</v>
      </c>
      <c r="C17" s="96">
        <v>-249</v>
      </c>
      <c r="D17" s="97"/>
      <c r="E17" s="63">
        <v>0</v>
      </c>
      <c r="F17" s="64"/>
      <c r="G17" s="64" t="s">
        <v>58</v>
      </c>
      <c r="I17" s="10">
        <v>0</v>
      </c>
      <c r="J17" s="10"/>
    </row>
    <row r="18" spans="2:15" ht="15.75">
      <c r="B18" s="99" t="s">
        <v>1032</v>
      </c>
      <c r="C18" s="96">
        <v>-3131.2</v>
      </c>
      <c r="D18" s="97"/>
      <c r="E18" s="63">
        <v>0</v>
      </c>
      <c r="F18" s="64"/>
      <c r="G18" s="64" t="s">
        <v>58</v>
      </c>
      <c r="H18" s="143"/>
      <c r="I18" s="10">
        <v>2012.31</v>
      </c>
      <c r="J18" s="10" t="s">
        <v>996</v>
      </c>
      <c r="L18" s="221" t="s">
        <v>1136</v>
      </c>
      <c r="M18" s="221" t="s">
        <v>1019</v>
      </c>
      <c r="N18" s="221" t="s">
        <v>1130</v>
      </c>
      <c r="O18" s="221" t="s">
        <v>1020</v>
      </c>
    </row>
    <row r="19" spans="2:15">
      <c r="B19" s="99" t="s">
        <v>748</v>
      </c>
      <c r="C19" s="96">
        <v>-70</v>
      </c>
      <c r="D19" s="97"/>
      <c r="E19" s="63">
        <v>0</v>
      </c>
      <c r="F19" s="64"/>
      <c r="G19" s="64" t="s">
        <v>58</v>
      </c>
      <c r="I19" s="10"/>
      <c r="J19" s="10"/>
      <c r="L19" s="10" t="s">
        <v>1015</v>
      </c>
      <c r="M19" s="184">
        <v>0</v>
      </c>
      <c r="N19" s="184">
        <v>0</v>
      </c>
      <c r="O19" s="185">
        <v>0</v>
      </c>
    </row>
    <row r="20" spans="2:15">
      <c r="B20" s="99" t="s">
        <v>1147</v>
      </c>
      <c r="C20" s="96">
        <v>-435</v>
      </c>
      <c r="D20" s="97"/>
      <c r="E20" s="63">
        <v>0</v>
      </c>
      <c r="F20" s="64"/>
      <c r="G20" s="64" t="s">
        <v>58</v>
      </c>
      <c r="I20" s="10"/>
      <c r="J20" s="10"/>
      <c r="L20" s="10" t="s">
        <v>1010</v>
      </c>
      <c r="M20" s="184">
        <v>0</v>
      </c>
      <c r="N20" s="184">
        <v>0</v>
      </c>
      <c r="O20" s="185">
        <v>0</v>
      </c>
    </row>
    <row r="21" spans="2:15">
      <c r="B21" s="196" t="s">
        <v>125</v>
      </c>
      <c r="C21" s="197">
        <f>-149-149</f>
        <v>-298</v>
      </c>
      <c r="D21" s="92"/>
      <c r="E21" s="63">
        <v>0</v>
      </c>
      <c r="F21" s="64"/>
      <c r="G21" s="64" t="s">
        <v>58</v>
      </c>
      <c r="I21" s="144">
        <f>SUM(I8:I20)</f>
        <v>47556.208500000001</v>
      </c>
      <c r="J21" s="144" t="s">
        <v>1031</v>
      </c>
      <c r="L21" s="10" t="s">
        <v>1012</v>
      </c>
      <c r="M21" s="184">
        <v>0</v>
      </c>
      <c r="N21" s="184">
        <v>0</v>
      </c>
      <c r="O21" s="185">
        <v>8</v>
      </c>
    </row>
    <row r="22" spans="2:15">
      <c r="B22" s="99" t="s">
        <v>73</v>
      </c>
      <c r="C22" s="96">
        <v>-599.76</v>
      </c>
      <c r="D22" s="97"/>
      <c r="E22" s="63">
        <v>0</v>
      </c>
      <c r="F22" s="64"/>
      <c r="G22" s="64" t="s">
        <v>58</v>
      </c>
      <c r="L22" s="10" t="s">
        <v>1075</v>
      </c>
      <c r="M22" s="184">
        <v>0</v>
      </c>
      <c r="N22" s="184">
        <v>0</v>
      </c>
      <c r="O22" s="185">
        <v>7</v>
      </c>
    </row>
    <row r="23" spans="2:15">
      <c r="B23" s="99" t="s">
        <v>41</v>
      </c>
      <c r="C23" s="96">
        <v>-52.95</v>
      </c>
      <c r="D23" s="97"/>
      <c r="E23" s="63">
        <v>0</v>
      </c>
      <c r="F23" s="64"/>
      <c r="G23" s="64" t="s">
        <v>58</v>
      </c>
      <c r="L23" s="10" t="s">
        <v>1055</v>
      </c>
      <c r="M23" s="184">
        <v>0</v>
      </c>
      <c r="N23" s="184">
        <v>0</v>
      </c>
      <c r="O23" s="185">
        <v>3</v>
      </c>
    </row>
    <row r="24" spans="2:15">
      <c r="B24" s="99" t="s">
        <v>586</v>
      </c>
      <c r="C24" s="96">
        <v>-100.62</v>
      </c>
      <c r="D24" s="97"/>
      <c r="E24" s="63">
        <v>0</v>
      </c>
      <c r="F24" s="64"/>
      <c r="G24" s="64" t="s">
        <v>58</v>
      </c>
      <c r="L24" s="10" t="s">
        <v>1090</v>
      </c>
      <c r="M24" s="184">
        <v>0</v>
      </c>
      <c r="N24" s="184">
        <v>0</v>
      </c>
      <c r="O24" s="185">
        <v>4.9000000000000004</v>
      </c>
    </row>
    <row r="25" spans="2:15">
      <c r="B25" s="99" t="s">
        <v>1141</v>
      </c>
      <c r="C25" s="96">
        <v>-39.9</v>
      </c>
      <c r="D25" s="97"/>
      <c r="E25" s="63">
        <v>0</v>
      </c>
      <c r="F25" s="64"/>
      <c r="G25" s="64" t="s">
        <v>58</v>
      </c>
      <c r="L25" s="10" t="s">
        <v>1101</v>
      </c>
      <c r="M25" s="184">
        <v>0</v>
      </c>
      <c r="N25" s="184">
        <v>0</v>
      </c>
      <c r="O25" s="185">
        <v>1.7</v>
      </c>
    </row>
    <row r="26" spans="2:15">
      <c r="B26" s="99" t="s">
        <v>686</v>
      </c>
      <c r="C26" s="96">
        <v>-570.76</v>
      </c>
      <c r="D26" s="97"/>
      <c r="E26" s="63">
        <v>0</v>
      </c>
      <c r="F26" s="64"/>
      <c r="G26" s="64" t="s">
        <v>58</v>
      </c>
    </row>
    <row r="27" spans="2:15" ht="18">
      <c r="B27" s="74" t="s">
        <v>45</v>
      </c>
      <c r="C27" s="188"/>
      <c r="D27" s="98"/>
      <c r="E27" s="129">
        <f>SUM(E3:E26)</f>
        <v>-596.72</v>
      </c>
      <c r="F27" s="75"/>
      <c r="G27" s="75"/>
    </row>
  </sheetData>
  <mergeCells count="1">
    <mergeCell ref="N2:O2"/>
  </mergeCells>
  <conditionalFormatting sqref="E15">
    <cfRule type="cellIs" dxfId="741" priority="15" stopIfTrue="1" operator="greaterThan">
      <formula>0</formula>
    </cfRule>
  </conditionalFormatting>
  <conditionalFormatting sqref="E11">
    <cfRule type="cellIs" dxfId="740" priority="18" stopIfTrue="1" operator="greaterThan">
      <formula>0</formula>
    </cfRule>
  </conditionalFormatting>
  <conditionalFormatting sqref="E12">
    <cfRule type="cellIs" dxfId="739" priority="17" stopIfTrue="1" operator="greaterThan">
      <formula>0</formula>
    </cfRule>
  </conditionalFormatting>
  <conditionalFormatting sqref="E13">
    <cfRule type="cellIs" dxfId="738" priority="16" stopIfTrue="1" operator="greaterThan">
      <formula>0</formula>
    </cfRule>
  </conditionalFormatting>
  <conditionalFormatting sqref="E16">
    <cfRule type="cellIs" dxfId="737" priority="14" stopIfTrue="1" operator="greaterThan">
      <formula>0</formula>
    </cfRule>
  </conditionalFormatting>
  <conditionalFormatting sqref="E18">
    <cfRule type="cellIs" dxfId="736" priority="13" stopIfTrue="1" operator="greaterThan">
      <formula>0</formula>
    </cfRule>
  </conditionalFormatting>
  <conditionalFormatting sqref="E26">
    <cfRule type="cellIs" dxfId="735" priority="11" stopIfTrue="1" operator="greaterThan">
      <formula>0</formula>
    </cfRule>
  </conditionalFormatting>
  <conditionalFormatting sqref="E17">
    <cfRule type="cellIs" dxfId="734" priority="10" stopIfTrue="1" operator="greaterThan">
      <formula>0</formula>
    </cfRule>
  </conditionalFormatting>
  <conditionalFormatting sqref="E20">
    <cfRule type="cellIs" dxfId="733" priority="9" stopIfTrue="1" operator="greaterThan">
      <formula>0</formula>
    </cfRule>
  </conditionalFormatting>
  <conditionalFormatting sqref="E22">
    <cfRule type="cellIs" dxfId="732" priority="7" stopIfTrue="1" operator="greaterThan">
      <formula>0</formula>
    </cfRule>
  </conditionalFormatting>
  <conditionalFormatting sqref="E19">
    <cfRule type="cellIs" dxfId="731" priority="6" stopIfTrue="1" operator="greaterThan">
      <formula>0</formula>
    </cfRule>
  </conditionalFormatting>
  <conditionalFormatting sqref="E24">
    <cfRule type="cellIs" dxfId="730" priority="5" stopIfTrue="1" operator="greaterThan">
      <formula>0</formula>
    </cfRule>
  </conditionalFormatting>
  <conditionalFormatting sqref="E21">
    <cfRule type="cellIs" dxfId="729" priority="4" stopIfTrue="1" operator="greaterThan">
      <formula>0</formula>
    </cfRule>
  </conditionalFormatting>
  <conditionalFormatting sqref="E14">
    <cfRule type="cellIs" dxfId="728" priority="3" stopIfTrue="1" operator="greaterThan">
      <formula>0</formula>
    </cfRule>
  </conditionalFormatting>
  <conditionalFormatting sqref="E25">
    <cfRule type="cellIs" dxfId="727" priority="2" stopIfTrue="1" operator="greaterThan">
      <formula>0</formula>
    </cfRule>
  </conditionalFormatting>
  <conditionalFormatting sqref="E23">
    <cfRule type="cellIs" dxfId="726" priority="1" stopIfTrue="1" operator="greater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99.xml><?xml version="1.0" encoding="utf-8"?>
<worksheet xmlns="http://schemas.openxmlformats.org/spreadsheetml/2006/main" xmlns:r="http://schemas.openxmlformats.org/officeDocument/2006/relationships">
  <sheetPr>
    <pageSetUpPr autoPageBreaks="0"/>
  </sheetPr>
  <dimension ref="B1:O29"/>
  <sheetViews>
    <sheetView zoomScale="75" zoomScaleNormal="75" zoomScalePageLayoutView="75" workbookViewId="0">
      <selection activeCell="E19" sqref="E19:G19"/>
    </sheetView>
  </sheetViews>
  <sheetFormatPr defaultColWidth="8.85546875" defaultRowHeight="12.75"/>
  <cols>
    <col min="1" max="1" width="2" customWidth="1"/>
    <col min="2" max="2" width="26.42578125" customWidth="1"/>
    <col min="3" max="3" width="22.42578125" customWidth="1"/>
    <col min="4" max="4" width="1.7109375" customWidth="1"/>
    <col min="5" max="5" width="21.140625" customWidth="1"/>
    <col min="6" max="6" width="11.42578125" customWidth="1"/>
    <col min="7" max="7" width="11.7109375" customWidth="1"/>
    <col min="8" max="8" width="1" customWidth="1"/>
    <col min="9" max="9" width="19.85546875" customWidth="1"/>
    <col min="10" max="10" width="20" customWidth="1"/>
    <col min="11" max="11" width="1.42578125" customWidth="1"/>
    <col min="12" max="13" width="23.42578125" customWidth="1"/>
    <col min="14" max="14" width="18" customWidth="1"/>
    <col min="15" max="15" width="18" bestFit="1" customWidth="1"/>
  </cols>
  <sheetData>
    <row r="1" spans="2:15">
      <c r="E1" s="106"/>
    </row>
    <row r="2" spans="2:15" ht="18">
      <c r="B2" s="220" t="s">
        <v>135</v>
      </c>
      <c r="C2" s="220" t="s">
        <v>136</v>
      </c>
      <c r="D2" s="90"/>
      <c r="E2" s="220" t="s">
        <v>0</v>
      </c>
      <c r="F2" s="82" t="s">
        <v>1</v>
      </c>
      <c r="G2" s="82" t="s">
        <v>57</v>
      </c>
      <c r="I2" s="221" t="s">
        <v>913</v>
      </c>
      <c r="J2" s="221" t="s">
        <v>408</v>
      </c>
      <c r="L2" s="221" t="s">
        <v>1126</v>
      </c>
      <c r="M2" s="221" t="s">
        <v>408</v>
      </c>
      <c r="N2" s="587" t="s">
        <v>1091</v>
      </c>
      <c r="O2" s="587"/>
    </row>
    <row r="3" spans="2:15">
      <c r="B3" s="71" t="s">
        <v>56</v>
      </c>
      <c r="C3" s="91">
        <v>0</v>
      </c>
      <c r="D3" s="92"/>
      <c r="E3" s="95">
        <v>1094.49</v>
      </c>
      <c r="F3" s="72"/>
      <c r="G3" s="72"/>
      <c r="I3" s="10">
        <v>810.36</v>
      </c>
      <c r="J3" s="10" t="s">
        <v>914</v>
      </c>
      <c r="L3" s="10">
        <f>100*2.35</f>
        <v>235</v>
      </c>
      <c r="M3" s="10" t="s">
        <v>1125</v>
      </c>
      <c r="N3" s="194" t="s">
        <v>45</v>
      </c>
      <c r="O3" s="195">
        <v>10320.44</v>
      </c>
    </row>
    <row r="4" spans="2:15" ht="12" customHeight="1">
      <c r="B4" s="71" t="s">
        <v>5</v>
      </c>
      <c r="C4" s="91">
        <v>9506.7800000000007</v>
      </c>
      <c r="D4" s="92"/>
      <c r="E4" s="95">
        <v>0</v>
      </c>
      <c r="F4" s="72"/>
      <c r="G4" s="72"/>
      <c r="I4" s="10">
        <v>4215.18</v>
      </c>
      <c r="J4" s="10" t="s">
        <v>915</v>
      </c>
      <c r="L4" s="10">
        <f>200*2.35</f>
        <v>470</v>
      </c>
      <c r="M4" s="10" t="s">
        <v>716</v>
      </c>
      <c r="N4" s="194" t="s">
        <v>993</v>
      </c>
      <c r="O4" s="195">
        <f>O3/2</f>
        <v>5160.22</v>
      </c>
    </row>
    <row r="5" spans="2:15" ht="12" customHeight="1">
      <c r="B5" s="71" t="s">
        <v>81</v>
      </c>
      <c r="C5" s="91">
        <v>149</v>
      </c>
      <c r="D5" s="92"/>
      <c r="E5" s="95">
        <v>0</v>
      </c>
      <c r="F5" s="72"/>
      <c r="G5" s="72"/>
      <c r="I5" s="10"/>
      <c r="J5" s="10"/>
      <c r="L5" s="10">
        <f>O4</f>
        <v>5160.22</v>
      </c>
      <c r="M5" s="10" t="s">
        <v>1127</v>
      </c>
      <c r="N5" s="194" t="s">
        <v>1092</v>
      </c>
      <c r="O5" s="195">
        <f>O3/2</f>
        <v>5160.22</v>
      </c>
    </row>
    <row r="6" spans="2:15">
      <c r="B6" s="71" t="s">
        <v>1145</v>
      </c>
      <c r="C6" s="91">
        <f>306*2</f>
        <v>612</v>
      </c>
      <c r="D6" s="92"/>
      <c r="E6" s="95">
        <v>0</v>
      </c>
      <c r="F6" s="72"/>
      <c r="G6" s="72"/>
      <c r="L6" s="10">
        <v>250.54</v>
      </c>
      <c r="M6" s="10" t="s">
        <v>996</v>
      </c>
    </row>
    <row r="7" spans="2:15" ht="15.75">
      <c r="B7" s="71" t="s">
        <v>1066</v>
      </c>
      <c r="C7" s="91">
        <v>530</v>
      </c>
      <c r="D7" s="92"/>
      <c r="E7" s="95">
        <v>0</v>
      </c>
      <c r="F7" s="72"/>
      <c r="G7" s="72"/>
      <c r="I7" s="221" t="s">
        <v>1143</v>
      </c>
      <c r="J7" s="221" t="s">
        <v>408</v>
      </c>
      <c r="L7" s="10">
        <v>0</v>
      </c>
      <c r="M7" s="10"/>
    </row>
    <row r="8" spans="2:15">
      <c r="B8" s="71" t="s">
        <v>107</v>
      </c>
      <c r="C8" s="91">
        <v>266.33</v>
      </c>
      <c r="D8" s="92"/>
      <c r="E8" s="95">
        <v>0</v>
      </c>
      <c r="F8" s="72"/>
      <c r="G8" s="72"/>
      <c r="I8" s="10">
        <v>4472.04</v>
      </c>
      <c r="J8" s="10" t="s">
        <v>1129</v>
      </c>
      <c r="L8" s="144">
        <f>SUM(L3:L7)</f>
        <v>6115.76</v>
      </c>
      <c r="M8" s="144" t="s">
        <v>1031</v>
      </c>
    </row>
    <row r="9" spans="2:15">
      <c r="B9" s="71" t="s">
        <v>81</v>
      </c>
      <c r="C9" s="198">
        <v>750</v>
      </c>
      <c r="D9" s="92"/>
      <c r="E9" s="95">
        <v>0</v>
      </c>
      <c r="F9" s="72"/>
      <c r="G9" s="72"/>
      <c r="I9" s="10">
        <v>5018.1499999999996</v>
      </c>
      <c r="J9" s="10" t="s">
        <v>1075</v>
      </c>
    </row>
    <row r="10" spans="2:15" ht="14.25" customHeight="1">
      <c r="B10" s="99" t="s">
        <v>714</v>
      </c>
      <c r="C10" s="96">
        <v>-8.17</v>
      </c>
      <c r="D10" s="97"/>
      <c r="E10" s="63">
        <v>0</v>
      </c>
      <c r="F10" s="64"/>
      <c r="G10" s="64" t="s">
        <v>58</v>
      </c>
      <c r="I10" s="10">
        <v>10153.709999999999</v>
      </c>
      <c r="J10" s="10" t="s">
        <v>1101</v>
      </c>
      <c r="L10" s="221" t="s">
        <v>1130</v>
      </c>
      <c r="M10" s="221" t="s">
        <v>408</v>
      </c>
    </row>
    <row r="11" spans="2:15">
      <c r="B11" s="99" t="s">
        <v>1098</v>
      </c>
      <c r="C11" s="96">
        <v>-55.88</v>
      </c>
      <c r="D11" s="97"/>
      <c r="E11" s="63">
        <v>0</v>
      </c>
      <c r="F11" s="64"/>
      <c r="G11" s="64" t="s">
        <v>58</v>
      </c>
      <c r="I11" s="10">
        <v>66740.759999999995</v>
      </c>
      <c r="J11" s="10" t="s">
        <v>1048</v>
      </c>
      <c r="L11" s="10">
        <f>200*2.35</f>
        <v>470</v>
      </c>
      <c r="M11" s="10" t="s">
        <v>716</v>
      </c>
    </row>
    <row r="12" spans="2:15">
      <c r="B12" s="99" t="s">
        <v>65</v>
      </c>
      <c r="C12" s="96">
        <v>-914</v>
      </c>
      <c r="D12" s="97"/>
      <c r="E12" s="63">
        <v>0</v>
      </c>
      <c r="F12" s="64"/>
      <c r="G12" s="64" t="s">
        <v>58</v>
      </c>
      <c r="I12" s="10">
        <v>8567.43</v>
      </c>
      <c r="J12" s="10" t="s">
        <v>1087</v>
      </c>
      <c r="L12" s="10">
        <v>0</v>
      </c>
      <c r="M12" s="10"/>
    </row>
    <row r="13" spans="2:15">
      <c r="B13" s="99" t="s">
        <v>1069</v>
      </c>
      <c r="C13" s="96">
        <v>-760</v>
      </c>
      <c r="D13" s="97"/>
      <c r="E13" s="63">
        <v>0</v>
      </c>
      <c r="F13" s="64"/>
      <c r="G13" s="64" t="s">
        <v>58</v>
      </c>
      <c r="I13" s="10">
        <f>489.05*2.3</f>
        <v>1124.8149999999998</v>
      </c>
      <c r="J13" s="10" t="s">
        <v>1088</v>
      </c>
      <c r="L13" s="10">
        <f>250.54*2</f>
        <v>501.08</v>
      </c>
      <c r="M13" s="10" t="s">
        <v>996</v>
      </c>
    </row>
    <row r="14" spans="2:15">
      <c r="B14" s="99" t="s">
        <v>103</v>
      </c>
      <c r="C14" s="96">
        <f>-I3</f>
        <v>-810.36</v>
      </c>
      <c r="D14" s="97"/>
      <c r="E14" s="63">
        <v>0</v>
      </c>
      <c r="F14" s="64"/>
      <c r="G14" s="64" t="s">
        <v>58</v>
      </c>
      <c r="I14" s="10">
        <f>O5</f>
        <v>5160.22</v>
      </c>
      <c r="J14" s="10" t="s">
        <v>1127</v>
      </c>
      <c r="L14" s="10">
        <v>0</v>
      </c>
      <c r="M14" s="10"/>
    </row>
    <row r="15" spans="2:15">
      <c r="B15" s="99" t="s">
        <v>1148</v>
      </c>
      <c r="C15" s="96">
        <v>-501.8</v>
      </c>
      <c r="D15" s="97"/>
      <c r="E15" s="63">
        <v>0</v>
      </c>
      <c r="F15" s="64"/>
      <c r="G15" s="64" t="s">
        <v>58</v>
      </c>
      <c r="I15" s="10">
        <f>14.02*200</f>
        <v>2804</v>
      </c>
      <c r="J15" s="10" t="s">
        <v>1133</v>
      </c>
      <c r="L15" s="10">
        <v>0</v>
      </c>
      <c r="M15" s="10"/>
    </row>
    <row r="16" spans="2:15">
      <c r="B16" s="99" t="s">
        <v>1032</v>
      </c>
      <c r="C16" s="96">
        <v>-3483.32</v>
      </c>
      <c r="D16" s="97"/>
      <c r="E16" s="63">
        <v>0</v>
      </c>
      <c r="F16" s="64"/>
      <c r="G16" s="64" t="s">
        <v>58</v>
      </c>
      <c r="I16" s="10"/>
      <c r="J16" s="10"/>
      <c r="L16" s="144">
        <f>SUM(L11:L15)</f>
        <v>971.07999999999993</v>
      </c>
      <c r="M16" s="144" t="s">
        <v>1031</v>
      </c>
    </row>
    <row r="17" spans="2:15">
      <c r="B17" s="99" t="s">
        <v>748</v>
      </c>
      <c r="C17" s="96">
        <v>-70</v>
      </c>
      <c r="D17" s="97"/>
      <c r="E17" s="63">
        <v>0</v>
      </c>
      <c r="F17" s="64"/>
      <c r="G17" s="64" t="s">
        <v>58</v>
      </c>
      <c r="I17" s="10">
        <v>0</v>
      </c>
      <c r="J17" s="10" t="s">
        <v>906</v>
      </c>
    </row>
    <row r="18" spans="2:15" ht="15.75">
      <c r="B18" s="99" t="s">
        <v>125</v>
      </c>
      <c r="C18" s="96">
        <v>-2000</v>
      </c>
      <c r="D18" s="92"/>
      <c r="E18" s="63">
        <v>0</v>
      </c>
      <c r="F18" s="64"/>
      <c r="G18" s="64" t="s">
        <v>58</v>
      </c>
      <c r="H18" s="143"/>
      <c r="I18" s="10">
        <f>2022.37-750</f>
        <v>1272.3699999999999</v>
      </c>
      <c r="J18" s="10" t="s">
        <v>996</v>
      </c>
      <c r="L18" s="221" t="s">
        <v>1136</v>
      </c>
      <c r="M18" s="221" t="s">
        <v>1019</v>
      </c>
      <c r="N18" s="221" t="s">
        <v>1130</v>
      </c>
      <c r="O18" s="221" t="s">
        <v>1020</v>
      </c>
    </row>
    <row r="19" spans="2:15">
      <c r="B19" s="99" t="s">
        <v>1149</v>
      </c>
      <c r="C19" s="96">
        <v>0</v>
      </c>
      <c r="D19" s="97"/>
      <c r="E19" s="63">
        <v>0</v>
      </c>
      <c r="F19" s="64"/>
      <c r="G19" s="64" t="s">
        <v>58</v>
      </c>
      <c r="I19" s="10"/>
      <c r="J19" s="10"/>
      <c r="L19" s="10" t="s">
        <v>1015</v>
      </c>
      <c r="M19" s="184">
        <v>0</v>
      </c>
      <c r="N19" s="184">
        <v>0</v>
      </c>
      <c r="O19" s="185">
        <v>0</v>
      </c>
    </row>
    <row r="20" spans="2:15">
      <c r="B20" s="99" t="s">
        <v>73</v>
      </c>
      <c r="C20" s="96">
        <v>-443.25</v>
      </c>
      <c r="D20" s="97"/>
      <c r="E20" s="63">
        <v>0</v>
      </c>
      <c r="F20" s="64"/>
      <c r="G20" s="64" t="s">
        <v>58</v>
      </c>
      <c r="I20" s="10"/>
      <c r="J20" s="10"/>
      <c r="L20" s="10" t="s">
        <v>1010</v>
      </c>
      <c r="M20" s="184">
        <v>0</v>
      </c>
      <c r="N20" s="184">
        <v>0</v>
      </c>
      <c r="O20" s="185">
        <v>0</v>
      </c>
    </row>
    <row r="21" spans="2:15">
      <c r="B21" s="99" t="s">
        <v>41</v>
      </c>
      <c r="C21" s="96">
        <v>-57.2</v>
      </c>
      <c r="D21" s="97"/>
      <c r="E21" s="63">
        <v>0</v>
      </c>
      <c r="F21" s="64"/>
      <c r="G21" s="64" t="s">
        <v>58</v>
      </c>
      <c r="I21" s="144">
        <f>SUM(I8:I20)</f>
        <v>105313.495</v>
      </c>
      <c r="J21" s="144" t="s">
        <v>1031</v>
      </c>
      <c r="L21" s="10" t="s">
        <v>1012</v>
      </c>
      <c r="M21" s="184">
        <v>0</v>
      </c>
      <c r="N21" s="184">
        <v>0</v>
      </c>
      <c r="O21" s="185">
        <f>8-2.5</f>
        <v>5.5</v>
      </c>
    </row>
    <row r="22" spans="2:15">
      <c r="B22" s="99" t="s">
        <v>586</v>
      </c>
      <c r="C22" s="96">
        <v>-143.74</v>
      </c>
      <c r="D22" s="97"/>
      <c r="E22" s="63">
        <v>0</v>
      </c>
      <c r="F22" s="64"/>
      <c r="G22" s="64" t="s">
        <v>58</v>
      </c>
      <c r="L22" s="10" t="s">
        <v>1075</v>
      </c>
      <c r="M22" s="184">
        <v>0</v>
      </c>
      <c r="N22" s="184">
        <v>0</v>
      </c>
      <c r="O22" s="185">
        <v>7</v>
      </c>
    </row>
    <row r="23" spans="2:15">
      <c r="B23" s="99" t="s">
        <v>1141</v>
      </c>
      <c r="C23" s="96">
        <v>-45</v>
      </c>
      <c r="D23" s="97"/>
      <c r="E23" s="63">
        <v>0</v>
      </c>
      <c r="F23" s="64"/>
      <c r="G23" s="64" t="s">
        <v>58</v>
      </c>
      <c r="L23" s="10" t="s">
        <v>1055</v>
      </c>
      <c r="M23" s="184">
        <v>0</v>
      </c>
      <c r="N23" s="184">
        <v>0</v>
      </c>
      <c r="O23" s="185">
        <v>3</v>
      </c>
    </row>
    <row r="24" spans="2:15">
      <c r="B24" s="99" t="s">
        <v>686</v>
      </c>
      <c r="C24" s="96">
        <v>-518.16</v>
      </c>
      <c r="D24" s="97"/>
      <c r="E24" s="63">
        <v>0</v>
      </c>
      <c r="F24" s="64"/>
      <c r="G24" s="64" t="s">
        <v>58</v>
      </c>
      <c r="L24" s="10" t="s">
        <v>1090</v>
      </c>
      <c r="M24" s="184">
        <v>0</v>
      </c>
      <c r="N24" s="184">
        <v>0</v>
      </c>
      <c r="O24" s="185">
        <v>4.9000000000000004</v>
      </c>
    </row>
    <row r="25" spans="2:15">
      <c r="B25" s="99" t="s">
        <v>755</v>
      </c>
      <c r="C25" s="96">
        <v>1994.69</v>
      </c>
      <c r="D25" s="97"/>
      <c r="E25" s="63">
        <v>0</v>
      </c>
      <c r="F25" s="64"/>
      <c r="G25" s="64" t="s">
        <v>58</v>
      </c>
      <c r="L25" s="10" t="s">
        <v>1101</v>
      </c>
      <c r="M25" s="184">
        <v>0</v>
      </c>
      <c r="N25" s="184">
        <v>0</v>
      </c>
      <c r="O25" s="185">
        <v>1.7</v>
      </c>
    </row>
    <row r="26" spans="2:15">
      <c r="B26" s="99" t="s">
        <v>755</v>
      </c>
      <c r="C26" s="96">
        <v>750</v>
      </c>
      <c r="D26" s="97"/>
      <c r="E26" s="63">
        <v>0</v>
      </c>
      <c r="F26" s="64"/>
      <c r="G26" s="64" t="s">
        <v>58</v>
      </c>
    </row>
    <row r="27" spans="2:15">
      <c r="B27" s="99" t="s">
        <v>1150</v>
      </c>
      <c r="C27" s="96">
        <v>-451</v>
      </c>
      <c r="D27" s="97"/>
      <c r="E27" s="63">
        <v>0</v>
      </c>
      <c r="F27" s="64"/>
      <c r="G27" s="64" t="s">
        <v>58</v>
      </c>
    </row>
    <row r="28" spans="2:15">
      <c r="B28" s="99" t="s">
        <v>1151</v>
      </c>
      <c r="C28" s="96">
        <v>-686.64</v>
      </c>
      <c r="D28" s="97"/>
      <c r="E28" s="63">
        <v>0</v>
      </c>
      <c r="F28" s="64"/>
      <c r="G28" s="64" t="s">
        <v>58</v>
      </c>
    </row>
    <row r="29" spans="2:15" ht="18">
      <c r="B29" s="74" t="s">
        <v>45</v>
      </c>
      <c r="C29" s="188"/>
      <c r="D29" s="98"/>
      <c r="E29" s="129">
        <f>SUM(E3:E28)</f>
        <v>1094.49</v>
      </c>
      <c r="F29" s="75"/>
      <c r="G29" s="75"/>
    </row>
  </sheetData>
  <mergeCells count="1">
    <mergeCell ref="N2:O2"/>
  </mergeCells>
  <conditionalFormatting sqref="E12">
    <cfRule type="cellIs" dxfId="725" priority="28" stopIfTrue="1" operator="greaterThan">
      <formula>0</formula>
    </cfRule>
  </conditionalFormatting>
  <conditionalFormatting sqref="E17">
    <cfRule type="cellIs" dxfId="724" priority="27" stopIfTrue="1" operator="greaterThan">
      <formula>0</formula>
    </cfRule>
  </conditionalFormatting>
  <conditionalFormatting sqref="E16">
    <cfRule type="cellIs" dxfId="723" priority="19" stopIfTrue="1" operator="greaterThan">
      <formula>0</formula>
    </cfRule>
  </conditionalFormatting>
  <conditionalFormatting sqref="E10">
    <cfRule type="cellIs" dxfId="722" priority="22" stopIfTrue="1" operator="greaterThan">
      <formula>0</formula>
    </cfRule>
  </conditionalFormatting>
  <conditionalFormatting sqref="E13">
    <cfRule type="cellIs" dxfId="721" priority="21" stopIfTrue="1" operator="greaterThan">
      <formula>0</formula>
    </cfRule>
  </conditionalFormatting>
  <conditionalFormatting sqref="E14">
    <cfRule type="cellIs" dxfId="720" priority="20" stopIfTrue="1" operator="greaterThan">
      <formula>0</formula>
    </cfRule>
  </conditionalFormatting>
  <conditionalFormatting sqref="E22">
    <cfRule type="cellIs" dxfId="719" priority="18" stopIfTrue="1" operator="greaterThan">
      <formula>0</formula>
    </cfRule>
  </conditionalFormatting>
  <conditionalFormatting sqref="E11">
    <cfRule type="cellIs" dxfId="718" priority="17" stopIfTrue="1" operator="greaterThan">
      <formula>0</formula>
    </cfRule>
  </conditionalFormatting>
  <conditionalFormatting sqref="E24">
    <cfRule type="cellIs" dxfId="717" priority="16" stopIfTrue="1" operator="greaterThan">
      <formula>0</formula>
    </cfRule>
  </conditionalFormatting>
  <conditionalFormatting sqref="E27">
    <cfRule type="cellIs" dxfId="716" priority="15" stopIfTrue="1" operator="greaterThan">
      <formula>0</formula>
    </cfRule>
  </conditionalFormatting>
  <conditionalFormatting sqref="E26">
    <cfRule type="cellIs" dxfId="715" priority="14" stopIfTrue="1" operator="greaterThan">
      <formula>0</formula>
    </cfRule>
  </conditionalFormatting>
  <conditionalFormatting sqref="E15">
    <cfRule type="cellIs" dxfId="714" priority="13" stopIfTrue="1" operator="greaterThan">
      <formula>0</formula>
    </cfRule>
  </conditionalFormatting>
  <conditionalFormatting sqref="E20">
    <cfRule type="cellIs" dxfId="713" priority="12" stopIfTrue="1" operator="greaterThan">
      <formula>0</formula>
    </cfRule>
  </conditionalFormatting>
  <conditionalFormatting sqref="E28">
    <cfRule type="cellIs" dxfId="712" priority="11" stopIfTrue="1" operator="greaterThan">
      <formula>0</formula>
    </cfRule>
  </conditionalFormatting>
  <conditionalFormatting sqref="E18">
    <cfRule type="cellIs" dxfId="711" priority="5" stopIfTrue="1" operator="greaterThan">
      <formula>0</formula>
    </cfRule>
  </conditionalFormatting>
  <conditionalFormatting sqref="E25">
    <cfRule type="cellIs" dxfId="710" priority="4" stopIfTrue="1" operator="greaterThan">
      <formula>0</formula>
    </cfRule>
  </conditionalFormatting>
  <conditionalFormatting sqref="E19">
    <cfRule type="cellIs" dxfId="709" priority="3" stopIfTrue="1" operator="greaterThan">
      <formula>0</formula>
    </cfRule>
  </conditionalFormatting>
  <conditionalFormatting sqref="E21">
    <cfRule type="cellIs" dxfId="708" priority="2" stopIfTrue="1" operator="greaterThan">
      <formula>0</formula>
    </cfRule>
  </conditionalFormatting>
  <conditionalFormatting sqref="E23">
    <cfRule type="cellIs" dxfId="707" priority="1" stopIfTrue="1" operator="greaterThan">
      <formula>0</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145</vt:i4>
      </vt:variant>
      <vt:variant>
        <vt:lpstr>Intervalos nomeados</vt:lpstr>
      </vt:variant>
      <vt:variant>
        <vt:i4>23</vt:i4>
      </vt:variant>
    </vt:vector>
  </HeadingPairs>
  <TitlesOfParts>
    <vt:vector size="168" baseType="lpstr">
      <vt:lpstr>Janeiro</vt:lpstr>
      <vt:lpstr>Abril</vt:lpstr>
      <vt:lpstr>Maio</vt:lpstr>
      <vt:lpstr>Junho</vt:lpstr>
      <vt:lpstr>Curso</vt:lpstr>
      <vt:lpstr>Julho</vt:lpstr>
      <vt:lpstr>Agosto</vt:lpstr>
      <vt:lpstr>Setembro</vt:lpstr>
      <vt:lpstr>Outubro</vt:lpstr>
      <vt:lpstr>Novembro</vt:lpstr>
      <vt:lpstr>Dezembro</vt:lpstr>
      <vt:lpstr>Janeiro 07</vt:lpstr>
      <vt:lpstr>Fevereiro 07</vt:lpstr>
      <vt:lpstr>Março 07</vt:lpstr>
      <vt:lpstr>Abril 07</vt:lpstr>
      <vt:lpstr>Maio 07</vt:lpstr>
      <vt:lpstr>Junho 07</vt:lpstr>
      <vt:lpstr>Julho 07</vt:lpstr>
      <vt:lpstr>Agosto 07</vt:lpstr>
      <vt:lpstr>Setembro 07</vt:lpstr>
      <vt:lpstr>Outubro 07</vt:lpstr>
      <vt:lpstr>Novembro 07</vt:lpstr>
      <vt:lpstr>Dezembro 07</vt:lpstr>
      <vt:lpstr>Janeiro 08</vt:lpstr>
      <vt:lpstr>Fevereiro 08</vt:lpstr>
      <vt:lpstr>Março 08</vt:lpstr>
      <vt:lpstr>Abri 08</vt:lpstr>
      <vt:lpstr>Maio 08</vt:lpstr>
      <vt:lpstr>Junho 08</vt:lpstr>
      <vt:lpstr>Julho 08</vt:lpstr>
      <vt:lpstr>Agosto 08</vt:lpstr>
      <vt:lpstr>Setembro 08</vt:lpstr>
      <vt:lpstr>Outubro 08</vt:lpstr>
      <vt:lpstr>Novembro 08</vt:lpstr>
      <vt:lpstr>Dezembro 08</vt:lpstr>
      <vt:lpstr>Janeiro 09</vt:lpstr>
      <vt:lpstr>Fevereiro 09</vt:lpstr>
      <vt:lpstr>Março 09</vt:lpstr>
      <vt:lpstr>Abril 09</vt:lpstr>
      <vt:lpstr>Maio 09</vt:lpstr>
      <vt:lpstr>Junho 09</vt:lpstr>
      <vt:lpstr>Julho 09</vt:lpstr>
      <vt:lpstr>Ago 09</vt:lpstr>
      <vt:lpstr>Set 09</vt:lpstr>
      <vt:lpstr>Out 09</vt:lpstr>
      <vt:lpstr>Nov 09</vt:lpstr>
      <vt:lpstr>Dez 09</vt:lpstr>
      <vt:lpstr>Jan 10</vt:lpstr>
      <vt:lpstr>Fev 10</vt:lpstr>
      <vt:lpstr>Mar 10</vt:lpstr>
      <vt:lpstr>Abr 10</vt:lpstr>
      <vt:lpstr>Mai 10</vt:lpstr>
      <vt:lpstr>Jun10</vt:lpstr>
      <vt:lpstr>Jul10</vt:lpstr>
      <vt:lpstr>Ago10</vt:lpstr>
      <vt:lpstr>Set10</vt:lpstr>
      <vt:lpstr>Out10</vt:lpstr>
      <vt:lpstr>Nov10</vt:lpstr>
      <vt:lpstr>Dez10</vt:lpstr>
      <vt:lpstr>Cotações</vt:lpstr>
      <vt:lpstr>Jan11</vt:lpstr>
      <vt:lpstr>Fev11</vt:lpstr>
      <vt:lpstr>Mar11</vt:lpstr>
      <vt:lpstr>Abr11</vt:lpstr>
      <vt:lpstr>Mai 11</vt:lpstr>
      <vt:lpstr>Jun 11</vt:lpstr>
      <vt:lpstr>Jul 11</vt:lpstr>
      <vt:lpstr>Ago 11</vt:lpstr>
      <vt:lpstr>Set 11</vt:lpstr>
      <vt:lpstr>Out 11</vt:lpstr>
      <vt:lpstr>Nov 11</vt:lpstr>
      <vt:lpstr>Dez 11</vt:lpstr>
      <vt:lpstr>Jan 12</vt:lpstr>
      <vt:lpstr>Fev 12</vt:lpstr>
      <vt:lpstr>Mar 12</vt:lpstr>
      <vt:lpstr>Abr 12</vt:lpstr>
      <vt:lpstr>Mai 12</vt:lpstr>
      <vt:lpstr>Jun 12</vt:lpstr>
      <vt:lpstr>Jul 12</vt:lpstr>
      <vt:lpstr>Ago 12</vt:lpstr>
      <vt:lpstr>Set 12</vt:lpstr>
      <vt:lpstr>Out 12</vt:lpstr>
      <vt:lpstr>Nov 12</vt:lpstr>
      <vt:lpstr>Dez 12</vt:lpstr>
      <vt:lpstr>Jan 13</vt:lpstr>
      <vt:lpstr>Fev13</vt:lpstr>
      <vt:lpstr>Mar13</vt:lpstr>
      <vt:lpstr>Abr 13</vt:lpstr>
      <vt:lpstr>Mai 13</vt:lpstr>
      <vt:lpstr>Jun 13</vt:lpstr>
      <vt:lpstr>Jul 13</vt:lpstr>
      <vt:lpstr>Ago13</vt:lpstr>
      <vt:lpstr>Set 13</vt:lpstr>
      <vt:lpstr>Out13</vt:lpstr>
      <vt:lpstr>Nov13</vt:lpstr>
      <vt:lpstr>Dez13</vt:lpstr>
      <vt:lpstr>Jan14</vt:lpstr>
      <vt:lpstr>Fev14</vt:lpstr>
      <vt:lpstr>Mar14</vt:lpstr>
      <vt:lpstr>Abr14</vt:lpstr>
      <vt:lpstr>Mai14</vt:lpstr>
      <vt:lpstr>Jun14</vt:lpstr>
      <vt:lpstr>Jul14</vt:lpstr>
      <vt:lpstr>Aug14</vt:lpstr>
      <vt:lpstr>Set14</vt:lpstr>
      <vt:lpstr>Out14</vt:lpstr>
      <vt:lpstr>Nov14</vt:lpstr>
      <vt:lpstr>Dez14</vt:lpstr>
      <vt:lpstr>Jan15</vt:lpstr>
      <vt:lpstr>Fev15</vt:lpstr>
      <vt:lpstr>Mar15</vt:lpstr>
      <vt:lpstr>Abr15</vt:lpstr>
      <vt:lpstr>Mai15</vt:lpstr>
      <vt:lpstr>Jun15</vt:lpstr>
      <vt:lpstr>Jul15</vt:lpstr>
      <vt:lpstr>Ago15</vt:lpstr>
      <vt:lpstr>Set15</vt:lpstr>
      <vt:lpstr>Out15</vt:lpstr>
      <vt:lpstr>Nov15</vt:lpstr>
      <vt:lpstr>Dec15</vt:lpstr>
      <vt:lpstr>Jan16</vt:lpstr>
      <vt:lpstr>Feb16</vt:lpstr>
      <vt:lpstr>Mar16</vt:lpstr>
      <vt:lpstr>CardMar16</vt:lpstr>
      <vt:lpstr>Abr16</vt:lpstr>
      <vt:lpstr>CardAbr16</vt:lpstr>
      <vt:lpstr>Mai16</vt:lpstr>
      <vt:lpstr>CardMai16</vt:lpstr>
      <vt:lpstr>Jun16</vt:lpstr>
      <vt:lpstr>CardJun16</vt:lpstr>
      <vt:lpstr>Jul17</vt:lpstr>
      <vt:lpstr>CardJul16</vt:lpstr>
      <vt:lpstr>Ago16</vt:lpstr>
      <vt:lpstr>CardAgo16</vt:lpstr>
      <vt:lpstr>Sep16</vt:lpstr>
      <vt:lpstr>Card Sep16</vt:lpstr>
      <vt:lpstr>Out16</vt:lpstr>
      <vt:lpstr>Card Out16</vt:lpstr>
      <vt:lpstr>Nov16</vt:lpstr>
      <vt:lpstr>Card Nov16</vt:lpstr>
      <vt:lpstr>Dec16</vt:lpstr>
      <vt:lpstr>Card Dez16</vt:lpstr>
      <vt:lpstr>Jan 17</vt:lpstr>
      <vt:lpstr>Card Jan17</vt:lpstr>
      <vt:lpstr>Acoes</vt:lpstr>
      <vt:lpstr>Cotações!Cotações_do_Câmbio_para_Investidores_do_MSN_MoneyCentral</vt:lpstr>
      <vt:lpstr>Cotações!rates</vt:lpstr>
      <vt:lpstr>Cotações!rates_1</vt:lpstr>
      <vt:lpstr>Cotações!rates_10</vt:lpstr>
      <vt:lpstr>Cotações!rates_11</vt:lpstr>
      <vt:lpstr>Cotações!rates_12</vt:lpstr>
      <vt:lpstr>Cotações!rates_13</vt:lpstr>
      <vt:lpstr>Cotações!rates_14</vt:lpstr>
      <vt:lpstr>Cotações!rates_15</vt:lpstr>
      <vt:lpstr>Cotações!rates_16</vt:lpstr>
      <vt:lpstr>Cotações!rates_17</vt:lpstr>
      <vt:lpstr>Cotações!rates_18</vt:lpstr>
      <vt:lpstr>Cotações!rates_19</vt:lpstr>
      <vt:lpstr>Cotações!rates_2</vt:lpstr>
      <vt:lpstr>Cotações!rates_20</vt:lpstr>
      <vt:lpstr>Cotações!rates_21</vt:lpstr>
      <vt:lpstr>Cotações!rates_3</vt:lpstr>
      <vt:lpstr>Cotações!rates_4</vt:lpstr>
      <vt:lpstr>Cotações!rates_5</vt:lpstr>
      <vt:lpstr>Cotações!rates_6</vt:lpstr>
      <vt:lpstr>Cotações!rates_7</vt:lpstr>
      <vt:lpstr>Cotações!rates_8</vt:lpstr>
      <vt:lpstr>Cotações!rates_9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 Pinho</dc:creator>
  <cp:lastModifiedBy>F94CA2F</cp:lastModifiedBy>
  <cp:revision/>
  <dcterms:created xsi:type="dcterms:W3CDTF">2013-12-20T01:12:33Z</dcterms:created>
  <dcterms:modified xsi:type="dcterms:W3CDTF">2017-01-09T17:06:36Z</dcterms:modified>
</cp:coreProperties>
</file>