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董双林\论文\三重困境\三难困境草稿\数据\"/>
    </mc:Choice>
  </mc:AlternateContent>
  <xr:revisionPtr revIDLastSave="0" documentId="13_ncr:1_{A85F6EAE-8A28-40F2-B826-E10354F803A7}" xr6:coauthVersionLast="47" xr6:coauthVersionMax="47" xr10:uidLastSave="{00000000-0000-0000-0000-000000000000}"/>
  <bookViews>
    <workbookView xWindow="-5587" yWindow="-16297" windowWidth="25792" windowHeight="13994" activeTab="1" xr2:uid="{BD8C3E98-8447-4AE9-8712-D5DD013AFC5C}"/>
  </bookViews>
  <sheets>
    <sheet name="Sheet1" sheetId="1" r:id="rId1"/>
    <sheet name="宏观产量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2" l="1"/>
  <c r="K105" i="2"/>
  <c r="K104" i="2"/>
  <c r="J106" i="2"/>
  <c r="I106" i="2"/>
  <c r="H106" i="2"/>
  <c r="E106" i="2"/>
  <c r="D106" i="2"/>
  <c r="C106" i="2"/>
  <c r="B106" i="2"/>
  <c r="J105" i="2"/>
  <c r="I105" i="2"/>
  <c r="H105" i="2"/>
  <c r="E105" i="2"/>
  <c r="D105" i="2"/>
  <c r="C105" i="2"/>
  <c r="B105" i="2"/>
  <c r="G106" i="2"/>
  <c r="G105" i="2"/>
  <c r="G104" i="2"/>
  <c r="F104" i="2" l="1"/>
  <c r="F106" i="2"/>
  <c r="F105" i="2"/>
  <c r="L70" i="2"/>
  <c r="B72" i="2"/>
  <c r="K71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8" i="2" l="1"/>
  <c r="D98" i="2" l="1"/>
  <c r="D96" i="2"/>
  <c r="D97" i="2"/>
  <c r="K89" i="2" l="1"/>
  <c r="K78" i="2"/>
  <c r="L78" i="2" s="1"/>
  <c r="K77" i="2"/>
  <c r="L77" i="2" s="1"/>
  <c r="K76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K112" i="2" s="1"/>
  <c r="H112" i="2"/>
  <c r="G112" i="2"/>
  <c r="F112" i="2"/>
  <c r="E112" i="2"/>
  <c r="D112" i="2"/>
  <c r="C112" i="2"/>
  <c r="B112" i="2"/>
  <c r="J104" i="2"/>
  <c r="I104" i="2"/>
  <c r="H104" i="2"/>
  <c r="E104" i="2"/>
  <c r="D104" i="2"/>
  <c r="C104" i="2"/>
  <c r="B104" i="2"/>
  <c r="J98" i="2"/>
  <c r="I98" i="2"/>
  <c r="H98" i="2"/>
  <c r="G98" i="2"/>
  <c r="F98" i="2"/>
  <c r="E98" i="2"/>
  <c r="C98" i="2"/>
  <c r="K98" i="2" s="1"/>
  <c r="B98" i="2"/>
  <c r="J97" i="2"/>
  <c r="I97" i="2"/>
  <c r="H97" i="2"/>
  <c r="G97" i="2"/>
  <c r="F97" i="2"/>
  <c r="E97" i="2"/>
  <c r="C97" i="2"/>
  <c r="B97" i="2"/>
  <c r="J96" i="2"/>
  <c r="I96" i="2"/>
  <c r="H96" i="2"/>
  <c r="G96" i="2"/>
  <c r="F96" i="2"/>
  <c r="E96" i="2"/>
  <c r="K96" i="2"/>
  <c r="C96" i="2"/>
  <c r="B96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71" i="2"/>
  <c r="J72" i="2" s="1"/>
  <c r="I71" i="2"/>
  <c r="I72" i="2" s="1"/>
  <c r="H71" i="2"/>
  <c r="H72" i="2" s="1"/>
  <c r="G71" i="2"/>
  <c r="G72" i="2" s="1"/>
  <c r="F71" i="2"/>
  <c r="F72" i="2" s="1"/>
  <c r="E71" i="2"/>
  <c r="E72" i="2" s="1"/>
  <c r="D71" i="2"/>
  <c r="D72" i="2" s="1"/>
  <c r="C71" i="2"/>
  <c r="C72" i="2" s="1"/>
  <c r="B71" i="2"/>
  <c r="K70" i="2"/>
  <c r="K63" i="2"/>
  <c r="K62" i="2"/>
  <c r="K56" i="2"/>
  <c r="K55" i="2"/>
  <c r="K50" i="2"/>
  <c r="K49" i="2"/>
  <c r="K48" i="2"/>
  <c r="D44" i="2"/>
  <c r="D43" i="2"/>
  <c r="D42" i="2"/>
  <c r="K80" i="1"/>
  <c r="K78" i="1"/>
  <c r="K79" i="1"/>
  <c r="V12" i="2"/>
  <c r="U12" i="2"/>
  <c r="V11" i="2"/>
  <c r="V10" i="2"/>
  <c r="V9" i="2"/>
  <c r="V8" i="2"/>
  <c r="V7" i="2"/>
  <c r="V6" i="2"/>
  <c r="V5" i="2"/>
  <c r="V4" i="2"/>
  <c r="V3" i="2"/>
  <c r="V2" i="2"/>
  <c r="C29" i="2"/>
  <c r="I29" i="2"/>
  <c r="G38" i="2"/>
  <c r="F38" i="2"/>
  <c r="J72" i="1"/>
  <c r="H72" i="1"/>
  <c r="G72" i="1"/>
  <c r="F72" i="1"/>
  <c r="E72" i="1"/>
  <c r="D72" i="1"/>
  <c r="C72" i="1"/>
  <c r="J73" i="1"/>
  <c r="H73" i="1"/>
  <c r="G73" i="1"/>
  <c r="F73" i="1"/>
  <c r="E73" i="1"/>
  <c r="D73" i="1"/>
  <c r="C73" i="1"/>
  <c r="E71" i="1"/>
  <c r="D71" i="1"/>
  <c r="C71" i="1"/>
  <c r="H71" i="1"/>
  <c r="G71" i="1"/>
  <c r="J71" i="1"/>
  <c r="F71" i="1"/>
  <c r="J69" i="1"/>
  <c r="I69" i="1"/>
  <c r="H69" i="1"/>
  <c r="G69" i="1"/>
  <c r="F69" i="1"/>
  <c r="E69" i="1"/>
  <c r="D69" i="1"/>
  <c r="C69" i="1"/>
  <c r="J68" i="1"/>
  <c r="Y56" i="1" s="1"/>
  <c r="I68" i="1"/>
  <c r="X56" i="1" s="1"/>
  <c r="H68" i="1"/>
  <c r="W56" i="1" s="1"/>
  <c r="G68" i="1"/>
  <c r="F68" i="1"/>
  <c r="U56" i="1" s="1"/>
  <c r="E68" i="1"/>
  <c r="D68" i="1"/>
  <c r="C68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S56" i="1" s="1"/>
  <c r="C65" i="1"/>
  <c r="R56" i="1" s="1"/>
  <c r="J67" i="1"/>
  <c r="I67" i="1"/>
  <c r="H67" i="1"/>
  <c r="G67" i="1"/>
  <c r="F67" i="1"/>
  <c r="E67" i="1"/>
  <c r="D67" i="1"/>
  <c r="C67" i="1"/>
  <c r="T56" i="1"/>
  <c r="J64" i="1"/>
  <c r="I64" i="1"/>
  <c r="H64" i="1"/>
  <c r="G64" i="1"/>
  <c r="F64" i="1"/>
  <c r="E64" i="1"/>
  <c r="D64" i="1"/>
  <c r="C64" i="1"/>
  <c r="G37" i="2"/>
  <c r="F37" i="2"/>
  <c r="F36" i="2"/>
  <c r="G36" i="2"/>
  <c r="B37" i="2"/>
  <c r="C37" i="2"/>
  <c r="D37" i="2"/>
  <c r="E37" i="2"/>
  <c r="E36" i="2"/>
  <c r="D36" i="2"/>
  <c r="C36" i="2"/>
  <c r="B36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Z64" i="1"/>
  <c r="Z63" i="1"/>
  <c r="V56" i="1"/>
  <c r="T47" i="1"/>
  <c r="T48" i="1"/>
  <c r="T46" i="1"/>
  <c r="T45" i="1"/>
  <c r="T44" i="1"/>
  <c r="T43" i="1"/>
  <c r="S47" i="1"/>
  <c r="S48" i="1"/>
  <c r="S46" i="1"/>
  <c r="S44" i="1"/>
  <c r="S45" i="1"/>
  <c r="S43" i="1"/>
  <c r="R47" i="1"/>
  <c r="R48" i="1"/>
  <c r="R46" i="1"/>
  <c r="R45" i="1"/>
  <c r="R44" i="1"/>
  <c r="R43" i="1"/>
  <c r="W47" i="1"/>
  <c r="W48" i="1"/>
  <c r="W46" i="1"/>
  <c r="W44" i="1"/>
  <c r="W45" i="1"/>
  <c r="W43" i="1"/>
  <c r="X48" i="1"/>
  <c r="X47" i="1"/>
  <c r="X46" i="1"/>
  <c r="X44" i="1"/>
  <c r="X45" i="1"/>
  <c r="X43" i="1"/>
  <c r="V48" i="1"/>
  <c r="V47" i="1"/>
  <c r="V46" i="1"/>
  <c r="V45" i="1"/>
  <c r="V44" i="1"/>
  <c r="V43" i="1"/>
  <c r="Y47" i="1"/>
  <c r="Y48" i="1"/>
  <c r="Y46" i="1"/>
  <c r="Y44" i="1"/>
  <c r="Y45" i="1"/>
  <c r="Y43" i="1"/>
  <c r="U47" i="1"/>
  <c r="U48" i="1"/>
  <c r="U46" i="1"/>
  <c r="U44" i="1"/>
  <c r="U45" i="1"/>
  <c r="U43" i="1"/>
  <c r="AH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K91" i="2" l="1"/>
  <c r="L91" i="2" s="1"/>
  <c r="K114" i="2"/>
  <c r="L114" i="2" s="1"/>
  <c r="K90" i="2"/>
  <c r="L90" i="2" s="1"/>
  <c r="L105" i="2"/>
  <c r="K97" i="2"/>
  <c r="L97" i="2" s="1"/>
  <c r="K113" i="2"/>
  <c r="L113" i="2" s="1"/>
  <c r="K65" i="2"/>
  <c r="K64" i="2"/>
  <c r="L98" i="2"/>
  <c r="K72" i="2"/>
  <c r="L106" i="2" l="1"/>
</calcChain>
</file>

<file path=xl/sharedStrings.xml><?xml version="1.0" encoding="utf-8"?>
<sst xmlns="http://schemas.openxmlformats.org/spreadsheetml/2006/main" count="263" uniqueCount="99">
  <si>
    <t>年份</t>
    <phoneticPr fontId="1" type="noConversion"/>
  </si>
  <si>
    <t>淡水养殖</t>
    <phoneticPr fontId="1" type="noConversion"/>
  </si>
  <si>
    <t>海水养殖</t>
    <phoneticPr fontId="1" type="noConversion"/>
  </si>
  <si>
    <t>海洋捕捞</t>
    <phoneticPr fontId="1" type="noConversion"/>
  </si>
  <si>
    <t>远洋捕捞</t>
    <phoneticPr fontId="1" type="noConversion"/>
  </si>
  <si>
    <t>淡水捕捞</t>
    <phoneticPr fontId="1" type="noConversion"/>
  </si>
  <si>
    <t>藻类养殖</t>
    <phoneticPr fontId="1" type="noConversion"/>
  </si>
  <si>
    <t>海水池塘</t>
    <phoneticPr fontId="1" type="noConversion"/>
  </si>
  <si>
    <t>海普网箱</t>
    <phoneticPr fontId="1" type="noConversion"/>
  </si>
  <si>
    <t>深水网箱</t>
    <phoneticPr fontId="1" type="noConversion"/>
  </si>
  <si>
    <t>筏式</t>
    <phoneticPr fontId="1" type="noConversion"/>
  </si>
  <si>
    <t>吊笼</t>
    <phoneticPr fontId="1" type="noConversion"/>
  </si>
  <si>
    <t>底播</t>
    <phoneticPr fontId="1" type="noConversion"/>
  </si>
  <si>
    <t>湖泊</t>
    <phoneticPr fontId="1" type="noConversion"/>
  </si>
  <si>
    <t>水库</t>
    <phoneticPr fontId="1" type="noConversion"/>
  </si>
  <si>
    <t>河沟</t>
    <phoneticPr fontId="1" type="noConversion"/>
  </si>
  <si>
    <t>淡水围栏</t>
    <phoneticPr fontId="1" type="noConversion"/>
  </si>
  <si>
    <t>淡水网箱</t>
    <phoneticPr fontId="1" type="noConversion"/>
  </si>
  <si>
    <t>淡工厂化</t>
    <phoneticPr fontId="1" type="noConversion"/>
  </si>
  <si>
    <t>海工厂化</t>
    <phoneticPr fontId="1" type="noConversion"/>
  </si>
  <si>
    <t>稻田养殖</t>
    <phoneticPr fontId="1" type="noConversion"/>
  </si>
  <si>
    <t>淡水池塘</t>
    <phoneticPr fontId="1" type="noConversion"/>
  </si>
  <si>
    <t>海水鲈</t>
    <phoneticPr fontId="1" type="noConversion"/>
  </si>
  <si>
    <t>海虾蟹</t>
    <phoneticPr fontId="1" type="noConversion"/>
  </si>
  <si>
    <t>FAL</t>
    <phoneticPr fontId="1" type="noConversion"/>
  </si>
  <si>
    <t>湖库投饵</t>
    <phoneticPr fontId="1" type="noConversion"/>
  </si>
  <si>
    <t>近海投饵</t>
    <phoneticPr fontId="1" type="noConversion"/>
  </si>
  <si>
    <t>FEN</t>
    <phoneticPr fontId="1" type="noConversion"/>
  </si>
  <si>
    <t>工厂化</t>
    <phoneticPr fontId="1" type="noConversion"/>
  </si>
  <si>
    <t>RAS</t>
    <phoneticPr fontId="1" type="noConversion"/>
  </si>
  <si>
    <t>远海投饵</t>
    <phoneticPr fontId="1" type="noConversion"/>
  </si>
  <si>
    <t>FOA</t>
    <phoneticPr fontId="1" type="noConversion"/>
  </si>
  <si>
    <t>池塘投饵</t>
    <phoneticPr fontId="1" type="noConversion"/>
  </si>
  <si>
    <t>FAP</t>
    <phoneticPr fontId="1" type="noConversion"/>
  </si>
  <si>
    <t>池塘非饵</t>
    <phoneticPr fontId="1" type="noConversion"/>
  </si>
  <si>
    <t>nFAP</t>
    <phoneticPr fontId="1" type="noConversion"/>
  </si>
  <si>
    <t>稻田养鱼</t>
    <phoneticPr fontId="1" type="noConversion"/>
  </si>
  <si>
    <t>PFA</t>
    <phoneticPr fontId="1" type="noConversion"/>
  </si>
  <si>
    <t>库湖非饵</t>
    <phoneticPr fontId="1" type="noConversion"/>
  </si>
  <si>
    <t>nFAL</t>
    <phoneticPr fontId="1" type="noConversion"/>
  </si>
  <si>
    <t>近海非饵</t>
    <phoneticPr fontId="1" type="noConversion"/>
  </si>
  <si>
    <t>nFEN</t>
    <phoneticPr fontId="1" type="noConversion"/>
  </si>
  <si>
    <t>海水捕捞</t>
    <phoneticPr fontId="1" type="noConversion"/>
  </si>
  <si>
    <t>Years</t>
    <phoneticPr fontId="1" type="noConversion"/>
  </si>
  <si>
    <t>单位：百万吨</t>
    <phoneticPr fontId="1" type="noConversion"/>
  </si>
  <si>
    <t xml:space="preserve"> </t>
    <phoneticPr fontId="1" type="noConversion"/>
  </si>
  <si>
    <t>19年数据拟合</t>
    <phoneticPr fontId="1" type="noConversion"/>
  </si>
  <si>
    <t>10年数据拟合</t>
    <phoneticPr fontId="1" type="noConversion"/>
  </si>
  <si>
    <t>19年数据与10年你和数据平均</t>
    <phoneticPr fontId="1" type="noConversion"/>
  </si>
  <si>
    <t>Mariculture</t>
    <phoneticPr fontId="1" type="noConversion"/>
  </si>
  <si>
    <t>Inland aquaculture</t>
    <phoneticPr fontId="1" type="noConversion"/>
  </si>
  <si>
    <t>Inland fishery</t>
    <phoneticPr fontId="1" type="noConversion"/>
  </si>
  <si>
    <t>Marine fishery</t>
    <phoneticPr fontId="1" type="noConversion"/>
  </si>
  <si>
    <t>Mariculture (-seaweed)</t>
    <phoneticPr fontId="1" type="noConversion"/>
  </si>
  <si>
    <t>2021年产量</t>
    <phoneticPr fontId="1" type="noConversion"/>
  </si>
  <si>
    <t>2050（19</t>
    <phoneticPr fontId="1" type="noConversion"/>
  </si>
  <si>
    <t>2050（10</t>
    <phoneticPr fontId="1" type="noConversion"/>
  </si>
  <si>
    <t>海对数预测</t>
    <phoneticPr fontId="1" type="noConversion"/>
  </si>
  <si>
    <t>淡多项式预测</t>
    <phoneticPr fontId="1" type="noConversion"/>
  </si>
  <si>
    <t>海多项式预测</t>
    <phoneticPr fontId="1" type="noConversion"/>
  </si>
  <si>
    <t>淡对数预测</t>
    <phoneticPr fontId="1" type="noConversion"/>
  </si>
  <si>
    <t>淡水直线</t>
    <phoneticPr fontId="1" type="noConversion"/>
  </si>
  <si>
    <t>海水直线</t>
    <phoneticPr fontId="1" type="noConversion"/>
  </si>
  <si>
    <t>直线</t>
    <phoneticPr fontId="1" type="noConversion"/>
  </si>
  <si>
    <t>最高3.671</t>
    <phoneticPr fontId="1" type="noConversion"/>
  </si>
  <si>
    <t>2050确认</t>
    <phoneticPr fontId="1" type="noConversion"/>
  </si>
  <si>
    <t>2030（10</t>
    <phoneticPr fontId="1" type="noConversion"/>
  </si>
  <si>
    <t>论文作图使用值</t>
    <phoneticPr fontId="1" type="noConversion"/>
  </si>
  <si>
    <t>备注</t>
    <phoneticPr fontId="1" type="noConversion"/>
  </si>
  <si>
    <t>依过去10年直线拟合值</t>
    <phoneticPr fontId="1" type="noConversion"/>
  </si>
  <si>
    <t>Total</t>
    <phoneticPr fontId="1" type="noConversion"/>
  </si>
  <si>
    <t>海水养殖（去藻</t>
    <phoneticPr fontId="1" type="noConversion"/>
  </si>
  <si>
    <t>合计</t>
    <phoneticPr fontId="1" type="noConversion"/>
  </si>
  <si>
    <t>占比</t>
    <phoneticPr fontId="1" type="noConversion"/>
  </si>
  <si>
    <t>2030调整数</t>
    <phoneticPr fontId="1" type="noConversion"/>
  </si>
  <si>
    <t>2030拟合</t>
    <phoneticPr fontId="1" type="noConversion"/>
  </si>
  <si>
    <t>2050拟合</t>
    <phoneticPr fontId="1" type="noConversion"/>
  </si>
  <si>
    <t>2050调整数</t>
    <phoneticPr fontId="1" type="noConversion"/>
  </si>
  <si>
    <t>2021调整数</t>
    <phoneticPr fontId="1" type="noConversion"/>
  </si>
  <si>
    <t>能耗kwh/kg</t>
    <phoneticPr fontId="1" type="noConversion"/>
  </si>
  <si>
    <t>COD g/kg</t>
    <phoneticPr fontId="1" type="noConversion"/>
  </si>
  <si>
    <t>淡水 m3/kg</t>
    <phoneticPr fontId="1" type="noConversion"/>
  </si>
  <si>
    <t>土地 m2/kg</t>
    <phoneticPr fontId="1" type="noConversion"/>
  </si>
  <si>
    <t>million kwh/mt</t>
    <phoneticPr fontId="1" type="noConversion"/>
  </si>
  <si>
    <t>million g/mt</t>
    <phoneticPr fontId="1" type="noConversion"/>
  </si>
  <si>
    <t>million m3/mt</t>
    <phoneticPr fontId="1" type="noConversion"/>
  </si>
  <si>
    <t>million m2/mt</t>
    <phoneticPr fontId="1" type="noConversion"/>
  </si>
  <si>
    <t>产量绘图数据单位百万吨</t>
    <phoneticPr fontId="1" type="noConversion"/>
  </si>
  <si>
    <t>能耗绘图数据 单位：million kwh/mt</t>
    <phoneticPr fontId="1" type="noConversion"/>
  </si>
  <si>
    <t>COD绘图数据 单位：million g/mt</t>
    <phoneticPr fontId="1" type="noConversion"/>
  </si>
  <si>
    <t>淡水绘图数据 单位：million m3/mt</t>
    <phoneticPr fontId="1" type="noConversion"/>
  </si>
  <si>
    <t>土地绘图数据 单位：million m2/mt</t>
    <phoneticPr fontId="1" type="noConversion"/>
  </si>
  <si>
    <t>Total</t>
    <phoneticPr fontId="1" type="noConversion"/>
  </si>
  <si>
    <t>IAS</t>
    <phoneticPr fontId="1" type="noConversion"/>
  </si>
  <si>
    <t>采用10年贝叶斯预测数据</t>
    <phoneticPr fontId="1" type="noConversion"/>
  </si>
  <si>
    <t>依过去10年贝叶斯拟合值</t>
    <phoneticPr fontId="1" type="noConversion"/>
  </si>
  <si>
    <t xml:space="preserve"> </t>
    <phoneticPr fontId="1" type="noConversion"/>
  </si>
  <si>
    <t>淡水投饵池塘产量占总池塘投饵产量的89.32%</t>
    <phoneticPr fontId="1" type="noConversion"/>
  </si>
  <si>
    <t>淡水非投饵池塘产量占总池塘非投饵产量的62.367%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</si>
</sst>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rgb="FF0066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  <color rgb="FF99FF33"/>
      <color rgb="FF996633"/>
      <color rgb="FF339933"/>
      <color rgb="FF0066FF"/>
      <color rgb="FFFF9900"/>
      <color rgb="FF000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599306218909"/>
          <c:y val="3.7036157545233921E-2"/>
          <c:w val="0.87004484936342064"/>
          <c:h val="0.83761162120959165"/>
        </c:manualLayout>
      </c:layout>
      <c:lineChart>
        <c:grouping val="standard"/>
        <c:varyColors val="0"/>
        <c:ser>
          <c:idx val="4"/>
          <c:order val="0"/>
          <c:tx>
            <c:strRef>
              <c:f>Sheet1!$AD$2</c:f>
              <c:strCache>
                <c:ptCount val="1"/>
                <c:pt idx="0">
                  <c:v>FAP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39537521940669"/>
                  <c:y val="3.961609939242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049285498279148"/>
                  <c:y val="8.2239573648352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Sheet1!$AD$3:$AD$21</c:f>
              <c:numCache>
                <c:formatCode>General</c:formatCode>
                <c:ptCount val="19"/>
                <c:pt idx="0">
                  <c:v>10.410145400000001</c:v>
                </c:pt>
                <c:pt idx="1">
                  <c:v>11.452731399999999</c:v>
                </c:pt>
                <c:pt idx="2">
                  <c:v>12.1961808</c:v>
                </c:pt>
                <c:pt idx="3">
                  <c:v>12.988357800000001</c:v>
                </c:pt>
                <c:pt idx="4">
                  <c:v>11.826470800000001</c:v>
                </c:pt>
                <c:pt idx="5">
                  <c:v>12.7131156</c:v>
                </c:pt>
                <c:pt idx="6">
                  <c:v>13.509743600000002</c:v>
                </c:pt>
                <c:pt idx="7">
                  <c:v>14.3487814</c:v>
                </c:pt>
                <c:pt idx="8">
                  <c:v>15.198188200000001</c:v>
                </c:pt>
                <c:pt idx="9">
                  <c:v>16.306782800000001</c:v>
                </c:pt>
                <c:pt idx="10">
                  <c:v>17.3782736</c:v>
                </c:pt>
                <c:pt idx="11">
                  <c:v>18.269641200000002</c:v>
                </c:pt>
                <c:pt idx="12">
                  <c:v>19.122966999999999</c:v>
                </c:pt>
                <c:pt idx="13">
                  <c:v>18.4139634</c:v>
                </c:pt>
                <c:pt idx="14">
                  <c:v>18.765532799999999</c:v>
                </c:pt>
                <c:pt idx="15">
                  <c:v>19.557241600000001</c:v>
                </c:pt>
                <c:pt idx="16">
                  <c:v>19.764433400000001</c:v>
                </c:pt>
                <c:pt idx="17">
                  <c:v>20.208315800000001</c:v>
                </c:pt>
                <c:pt idx="18">
                  <c:v>20.860360400000001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3-42CD-9159-79A9087BF979}"/>
            </c:ext>
          </c:extLst>
        </c:ser>
        <c:ser>
          <c:idx val="5"/>
          <c:order val="1"/>
          <c:tx>
            <c:strRef>
              <c:f>Sheet1!$AE$2</c:f>
              <c:strCache>
                <c:ptCount val="1"/>
                <c:pt idx="0">
                  <c:v>nFAP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486931602720721E-2"/>
                  <c:y val="-6.93099075685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765991286135099"/>
                  <c:y val="-0.10274503328314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Sheet1!$AE$3:$AE$21</c:f>
              <c:numCache>
                <c:formatCode>General</c:formatCode>
                <c:ptCount val="19"/>
                <c:pt idx="0">
                  <c:v>3.2286525999999984</c:v>
                </c:pt>
                <c:pt idx="1">
                  <c:v>3.0657186000000003</c:v>
                </c:pt>
                <c:pt idx="2">
                  <c:v>3.1626191999999982</c:v>
                </c:pt>
                <c:pt idx="3">
                  <c:v>3.4598701999999992</c:v>
                </c:pt>
                <c:pt idx="4">
                  <c:v>3.1019801999999999</c:v>
                </c:pt>
                <c:pt idx="5">
                  <c:v>3.2955774000000009</c:v>
                </c:pt>
                <c:pt idx="6">
                  <c:v>3.8317043999999978</c:v>
                </c:pt>
                <c:pt idx="7">
                  <c:v>4.1067035999999995</c:v>
                </c:pt>
                <c:pt idx="8">
                  <c:v>4.1944168000000026</c:v>
                </c:pt>
                <c:pt idx="9">
                  <c:v>4.4844781999999981</c:v>
                </c:pt>
                <c:pt idx="10">
                  <c:v>4.7904014000000004</c:v>
                </c:pt>
                <c:pt idx="11">
                  <c:v>4.9313127999999971</c:v>
                </c:pt>
                <c:pt idx="12">
                  <c:v>5.1846999999999994</c:v>
                </c:pt>
                <c:pt idx="13">
                  <c:v>4.8471005999999974</c:v>
                </c:pt>
                <c:pt idx="14">
                  <c:v>5.1218181999999999</c:v>
                </c:pt>
                <c:pt idx="15">
                  <c:v>5.0189774000000007</c:v>
                </c:pt>
                <c:pt idx="16">
                  <c:v>5.0396046000000005</c:v>
                </c:pt>
                <c:pt idx="17">
                  <c:v>5.1630731999999995</c:v>
                </c:pt>
                <c:pt idx="18">
                  <c:v>5.4581245999999979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3-42CD-9159-79A9087BF979}"/>
            </c:ext>
          </c:extLst>
        </c:ser>
        <c:ser>
          <c:idx val="6"/>
          <c:order val="2"/>
          <c:tx>
            <c:strRef>
              <c:f>Sheet1!$AF$2</c:f>
              <c:strCache>
                <c:ptCount val="1"/>
                <c:pt idx="0">
                  <c:v>PFA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9288698376430642E-2"/>
                  <c:y val="0.10937024503602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9255489366876752"/>
                  <c:y val="2.3984837453069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Sheet1!$AF$3:$AF$21</c:f>
              <c:numCache>
                <c:formatCode>General</c:formatCode>
                <c:ptCount val="19"/>
                <c:pt idx="0">
                  <c:v>1.023611</c:v>
                </c:pt>
                <c:pt idx="1">
                  <c:v>1.0191570000000001</c:v>
                </c:pt>
                <c:pt idx="2">
                  <c:v>1.0211589999999999</c:v>
                </c:pt>
                <c:pt idx="3">
                  <c:v>1.0537049999999999</c:v>
                </c:pt>
                <c:pt idx="4">
                  <c:v>1.1605510000000001</c:v>
                </c:pt>
                <c:pt idx="5">
                  <c:v>1.1699679999999999</c:v>
                </c:pt>
                <c:pt idx="6">
                  <c:v>1.1626669999999999</c:v>
                </c:pt>
                <c:pt idx="7">
                  <c:v>1.2427319999999999</c:v>
                </c:pt>
                <c:pt idx="8">
                  <c:v>1.199862</c:v>
                </c:pt>
                <c:pt idx="9">
                  <c:v>1.331378</c:v>
                </c:pt>
                <c:pt idx="10">
                  <c:v>1.4504589999999999</c:v>
                </c:pt>
                <c:pt idx="11">
                  <c:v>1.4567190000000001</c:v>
                </c:pt>
                <c:pt idx="12">
                  <c:v>1.558187</c:v>
                </c:pt>
                <c:pt idx="13">
                  <c:v>1.6283609999999999</c:v>
                </c:pt>
                <c:pt idx="14">
                  <c:v>1.9475070000000001</c:v>
                </c:pt>
                <c:pt idx="15">
                  <c:v>2.333269</c:v>
                </c:pt>
                <c:pt idx="16">
                  <c:v>2.9133300000000002</c:v>
                </c:pt>
                <c:pt idx="17">
                  <c:v>3.2491089999999998</c:v>
                </c:pt>
                <c:pt idx="18">
                  <c:v>3.556854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53-42CD-9159-79A9087BF979}"/>
            </c:ext>
          </c:extLst>
        </c:ser>
        <c:ser>
          <c:idx val="7"/>
          <c:order val="3"/>
          <c:tx>
            <c:strRef>
              <c:f>Sheet1!$AG$2</c:f>
              <c:strCache>
                <c:ptCount val="1"/>
                <c:pt idx="0">
                  <c:v>nFAL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984333923751283E-2"/>
                  <c:y val="-1.33892479042082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3065605194397912"/>
                  <c:y val="-2.8048739054335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Sheet1!$AG$3:$AG$21</c:f>
              <c:numCache>
                <c:formatCode>General</c:formatCode>
                <c:ptCount val="19"/>
                <c:pt idx="0">
                  <c:v>1.7121770000000005</c:v>
                </c:pt>
                <c:pt idx="1">
                  <c:v>2.1176050000000006</c:v>
                </c:pt>
                <c:pt idx="2">
                  <c:v>2.2861069999999994</c:v>
                </c:pt>
                <c:pt idx="3">
                  <c:v>2.5046550000000001</c:v>
                </c:pt>
                <c:pt idx="4">
                  <c:v>2.4575020000000003</c:v>
                </c:pt>
                <c:pt idx="5">
                  <c:v>2.477039</c:v>
                </c:pt>
                <c:pt idx="6">
                  <c:v>2.6110759999999997</c:v>
                </c:pt>
                <c:pt idx="7">
                  <c:v>2.7272260000000004</c:v>
                </c:pt>
                <c:pt idx="8">
                  <c:v>3.0667400000000002</c:v>
                </c:pt>
                <c:pt idx="9">
                  <c:v>3.18371</c:v>
                </c:pt>
                <c:pt idx="10">
                  <c:v>3.2871990000000006</c:v>
                </c:pt>
                <c:pt idx="11">
                  <c:v>3.5381480000000001</c:v>
                </c:pt>
                <c:pt idx="12">
                  <c:v>3.6710380000000002</c:v>
                </c:pt>
                <c:pt idx="13">
                  <c:v>3.1564010000000007</c:v>
                </c:pt>
                <c:pt idx="14">
                  <c:v>3.43181</c:v>
                </c:pt>
                <c:pt idx="15">
                  <c:v>3.2521129999999996</c:v>
                </c:pt>
                <c:pt idx="16">
                  <c:v>3.2641100000000001</c:v>
                </c:pt>
                <c:pt idx="17">
                  <c:v>3.302206</c:v>
                </c:pt>
                <c:pt idx="18">
                  <c:v>3.3227449999999998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53-42CD-9159-79A9087BF979}"/>
            </c:ext>
          </c:extLst>
        </c:ser>
        <c:ser>
          <c:idx val="8"/>
          <c:order val="4"/>
          <c:tx>
            <c:strRef>
              <c:f>Sheet1!$AH$2</c:f>
              <c:strCache>
                <c:ptCount val="1"/>
                <c:pt idx="0">
                  <c:v>nFEN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8493466201372519"/>
                  <c:y val="-7.4467233971353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0187317694457913E-2"/>
                  <c:y val="-2.8110479378914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Sheet1!$AH$3:$AH$21</c:f>
              <c:numCache>
                <c:formatCode>General</c:formatCode>
                <c:ptCount val="19"/>
                <c:pt idx="0">
                  <c:v>5.0913300000000001</c:v>
                </c:pt>
                <c:pt idx="1">
                  <c:v>5.2038120000000001</c:v>
                </c:pt>
                <c:pt idx="2">
                  <c:v>5.4260390000000003</c:v>
                </c:pt>
                <c:pt idx="3">
                  <c:v>5.330419</c:v>
                </c:pt>
                <c:pt idx="4">
                  <c:v>4.9086259999999999</c:v>
                </c:pt>
                <c:pt idx="5">
                  <c:v>5.8647019999999994</c:v>
                </c:pt>
                <c:pt idx="6">
                  <c:v>6.8177249999999994</c:v>
                </c:pt>
                <c:pt idx="7">
                  <c:v>7.3795609999999998</c:v>
                </c:pt>
                <c:pt idx="8">
                  <c:v>7.6909300000000007</c:v>
                </c:pt>
                <c:pt idx="9">
                  <c:v>8.1483370000000015</c:v>
                </c:pt>
                <c:pt idx="10">
                  <c:v>9.0190629999999992</c:v>
                </c:pt>
                <c:pt idx="11">
                  <c:v>9.2705410000000015</c:v>
                </c:pt>
                <c:pt idx="12">
                  <c:v>9.720816000000001</c:v>
                </c:pt>
                <c:pt idx="13">
                  <c:v>10.022867999999999</c:v>
                </c:pt>
                <c:pt idx="14">
                  <c:v>10.299436999999999</c:v>
                </c:pt>
                <c:pt idx="15">
                  <c:v>10.372522</c:v>
                </c:pt>
                <c:pt idx="16">
                  <c:v>10.054302999999999</c:v>
                </c:pt>
                <c:pt idx="17">
                  <c:v>10.458924</c:v>
                </c:pt>
                <c:pt idx="18">
                  <c:v>10.792795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53-42CD-9159-79A9087B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11568"/>
        <c:axId val="711514520"/>
      </c:lineChart>
      <c:catAx>
        <c:axId val="711511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514520"/>
        <c:crosses val="autoZero"/>
        <c:auto val="1"/>
        <c:lblAlgn val="ctr"/>
        <c:lblOffset val="100"/>
        <c:noMultiLvlLbl val="0"/>
      </c:catAx>
      <c:valAx>
        <c:axId val="7115145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5115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6431579520017409"/>
          <c:y val="5.1304383088119521E-2"/>
          <c:w val="0.54038976377952752"/>
          <c:h val="0.17963196938663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COD discharge (billion g)</a:t>
            </a:r>
            <a:endParaRPr lang="zh-CN" altLang="en-US" sz="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2163936074194243E-2"/>
          <c:y val="7.8256489918510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812817271862084E-2"/>
          <c:y val="0.18685555555555555"/>
          <c:w val="0.94699543347455262"/>
          <c:h val="0.709883333333333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宏观产量!$B$95</c:f>
              <c:strCache>
                <c:ptCount val="1"/>
                <c:pt idx="0">
                  <c:v>FAL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宏观产量!$B$96:$B$98</c:f>
              <c:numCache>
                <c:formatCode>General</c:formatCode>
                <c:ptCount val="3"/>
                <c:pt idx="0">
                  <c:v>12.9537292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3-41FD-AC30-F29488DE79A1}"/>
            </c:ext>
          </c:extLst>
        </c:ser>
        <c:ser>
          <c:idx val="1"/>
          <c:order val="1"/>
          <c:tx>
            <c:strRef>
              <c:f>宏观产量!$C$95</c:f>
              <c:strCache>
                <c:ptCount val="1"/>
                <c:pt idx="0">
                  <c:v>FEN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宏观产量!$C$96:$C$98</c:f>
              <c:numCache>
                <c:formatCode>General</c:formatCode>
                <c:ptCount val="3"/>
                <c:pt idx="0">
                  <c:v>68.082210399999994</c:v>
                </c:pt>
                <c:pt idx="1">
                  <c:v>97.967771969400005</c:v>
                </c:pt>
                <c:pt idx="2">
                  <c:v>159.29105732000002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3-41FD-AC30-F29488DE79A1}"/>
            </c:ext>
          </c:extLst>
        </c:ser>
        <c:ser>
          <c:idx val="2"/>
          <c:order val="2"/>
          <c:tx>
            <c:strRef>
              <c:f>宏观产量!$D$95</c:f>
              <c:strCache>
                <c:ptCount val="1"/>
                <c:pt idx="0">
                  <c:v>IAS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宏观产量!$D$96:$D$98</c:f>
              <c:numCache>
                <c:formatCode>General</c:formatCode>
                <c:ptCount val="3"/>
                <c:pt idx="0">
                  <c:v>45.800655599999999</c:v>
                </c:pt>
                <c:pt idx="1">
                  <c:v>65.689777639999988</c:v>
                </c:pt>
                <c:pt idx="2">
                  <c:v>115.95645152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3-41FD-AC30-F29488DE79A1}"/>
            </c:ext>
          </c:extLst>
        </c:ser>
        <c:ser>
          <c:idx val="3"/>
          <c:order val="3"/>
          <c:tx>
            <c:strRef>
              <c:f>宏观产量!$E$95</c:f>
              <c:strCache>
                <c:ptCount val="1"/>
                <c:pt idx="0">
                  <c:v>FOA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宏观产量!$E$96:$E$98</c:f>
              <c:numCache>
                <c:formatCode>General</c:formatCode>
                <c:ptCount val="3"/>
                <c:pt idx="0">
                  <c:v>32.303983500000001</c:v>
                </c:pt>
                <c:pt idx="1">
                  <c:v>54.295013920100004</c:v>
                </c:pt>
                <c:pt idx="2">
                  <c:v>112.67666210000002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3-41FD-AC30-F29488DE79A1}"/>
            </c:ext>
          </c:extLst>
        </c:ser>
        <c:ser>
          <c:idx val="4"/>
          <c:order val="4"/>
          <c:tx>
            <c:strRef>
              <c:f>宏观产量!$F$95</c:f>
              <c:strCache>
                <c:ptCount val="1"/>
                <c:pt idx="0">
                  <c:v>FAP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宏观产量!$F$96:$F$98</c:f>
              <c:numCache>
                <c:formatCode>General</c:formatCode>
                <c:ptCount val="3"/>
                <c:pt idx="0">
                  <c:v>793.34332000000006</c:v>
                </c:pt>
                <c:pt idx="1">
                  <c:v>980.03638699999999</c:v>
                </c:pt>
                <c:pt idx="2">
                  <c:v>1337.525783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3-41FD-AC30-F29488DE79A1}"/>
            </c:ext>
          </c:extLst>
        </c:ser>
        <c:ser>
          <c:idx val="5"/>
          <c:order val="5"/>
          <c:tx>
            <c:strRef>
              <c:f>宏观产量!$G$95</c:f>
              <c:strCache>
                <c:ptCount val="1"/>
                <c:pt idx="0">
                  <c:v>nFAP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宏观产量!$G$96:$G$98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3-41FD-AC30-F29488DE79A1}"/>
            </c:ext>
          </c:extLst>
        </c:ser>
        <c:ser>
          <c:idx val="6"/>
          <c:order val="6"/>
          <c:tx>
            <c:strRef>
              <c:f>宏观产量!$H$95</c:f>
              <c:strCache>
                <c:ptCount val="1"/>
                <c:pt idx="0">
                  <c:v>PFA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宏观产量!$H$96:$H$98</c:f>
              <c:numCache>
                <c:formatCode>General</c:formatCode>
                <c:ptCount val="3"/>
                <c:pt idx="0">
                  <c:v>8.6478420000000007</c:v>
                </c:pt>
                <c:pt idx="1">
                  <c:v>14.3402253</c:v>
                </c:pt>
                <c:pt idx="2">
                  <c:v>27.854884600000002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3-41FD-AC30-F29488DE79A1}"/>
            </c:ext>
          </c:extLst>
        </c:ser>
        <c:ser>
          <c:idx val="7"/>
          <c:order val="7"/>
          <c:tx>
            <c:strRef>
              <c:f>宏观产量!$I$95</c:f>
              <c:strCache>
                <c:ptCount val="1"/>
                <c:pt idx="0">
                  <c:v>nFAL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宏观产量!$I$96:$I$98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93-41FD-AC30-F29488DE79A1}"/>
            </c:ext>
          </c:extLst>
        </c:ser>
        <c:ser>
          <c:idx val="8"/>
          <c:order val="8"/>
          <c:tx>
            <c:strRef>
              <c:f>宏观产量!$J$95</c:f>
              <c:strCache>
                <c:ptCount val="1"/>
                <c:pt idx="0">
                  <c:v>nFEN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f>宏观产量!$A$96:$A$98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宏观产量!$J$96:$J$98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93-41FD-AC30-F29488DE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394440"/>
        <c:axId val="727394768"/>
      </c:barChart>
      <c:catAx>
        <c:axId val="72739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394768"/>
        <c:crosses val="autoZero"/>
        <c:auto val="1"/>
        <c:lblAlgn val="ctr"/>
        <c:lblOffset val="100"/>
        <c:noMultiLvlLbl val="0"/>
      </c:catAx>
      <c:valAx>
        <c:axId val="72739476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39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68957638427846"/>
          <c:y val="4.530720454289679E-3"/>
          <c:w val="0.63099124578260546"/>
          <c:h val="9.82153497525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Energy consumption (billion kwh)</a:t>
            </a:r>
            <a:endParaRPr lang="zh-CN" altLang="en-US" sz="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"/>
          <c:y val="0.12130963677114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907310237231363E-2"/>
          <c:y val="0.22197638888888888"/>
          <c:w val="0.95076108631556111"/>
          <c:h val="0.674762500000000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宏观产量!$B$88</c:f>
              <c:strCache>
                <c:ptCount val="1"/>
                <c:pt idx="0">
                  <c:v>FAL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宏观产量!$B$89:$B$91</c:f>
              <c:numCache>
                <c:formatCode>General</c:formatCode>
                <c:ptCount val="3"/>
                <c:pt idx="0">
                  <c:v>1.0549944400000002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C-4D13-8E4F-502CF8101D07}"/>
            </c:ext>
          </c:extLst>
        </c:ser>
        <c:ser>
          <c:idx val="1"/>
          <c:order val="1"/>
          <c:tx>
            <c:strRef>
              <c:f>宏观产量!$C$88</c:f>
              <c:strCache>
                <c:ptCount val="1"/>
                <c:pt idx="0">
                  <c:v>FEN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宏观产量!$C$89:$C$91</c:f>
              <c:numCache>
                <c:formatCode>General</c:formatCode>
                <c:ptCount val="3"/>
                <c:pt idx="0">
                  <c:v>2.2088273599999999</c:v>
                </c:pt>
                <c:pt idx="1">
                  <c:v>3.1784205279600002</c:v>
                </c:pt>
                <c:pt idx="2">
                  <c:v>5.1679644880000009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C-4D13-8E4F-502CF8101D07}"/>
            </c:ext>
          </c:extLst>
        </c:ser>
        <c:ser>
          <c:idx val="2"/>
          <c:order val="2"/>
          <c:tx>
            <c:strRef>
              <c:f>宏观产量!$D$88</c:f>
              <c:strCache>
                <c:ptCount val="1"/>
                <c:pt idx="0">
                  <c:v>IAS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宏观产量!$D$89:$D$91</c:f>
              <c:numCache>
                <c:formatCode>General</c:formatCode>
                <c:ptCount val="3"/>
                <c:pt idx="0">
                  <c:v>6.5667827399999998</c:v>
                </c:pt>
                <c:pt idx="1">
                  <c:v>9.4184350059999993</c:v>
                </c:pt>
                <c:pt idx="2">
                  <c:v>16.625544208000001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C-4D13-8E4F-502CF8101D07}"/>
            </c:ext>
          </c:extLst>
        </c:ser>
        <c:ser>
          <c:idx val="3"/>
          <c:order val="3"/>
          <c:tx>
            <c:strRef>
              <c:f>宏观产量!$E$88</c:f>
              <c:strCache>
                <c:ptCount val="1"/>
                <c:pt idx="0">
                  <c:v>FOA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宏观产量!$E$89:$E$91</c:f>
              <c:numCache>
                <c:formatCode>General</c:formatCode>
                <c:ptCount val="3"/>
                <c:pt idx="0">
                  <c:v>1.1883653999999999</c:v>
                </c:pt>
                <c:pt idx="1">
                  <c:v>1.9973485912400002</c:v>
                </c:pt>
                <c:pt idx="2">
                  <c:v>4.1450320400000003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C-4D13-8E4F-502CF8101D07}"/>
            </c:ext>
          </c:extLst>
        </c:ser>
        <c:ser>
          <c:idx val="4"/>
          <c:order val="4"/>
          <c:tx>
            <c:strRef>
              <c:f>宏观产量!$F$88</c:f>
              <c:strCache>
                <c:ptCount val="1"/>
                <c:pt idx="0">
                  <c:v>FAP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宏观产量!$F$89:$F$91</c:f>
              <c:numCache>
                <c:formatCode>General</c:formatCode>
                <c:ptCount val="3"/>
                <c:pt idx="0">
                  <c:v>8.6081240000000001</c:v>
                </c:pt>
                <c:pt idx="1">
                  <c:v>10.6338259</c:v>
                </c:pt>
                <c:pt idx="2">
                  <c:v>14.5127431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C-4D13-8E4F-502CF8101D07}"/>
            </c:ext>
          </c:extLst>
        </c:ser>
        <c:ser>
          <c:idx val="5"/>
          <c:order val="5"/>
          <c:tx>
            <c:strRef>
              <c:f>宏观产量!$G$88</c:f>
              <c:strCache>
                <c:ptCount val="1"/>
                <c:pt idx="0">
                  <c:v>nFAP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宏观产量!$G$89:$G$91</c:f>
              <c:numCache>
                <c:formatCode>General</c:formatCode>
                <c:ptCount val="3"/>
                <c:pt idx="0">
                  <c:v>2.2523195</c:v>
                </c:pt>
                <c:pt idx="1">
                  <c:v>2.58059941</c:v>
                </c:pt>
                <c:pt idx="2">
                  <c:v>3.2341289299999998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8C-4D13-8E4F-502CF8101D07}"/>
            </c:ext>
          </c:extLst>
        </c:ser>
        <c:ser>
          <c:idx val="6"/>
          <c:order val="6"/>
          <c:tx>
            <c:strRef>
              <c:f>宏观产量!$H$88</c:f>
              <c:strCache>
                <c:ptCount val="1"/>
                <c:pt idx="0">
                  <c:v>PFA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宏观产量!$H$89:$H$91</c:f>
              <c:numCache>
                <c:formatCode>General</c:formatCode>
                <c:ptCount val="3"/>
                <c:pt idx="0">
                  <c:v>6.7437300000000006E-2</c:v>
                </c:pt>
                <c:pt idx="1">
                  <c:v>0.111827445</c:v>
                </c:pt>
                <c:pt idx="2">
                  <c:v>0.21721699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8C-4D13-8E4F-502CF8101D07}"/>
            </c:ext>
          </c:extLst>
        </c:ser>
        <c:ser>
          <c:idx val="7"/>
          <c:order val="7"/>
          <c:tx>
            <c:strRef>
              <c:f>宏观产量!$I$88</c:f>
              <c:strCache>
                <c:ptCount val="1"/>
                <c:pt idx="0">
                  <c:v>nFAL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宏观产量!$I$89:$I$91</c:f>
              <c:numCache>
                <c:formatCode>General</c:formatCode>
                <c:ptCount val="3"/>
                <c:pt idx="0">
                  <c:v>6.2998600000000002E-2</c:v>
                </c:pt>
                <c:pt idx="1">
                  <c:v>6.4847044000000006E-2</c:v>
                </c:pt>
                <c:pt idx="2">
                  <c:v>6.3215656000000009E-2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8C-4D13-8E4F-502CF8101D07}"/>
            </c:ext>
          </c:extLst>
        </c:ser>
        <c:ser>
          <c:idx val="8"/>
          <c:order val="8"/>
          <c:tx>
            <c:strRef>
              <c:f>宏观产量!$J$88</c:f>
              <c:strCache>
                <c:ptCount val="1"/>
                <c:pt idx="0">
                  <c:v>nFEN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f>宏观产量!$A$89:$A$91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宏观产量!$J$89:$J$91</c:f>
              <c:numCache>
                <c:formatCode>General</c:formatCode>
                <c:ptCount val="3"/>
                <c:pt idx="0">
                  <c:v>0.20462900000000003</c:v>
                </c:pt>
                <c:pt idx="1">
                  <c:v>0.26030451000000004</c:v>
                </c:pt>
                <c:pt idx="2">
                  <c:v>0.36126734000000005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8C-4D13-8E4F-502CF810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34117664"/>
        <c:axId val="434117008"/>
      </c:barChart>
      <c:catAx>
        <c:axId val="4341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4117008"/>
        <c:crosses val="autoZero"/>
        <c:auto val="1"/>
        <c:lblAlgn val="ctr"/>
        <c:lblOffset val="100"/>
        <c:noMultiLvlLbl val="0"/>
      </c:catAx>
      <c:valAx>
        <c:axId val="43411700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4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57713675213672"/>
          <c:y val="2.3612500000000002E-2"/>
          <c:w val="0.73005811965811951"/>
          <c:h val="9.8842192023114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Production (million t)</a:t>
            </a:r>
            <a:endParaRPr lang="zh-CN"/>
          </a:p>
        </c:rich>
      </c:tx>
      <c:layout>
        <c:manualLayout>
          <c:xMode val="edge"/>
          <c:yMode val="edge"/>
          <c:x val="1.3226495726495726E-4"/>
          <c:y val="0.1138151970467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26560636430779E-2"/>
          <c:y val="0.20596882031912464"/>
          <c:w val="0.93235888674486433"/>
          <c:h val="0.6647581510410176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宏观产量!$B$75</c:f>
              <c:strCache>
                <c:ptCount val="1"/>
                <c:pt idx="0">
                  <c:v>FAL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宏观产量!$B$76:$B$78</c:f>
              <c:numCache>
                <c:formatCode>General</c:formatCode>
                <c:ptCount val="3"/>
                <c:pt idx="0">
                  <c:v>0.33385900000000002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6-470F-B02B-FEB5A1254152}"/>
            </c:ext>
          </c:extLst>
        </c:ser>
        <c:ser>
          <c:idx val="2"/>
          <c:order val="1"/>
          <c:tx>
            <c:strRef>
              <c:f>宏观产量!$C$75</c:f>
              <c:strCache>
                <c:ptCount val="1"/>
                <c:pt idx="0">
                  <c:v>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宏观产量!$C$76:$C$78</c:f>
              <c:numCache>
                <c:formatCode>General</c:formatCode>
                <c:ptCount val="3"/>
                <c:pt idx="0">
                  <c:v>0.69899599999999995</c:v>
                </c:pt>
                <c:pt idx="1">
                  <c:v>1.005829281</c:v>
                </c:pt>
                <c:pt idx="2">
                  <c:v>1.6354318000000001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6-470F-B02B-FEB5A1254152}"/>
            </c:ext>
          </c:extLst>
        </c:ser>
        <c:ser>
          <c:idx val="3"/>
          <c:order val="2"/>
          <c:tx>
            <c:strRef>
              <c:f>宏观产量!$D$75</c:f>
              <c:strCache>
                <c:ptCount val="1"/>
                <c:pt idx="0">
                  <c:v>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宏观产量!$D$76:$D$78</c:f>
              <c:numCache>
                <c:formatCode>General</c:formatCode>
                <c:ptCount val="3"/>
                <c:pt idx="0">
                  <c:v>0.75828899999999999</c:v>
                </c:pt>
                <c:pt idx="1">
                  <c:v>1.0875790999999999</c:v>
                </c:pt>
                <c:pt idx="2">
                  <c:v>1.9198088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6-470F-B02B-FEB5A1254152}"/>
            </c:ext>
          </c:extLst>
        </c:ser>
        <c:ser>
          <c:idx val="4"/>
          <c:order val="3"/>
          <c:tx>
            <c:strRef>
              <c:f>宏观产量!$E$75</c:f>
              <c:strCache>
                <c:ptCount val="1"/>
                <c:pt idx="0">
                  <c:v>FOA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宏观产量!$E$76:$E$78</c:f>
              <c:numCache>
                <c:formatCode>General</c:formatCode>
                <c:ptCount val="3"/>
                <c:pt idx="0">
                  <c:v>0.37606499999999998</c:v>
                </c:pt>
                <c:pt idx="1">
                  <c:v>0.63207233900000004</c:v>
                </c:pt>
                <c:pt idx="2">
                  <c:v>1.3117190000000001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6-470F-B02B-FEB5A1254152}"/>
            </c:ext>
          </c:extLst>
        </c:ser>
        <c:ser>
          <c:idx val="5"/>
          <c:order val="4"/>
          <c:tx>
            <c:strRef>
              <c:f>宏观产量!$F$75</c:f>
              <c:strCache>
                <c:ptCount val="1"/>
                <c:pt idx="0">
                  <c:v>FAP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宏观产量!$F$76:$F$78</c:f>
              <c:numCache>
                <c:formatCode>General</c:formatCode>
                <c:ptCount val="3"/>
                <c:pt idx="0">
                  <c:v>23.2652</c:v>
                </c:pt>
                <c:pt idx="1">
                  <c:v>28.740069999999999</c:v>
                </c:pt>
                <c:pt idx="2">
                  <c:v>39.22363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A6-470F-B02B-FEB5A1254152}"/>
            </c:ext>
          </c:extLst>
        </c:ser>
        <c:ser>
          <c:idx val="6"/>
          <c:order val="5"/>
          <c:tx>
            <c:strRef>
              <c:f>宏观产量!$G$75</c:f>
              <c:strCache>
                <c:ptCount val="1"/>
                <c:pt idx="0">
                  <c:v>nFAP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宏观产量!$G$76:$G$78</c:f>
              <c:numCache>
                <c:formatCode>General</c:formatCode>
                <c:ptCount val="3"/>
                <c:pt idx="0">
                  <c:v>6.0873499999999998</c:v>
                </c:pt>
                <c:pt idx="1">
                  <c:v>6.9745929999999996</c:v>
                </c:pt>
                <c:pt idx="2">
                  <c:v>8.7408889999999992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6-470F-B02B-FEB5A1254152}"/>
            </c:ext>
          </c:extLst>
        </c:ser>
        <c:ser>
          <c:idx val="7"/>
          <c:order val="6"/>
          <c:tx>
            <c:strRef>
              <c:f>宏观产量!$H$75</c:f>
              <c:strCache>
                <c:ptCount val="1"/>
                <c:pt idx="0">
                  <c:v>PFA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宏观产量!$H$76:$H$78</c:f>
              <c:numCache>
                <c:formatCode>General</c:formatCode>
                <c:ptCount val="3"/>
                <c:pt idx="0">
                  <c:v>3.9668999999999999</c:v>
                </c:pt>
                <c:pt idx="1">
                  <c:v>6.5780849999999997</c:v>
                </c:pt>
                <c:pt idx="2">
                  <c:v>12.777469999999999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A6-470F-B02B-FEB5A1254152}"/>
            </c:ext>
          </c:extLst>
        </c:ser>
        <c:ser>
          <c:idx val="8"/>
          <c:order val="7"/>
          <c:tx>
            <c:strRef>
              <c:f>宏观产量!$I$75</c:f>
              <c:strCache>
                <c:ptCount val="1"/>
                <c:pt idx="0">
                  <c:v>nFAL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宏观产量!$I$76:$I$78</c:f>
              <c:numCache>
                <c:formatCode>General</c:formatCode>
                <c:ptCount val="3"/>
                <c:pt idx="0">
                  <c:v>3.7058</c:v>
                </c:pt>
                <c:pt idx="1">
                  <c:v>3.8145319999999998</c:v>
                </c:pt>
                <c:pt idx="2">
                  <c:v>3.7185679999999999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A6-470F-B02B-FEB5A1254152}"/>
            </c:ext>
          </c:extLst>
        </c:ser>
        <c:ser>
          <c:idx val="9"/>
          <c:order val="8"/>
          <c:tx>
            <c:strRef>
              <c:f>宏观产量!$J$75</c:f>
              <c:strCache>
                <c:ptCount val="1"/>
                <c:pt idx="0">
                  <c:v>nFEN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宏观产量!$A$76:$A$78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宏观产量!$J$76:$J$78</c:f>
              <c:numCache>
                <c:formatCode>General</c:formatCode>
                <c:ptCount val="3"/>
                <c:pt idx="0">
                  <c:v>12.037000000000001</c:v>
                </c:pt>
                <c:pt idx="1">
                  <c:v>15.31203</c:v>
                </c:pt>
                <c:pt idx="2">
                  <c:v>21.25102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6-470F-B02B-FEB5A125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5941056"/>
        <c:axId val="785942040"/>
      </c:barChart>
      <c:catAx>
        <c:axId val="78594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85942040"/>
        <c:crosses val="autoZero"/>
        <c:auto val="1"/>
        <c:lblAlgn val="ctr"/>
        <c:lblOffset val="100"/>
        <c:tickLblSkip val="1"/>
        <c:noMultiLvlLbl val="0"/>
      </c:catAx>
      <c:valAx>
        <c:axId val="785942040"/>
        <c:scaling>
          <c:orientation val="minMax"/>
          <c:max val="9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8594105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81880341880343"/>
          <c:y val="2.7385100107829675E-2"/>
          <c:w val="0.6164015275027358"/>
          <c:h val="9.8332641864702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0442207257639"/>
          <c:y val="2.5629555504076484E-2"/>
          <c:w val="0.83390507436570427"/>
          <c:h val="0.79132691746864992"/>
        </c:manualLayout>
      </c:layout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Sheet1!$Z$3:$Z$21</c:f>
              <c:numCache>
                <c:formatCode>General</c:formatCode>
                <c:ptCount val="19"/>
                <c:pt idx="0">
                  <c:v>1.180998</c:v>
                </c:pt>
                <c:pt idx="1">
                  <c:v>1.080084</c:v>
                </c:pt>
                <c:pt idx="2">
                  <c:v>1.177392</c:v>
                </c:pt>
                <c:pt idx="3">
                  <c:v>1.361837</c:v>
                </c:pt>
                <c:pt idx="4">
                  <c:v>1.407573</c:v>
                </c:pt>
                <c:pt idx="5">
                  <c:v>1.394584</c:v>
                </c:pt>
                <c:pt idx="6">
                  <c:v>1.6002709999999998</c:v>
                </c:pt>
                <c:pt idx="7">
                  <c:v>1.6538330000000001</c:v>
                </c:pt>
                <c:pt idx="8">
                  <c:v>1.5677889999999999</c:v>
                </c:pt>
                <c:pt idx="9">
                  <c:v>1.7689569999999999</c:v>
                </c:pt>
                <c:pt idx="10">
                  <c:v>1.8836349999999999</c:v>
                </c:pt>
                <c:pt idx="11">
                  <c:v>1.8790629999999999</c:v>
                </c:pt>
                <c:pt idx="12">
                  <c:v>1.8608100000000001</c:v>
                </c:pt>
                <c:pt idx="13">
                  <c:v>1.6505289999999999</c:v>
                </c:pt>
                <c:pt idx="14">
                  <c:v>1.1174029999999999</c:v>
                </c:pt>
                <c:pt idx="15">
                  <c:v>0.67509700000000006</c:v>
                </c:pt>
                <c:pt idx="16">
                  <c:v>0.46871600000000002</c:v>
                </c:pt>
                <c:pt idx="17">
                  <c:v>0.35790899999999998</c:v>
                </c:pt>
                <c:pt idx="18">
                  <c:v>0.29935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7-477B-9268-444AE0CFCC3F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FEN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9219821269340316"/>
                  <c:y val="-0.1580843508754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269514105642069E-2"/>
                  <c:y val="-9.2729187071678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Sheet1!$AA$3:$AA$21</c:f>
              <c:numCache>
                <c:formatCode>General</c:formatCode>
                <c:ptCount val="19"/>
                <c:pt idx="0">
                  <c:v>0.21484200000000001</c:v>
                </c:pt>
                <c:pt idx="1">
                  <c:v>0.244556</c:v>
                </c:pt>
                <c:pt idx="2">
                  <c:v>0.26660400000000001</c:v>
                </c:pt>
                <c:pt idx="3">
                  <c:v>0.28372799999999998</c:v>
                </c:pt>
                <c:pt idx="4">
                  <c:v>0.27561600000000003</c:v>
                </c:pt>
                <c:pt idx="5">
                  <c:v>0.26993699999999998</c:v>
                </c:pt>
                <c:pt idx="6">
                  <c:v>0.32460600000000001</c:v>
                </c:pt>
                <c:pt idx="7">
                  <c:v>0.324882</c:v>
                </c:pt>
                <c:pt idx="8">
                  <c:v>0.34838599999999997</c:v>
                </c:pt>
                <c:pt idx="9">
                  <c:v>0.39351000000000003</c:v>
                </c:pt>
                <c:pt idx="10">
                  <c:v>0.40000999999999998</c:v>
                </c:pt>
                <c:pt idx="11">
                  <c:v>0.43737300000000001</c:v>
                </c:pt>
                <c:pt idx="12">
                  <c:v>0.46662399999999998</c:v>
                </c:pt>
                <c:pt idx="13">
                  <c:v>0.48516900000000002</c:v>
                </c:pt>
                <c:pt idx="14">
                  <c:v>0.56733299999999998</c:v>
                </c:pt>
                <c:pt idx="15">
                  <c:v>0.59456200000000003</c:v>
                </c:pt>
                <c:pt idx="16">
                  <c:v>0.55031699999999995</c:v>
                </c:pt>
                <c:pt idx="17">
                  <c:v>0.56511199999999995</c:v>
                </c:pt>
                <c:pt idx="18">
                  <c:v>0.62674399999999997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7-477B-9268-444AE0CFCC3F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1620100763764651E-2"/>
                  <c:y val="2.06391299541715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684762603528061"/>
                  <c:y val="-3.6694683734712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Sheet1!$AB$3:$AB$21</c:f>
              <c:numCache>
                <c:formatCode>General</c:formatCode>
                <c:ptCount val="19"/>
                <c:pt idx="0">
                  <c:v>0.11917</c:v>
                </c:pt>
                <c:pt idx="1">
                  <c:v>0.14419999999999999</c:v>
                </c:pt>
                <c:pt idx="2">
                  <c:v>0.203037</c:v>
                </c:pt>
                <c:pt idx="3">
                  <c:v>0.21143499999999998</c:v>
                </c:pt>
                <c:pt idx="4">
                  <c:v>0.22182099999999999</c:v>
                </c:pt>
                <c:pt idx="5">
                  <c:v>0.21693000000000001</c:v>
                </c:pt>
                <c:pt idx="6">
                  <c:v>0.26175000000000004</c:v>
                </c:pt>
                <c:pt idx="7">
                  <c:v>0.281829</c:v>
                </c:pt>
                <c:pt idx="8">
                  <c:v>0.295649</c:v>
                </c:pt>
                <c:pt idx="9">
                  <c:v>0.36283299999999996</c:v>
                </c:pt>
                <c:pt idx="10">
                  <c:v>0.385542</c:v>
                </c:pt>
                <c:pt idx="11">
                  <c:v>0.36775800000000003</c:v>
                </c:pt>
                <c:pt idx="12">
                  <c:v>0.394119</c:v>
                </c:pt>
                <c:pt idx="13">
                  <c:v>0.38074999999999998</c:v>
                </c:pt>
                <c:pt idx="14">
                  <c:v>0.42953399999999997</c:v>
                </c:pt>
                <c:pt idx="15">
                  <c:v>0.468829</c:v>
                </c:pt>
                <c:pt idx="16">
                  <c:v>0.54227999999999998</c:v>
                </c:pt>
                <c:pt idx="17">
                  <c:v>0.62792800000000004</c:v>
                </c:pt>
                <c:pt idx="18">
                  <c:v>0.67990799999999996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7-477B-9268-444AE0CFCC3F}"/>
            </c:ext>
          </c:extLst>
        </c:ser>
        <c:ser>
          <c:idx val="3"/>
          <c:order val="3"/>
          <c:tx>
            <c:strRef>
              <c:f>Sheet1!$AC$2</c:f>
              <c:strCache>
                <c:ptCount val="1"/>
                <c:pt idx="0">
                  <c:v>FOA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725096758197509E-2"/>
                  <c:y val="4.8462660251643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8980125519707328"/>
                  <c:y val="2.7724741579363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Sheet1!$AC$3:$AC$21</c:f>
              <c:numCache>
                <c:formatCode>General</c:formatCode>
                <c:ptCount val="19"/>
                <c:pt idx="0">
                  <c:v>1.3022000000000001E-2</c:v>
                </c:pt>
                <c:pt idx="1">
                  <c:v>1.6244999999999999E-2</c:v>
                </c:pt>
                <c:pt idx="2">
                  <c:v>2.0697E-2</c:v>
                </c:pt>
                <c:pt idx="3">
                  <c:v>5.8659000000000003E-2</c:v>
                </c:pt>
                <c:pt idx="4">
                  <c:v>4.0798000000000001E-2</c:v>
                </c:pt>
                <c:pt idx="5">
                  <c:v>3.5673000000000003E-2</c:v>
                </c:pt>
                <c:pt idx="6">
                  <c:v>5.9121E-2</c:v>
                </c:pt>
                <c:pt idx="7">
                  <c:v>5.5516999999999997E-2</c:v>
                </c:pt>
                <c:pt idx="8">
                  <c:v>5.6189999999999997E-2</c:v>
                </c:pt>
                <c:pt idx="9">
                  <c:v>7.0973999999999995E-2</c:v>
                </c:pt>
                <c:pt idx="10">
                  <c:v>7.3885000000000006E-2</c:v>
                </c:pt>
                <c:pt idx="11">
                  <c:v>8.8736999999999996E-2</c:v>
                </c:pt>
                <c:pt idx="12">
                  <c:v>0.10573100000000001</c:v>
                </c:pt>
                <c:pt idx="13">
                  <c:v>0.11708499999999999</c:v>
                </c:pt>
                <c:pt idx="14">
                  <c:v>0.13503200000000001</c:v>
                </c:pt>
                <c:pt idx="15">
                  <c:v>0.153978</c:v>
                </c:pt>
                <c:pt idx="16">
                  <c:v>0.20519799999999999</c:v>
                </c:pt>
                <c:pt idx="17">
                  <c:v>0.29311999999999999</c:v>
                </c:pt>
                <c:pt idx="18">
                  <c:v>0.33719300000000002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7-477B-9268-444AE0CF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19400"/>
        <c:axId val="636114480"/>
      </c:lineChart>
      <c:catAx>
        <c:axId val="636119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4480"/>
        <c:crosses val="autoZero"/>
        <c:auto val="1"/>
        <c:lblAlgn val="ctr"/>
        <c:lblOffset val="100"/>
        <c:noMultiLvlLbl val="0"/>
      </c:catAx>
      <c:valAx>
        <c:axId val="636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11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9125109361327"/>
          <c:y val="4.2244823563721209E-2"/>
          <c:w val="0.45723972003499569"/>
          <c:h val="0.101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海水养殖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12.533061</c:v>
                </c:pt>
                <c:pt idx="1">
                  <c:v>13.167049</c:v>
                </c:pt>
                <c:pt idx="2">
                  <c:v>13.847847</c:v>
                </c:pt>
                <c:pt idx="3">
                  <c:v>12.641565999999999</c:v>
                </c:pt>
                <c:pt idx="4">
                  <c:v>13.073399999999999</c:v>
                </c:pt>
                <c:pt idx="5">
                  <c:v>13.403236</c:v>
                </c:pt>
                <c:pt idx="6">
                  <c:v>14.05222</c:v>
                </c:pt>
                <c:pt idx="7">
                  <c:v>14.823008</c:v>
                </c:pt>
                <c:pt idx="8">
                  <c:v>15.513292</c:v>
                </c:pt>
                <c:pt idx="9">
                  <c:v>16.438105</c:v>
                </c:pt>
                <c:pt idx="10">
                  <c:v>17.392453</c:v>
                </c:pt>
                <c:pt idx="11">
                  <c:v>18.126480999999998</c:v>
                </c:pt>
                <c:pt idx="12">
                  <c:v>18.756277000000001</c:v>
                </c:pt>
                <c:pt idx="13">
                  <c:v>19.153079000000002</c:v>
                </c:pt>
                <c:pt idx="14">
                  <c:v>20.006972999999999</c:v>
                </c:pt>
                <c:pt idx="15">
                  <c:v>20.312206</c:v>
                </c:pt>
                <c:pt idx="16">
                  <c:v>20.653286999999999</c:v>
                </c:pt>
                <c:pt idx="17">
                  <c:v>21.353076000000001</c:v>
                </c:pt>
                <c:pt idx="18">
                  <c:v>22.111374000000001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6-4DAE-9027-26211FFEAF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淡水养殖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17.742733999999999</c:v>
                </c:pt>
                <c:pt idx="1">
                  <c:v>18.919972000000001</c:v>
                </c:pt>
                <c:pt idx="2">
                  <c:v>20.084654</c:v>
                </c:pt>
                <c:pt idx="3">
                  <c:v>18.535920000000001</c:v>
                </c:pt>
                <c:pt idx="4">
                  <c:v>19.709906</c:v>
                </c:pt>
                <c:pt idx="5">
                  <c:v>20.724976999999999</c:v>
                </c:pt>
                <c:pt idx="6">
                  <c:v>22.164605999999999</c:v>
                </c:pt>
                <c:pt idx="7">
                  <c:v>23.465343000000001</c:v>
                </c:pt>
                <c:pt idx="8">
                  <c:v>24.719338</c:v>
                </c:pt>
                <c:pt idx="9">
                  <c:v>26.445447999999999</c:v>
                </c:pt>
                <c:pt idx="10">
                  <c:v>28.024349000000001</c:v>
                </c:pt>
                <c:pt idx="11">
                  <c:v>29.357590999999999</c:v>
                </c:pt>
                <c:pt idx="12">
                  <c:v>30.622734999999999</c:v>
                </c:pt>
                <c:pt idx="13">
                  <c:v>28.778880999999998</c:v>
                </c:pt>
                <c:pt idx="14">
                  <c:v>29.05293</c:v>
                </c:pt>
                <c:pt idx="15">
                  <c:v>29.598383999999999</c:v>
                </c:pt>
                <c:pt idx="16">
                  <c:v>30.137440999999999</c:v>
                </c:pt>
                <c:pt idx="17">
                  <c:v>30.888912000000001</c:v>
                </c:pt>
                <c:pt idx="18">
                  <c:v>31.832675999999999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6-4DAE-9027-26211FFEAF30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淡水捕捞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2.462148</c:v>
                </c:pt>
                <c:pt idx="1">
                  <c:v>2.4197920000000002</c:v>
                </c:pt>
                <c:pt idx="2">
                  <c:v>2.5510449999999998</c:v>
                </c:pt>
                <c:pt idx="3">
                  <c:v>2.2038139999999999</c:v>
                </c:pt>
                <c:pt idx="4">
                  <c:v>2.2564160000000002</c:v>
                </c:pt>
                <c:pt idx="5">
                  <c:v>2.2481939999999998</c:v>
                </c:pt>
                <c:pt idx="6">
                  <c:v>2.183878</c:v>
                </c:pt>
                <c:pt idx="7">
                  <c:v>2.2893690000000002</c:v>
                </c:pt>
                <c:pt idx="8">
                  <c:v>2.2322649999999999</c:v>
                </c:pt>
                <c:pt idx="9">
                  <c:v>2.2978749999999999</c:v>
                </c:pt>
                <c:pt idx="10">
                  <c:v>2.3074270000000001</c:v>
                </c:pt>
                <c:pt idx="11">
                  <c:v>2.2954129999999999</c:v>
                </c:pt>
                <c:pt idx="12">
                  <c:v>2.2776649999999998</c:v>
                </c:pt>
                <c:pt idx="13">
                  <c:v>2.003333</c:v>
                </c:pt>
                <c:pt idx="14">
                  <c:v>2.1829730000000001</c:v>
                </c:pt>
                <c:pt idx="15">
                  <c:v>1.9638709999999999</c:v>
                </c:pt>
                <c:pt idx="16">
                  <c:v>1.841221</c:v>
                </c:pt>
                <c:pt idx="17">
                  <c:v>1.457503</c:v>
                </c:pt>
                <c:pt idx="18">
                  <c:v>1.197835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6-4DAE-9027-26211FFEAF30}"/>
            </c:ext>
          </c:extLst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海水捕捞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14.323121</c:v>
                </c:pt>
                <c:pt idx="1">
                  <c:v>14.510858000000001</c:v>
                </c:pt>
                <c:pt idx="2">
                  <c:v>14.532984000000001</c:v>
                </c:pt>
                <c:pt idx="3">
                  <c:v>12.454668</c:v>
                </c:pt>
                <c:pt idx="4">
                  <c:v>12.43548</c:v>
                </c:pt>
                <c:pt idx="5">
                  <c:v>12.579579000000001</c:v>
                </c:pt>
                <c:pt idx="6">
                  <c:v>12.763335</c:v>
                </c:pt>
                <c:pt idx="7">
                  <c:v>13.152303999999999</c:v>
                </c:pt>
                <c:pt idx="8">
                  <c:v>13.567195</c:v>
                </c:pt>
                <c:pt idx="9">
                  <c:v>13.895332</c:v>
                </c:pt>
                <c:pt idx="10">
                  <c:v>13.995799999999999</c:v>
                </c:pt>
                <c:pt idx="11">
                  <c:v>14.835688999999999</c:v>
                </c:pt>
                <c:pt idx="12">
                  <c:v>15.339811000000001</c:v>
                </c:pt>
                <c:pt idx="13">
                  <c:v>13.859541</c:v>
                </c:pt>
                <c:pt idx="14">
                  <c:v>13.210402999999999</c:v>
                </c:pt>
                <c:pt idx="15">
                  <c:v>12.702097</c:v>
                </c:pt>
                <c:pt idx="16">
                  <c:v>12.171666999999999</c:v>
                </c:pt>
                <c:pt idx="17">
                  <c:v>11.790678</c:v>
                </c:pt>
                <c:pt idx="18">
                  <c:v>11.761059999999999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6-4DAE-9027-26211FFE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04680"/>
        <c:axId val="711500416"/>
      </c:lineChart>
      <c:catAx>
        <c:axId val="711504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500416"/>
        <c:crosses val="autoZero"/>
        <c:auto val="1"/>
        <c:lblAlgn val="ctr"/>
        <c:lblOffset val="100"/>
        <c:noMultiLvlLbl val="0"/>
      </c:catAx>
      <c:valAx>
        <c:axId val="7115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15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33333333333333"/>
          <c:y val="4.6874453193350825E-2"/>
          <c:w val="0.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0749500893513"/>
          <c:y val="7.1237506509423343E-2"/>
          <c:w val="0.80972423788065873"/>
          <c:h val="0.8535869741945975"/>
        </c:manualLayout>
      </c:layout>
      <c:lineChart>
        <c:grouping val="standard"/>
        <c:varyColors val="0"/>
        <c:ser>
          <c:idx val="4"/>
          <c:order val="0"/>
          <c:tx>
            <c:strRef>
              <c:f>Sheet1!$AD$2</c:f>
              <c:strCache>
                <c:ptCount val="1"/>
                <c:pt idx="0">
                  <c:v>FAP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9520210724701446"/>
                  <c:y val="0.14143038513009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9226524820626E-3"/>
                  <c:y val="0.14635193400458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Sheet1!$AD$12:$AD$21</c:f>
              <c:numCache>
                <c:formatCode>General</c:formatCode>
                <c:ptCount val="10"/>
                <c:pt idx="0">
                  <c:v>16.306782800000001</c:v>
                </c:pt>
                <c:pt idx="1">
                  <c:v>17.3782736</c:v>
                </c:pt>
                <c:pt idx="2">
                  <c:v>18.269641200000002</c:v>
                </c:pt>
                <c:pt idx="3">
                  <c:v>19.122966999999999</c:v>
                </c:pt>
                <c:pt idx="4">
                  <c:v>18.4139634</c:v>
                </c:pt>
                <c:pt idx="5">
                  <c:v>18.765532799999999</c:v>
                </c:pt>
                <c:pt idx="6">
                  <c:v>19.557241600000001</c:v>
                </c:pt>
                <c:pt idx="7">
                  <c:v>19.764433400000001</c:v>
                </c:pt>
                <c:pt idx="8">
                  <c:v>20.208315800000001</c:v>
                </c:pt>
                <c:pt idx="9">
                  <c:v>20.860360400000001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F-47D5-8388-F5D27002DA72}"/>
            </c:ext>
          </c:extLst>
        </c:ser>
        <c:ser>
          <c:idx val="5"/>
          <c:order val="1"/>
          <c:tx>
            <c:strRef>
              <c:f>Sheet1!$AE$2</c:f>
              <c:strCache>
                <c:ptCount val="1"/>
                <c:pt idx="0">
                  <c:v>nFAP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9544403640292716"/>
                  <c:y val="-7.5128975176951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56234685703238E-2"/>
                  <c:y val="-6.8564948659156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Sheet1!$AE$12:$AE$21</c:f>
              <c:numCache>
                <c:formatCode>General</c:formatCode>
                <c:ptCount val="10"/>
                <c:pt idx="0">
                  <c:v>4.4844781999999981</c:v>
                </c:pt>
                <c:pt idx="1">
                  <c:v>4.7904014000000004</c:v>
                </c:pt>
                <c:pt idx="2">
                  <c:v>4.9313127999999971</c:v>
                </c:pt>
                <c:pt idx="3">
                  <c:v>5.1846999999999994</c:v>
                </c:pt>
                <c:pt idx="4">
                  <c:v>4.8471005999999974</c:v>
                </c:pt>
                <c:pt idx="5">
                  <c:v>5.1218181999999999</c:v>
                </c:pt>
                <c:pt idx="6">
                  <c:v>5.0189774000000007</c:v>
                </c:pt>
                <c:pt idx="7">
                  <c:v>5.0396046000000005</c:v>
                </c:pt>
                <c:pt idx="8">
                  <c:v>5.1630731999999995</c:v>
                </c:pt>
                <c:pt idx="9">
                  <c:v>5.4581245999999979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F-47D5-8388-F5D27002DA72}"/>
            </c:ext>
          </c:extLst>
        </c:ser>
        <c:ser>
          <c:idx val="6"/>
          <c:order val="2"/>
          <c:tx>
            <c:strRef>
              <c:f>Sheet1!$AF$2</c:f>
              <c:strCache>
                <c:ptCount val="1"/>
                <c:pt idx="0">
                  <c:v>PFA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129675924891089"/>
                  <c:y val="8.64910081813583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79795782720794E-4"/>
                  <c:y val="8.7988485694347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Sheet1!$AF$12:$AF$21</c:f>
              <c:numCache>
                <c:formatCode>General</c:formatCode>
                <c:ptCount val="10"/>
                <c:pt idx="0">
                  <c:v>1.331378</c:v>
                </c:pt>
                <c:pt idx="1">
                  <c:v>1.4504589999999999</c:v>
                </c:pt>
                <c:pt idx="2">
                  <c:v>1.4567190000000001</c:v>
                </c:pt>
                <c:pt idx="3">
                  <c:v>1.558187</c:v>
                </c:pt>
                <c:pt idx="4">
                  <c:v>1.6283609999999999</c:v>
                </c:pt>
                <c:pt idx="5">
                  <c:v>1.9475070000000001</c:v>
                </c:pt>
                <c:pt idx="6">
                  <c:v>2.333269</c:v>
                </c:pt>
                <c:pt idx="7">
                  <c:v>2.9133300000000002</c:v>
                </c:pt>
                <c:pt idx="8">
                  <c:v>3.2491089999999998</c:v>
                </c:pt>
                <c:pt idx="9">
                  <c:v>3.556854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F-47D5-8388-F5D27002DA72}"/>
            </c:ext>
          </c:extLst>
        </c:ser>
        <c:ser>
          <c:idx val="7"/>
          <c:order val="3"/>
          <c:tx>
            <c:strRef>
              <c:f>Sheet1!$AG$2</c:f>
              <c:strCache>
                <c:ptCount val="1"/>
                <c:pt idx="0">
                  <c:v>nFAL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07168974447153"/>
                  <c:y val="-1.25645338375627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515755174462448E-3"/>
                  <c:y val="-6.59455687369155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Sheet1!$AG$12:$AG$21</c:f>
              <c:numCache>
                <c:formatCode>General</c:formatCode>
                <c:ptCount val="10"/>
                <c:pt idx="0">
                  <c:v>3.18371</c:v>
                </c:pt>
                <c:pt idx="1">
                  <c:v>3.2871990000000006</c:v>
                </c:pt>
                <c:pt idx="2">
                  <c:v>3.5381480000000001</c:v>
                </c:pt>
                <c:pt idx="3">
                  <c:v>3.6710380000000002</c:v>
                </c:pt>
                <c:pt idx="4">
                  <c:v>3.1564010000000007</c:v>
                </c:pt>
                <c:pt idx="5">
                  <c:v>3.43181</c:v>
                </c:pt>
                <c:pt idx="6">
                  <c:v>3.2521129999999996</c:v>
                </c:pt>
                <c:pt idx="7">
                  <c:v>3.2641100000000001</c:v>
                </c:pt>
                <c:pt idx="8">
                  <c:v>3.302206</c:v>
                </c:pt>
                <c:pt idx="9">
                  <c:v>3.3227449999999998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F-47D5-8388-F5D27002DA72}"/>
            </c:ext>
          </c:extLst>
        </c:ser>
        <c:ser>
          <c:idx val="8"/>
          <c:order val="4"/>
          <c:tx>
            <c:strRef>
              <c:f>Sheet1!$AH$2</c:f>
              <c:strCache>
                <c:ptCount val="1"/>
                <c:pt idx="0">
                  <c:v>nFEN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807196074440687"/>
                  <c:y val="-3.9812553569160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952102030554035E-3"/>
                  <c:y val="-4.4049695942578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Sheet1!$AH$12:$AH$21</c:f>
              <c:numCache>
                <c:formatCode>General</c:formatCode>
                <c:ptCount val="10"/>
                <c:pt idx="0">
                  <c:v>8.1483370000000015</c:v>
                </c:pt>
                <c:pt idx="1">
                  <c:v>9.0190629999999992</c:v>
                </c:pt>
                <c:pt idx="2">
                  <c:v>9.2705410000000015</c:v>
                </c:pt>
                <c:pt idx="3">
                  <c:v>9.720816000000001</c:v>
                </c:pt>
                <c:pt idx="4">
                  <c:v>10.022867999999999</c:v>
                </c:pt>
                <c:pt idx="5">
                  <c:v>10.299436999999999</c:v>
                </c:pt>
                <c:pt idx="6">
                  <c:v>10.372522</c:v>
                </c:pt>
                <c:pt idx="7">
                  <c:v>10.054302999999999</c:v>
                </c:pt>
                <c:pt idx="8">
                  <c:v>10.458924</c:v>
                </c:pt>
                <c:pt idx="9">
                  <c:v>10.792795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F-47D5-8388-F5D27002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64368"/>
        <c:axId val="851665680"/>
      </c:lineChart>
      <c:catAx>
        <c:axId val="851664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65680"/>
        <c:crosses val="autoZero"/>
        <c:auto val="1"/>
        <c:lblAlgn val="ctr"/>
        <c:lblOffset val="100"/>
        <c:noMultiLvlLbl val="0"/>
      </c:catAx>
      <c:valAx>
        <c:axId val="851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1861927792202292"/>
          <c:y val="9.4539447963459255E-2"/>
          <c:w val="0.80878261357622794"/>
          <c:h val="0.1010849090896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0387905433789"/>
          <c:y val="2.3817478984902767E-2"/>
          <c:w val="0.80972423788065873"/>
          <c:h val="0.87595458658915659"/>
        </c:manualLayout>
      </c:layout>
      <c:lineChart>
        <c:grouping val="standard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FAL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Sheet1!$Z$12:$Z$21</c:f>
              <c:numCache>
                <c:formatCode>General</c:formatCode>
                <c:ptCount val="10"/>
                <c:pt idx="0">
                  <c:v>1.7689569999999999</c:v>
                </c:pt>
                <c:pt idx="1">
                  <c:v>1.8836349999999999</c:v>
                </c:pt>
                <c:pt idx="2">
                  <c:v>1.8790629999999999</c:v>
                </c:pt>
                <c:pt idx="3">
                  <c:v>1.8608100000000001</c:v>
                </c:pt>
                <c:pt idx="4">
                  <c:v>1.6505289999999999</c:v>
                </c:pt>
                <c:pt idx="5">
                  <c:v>1.1174029999999999</c:v>
                </c:pt>
                <c:pt idx="6">
                  <c:v>0.67509700000000006</c:v>
                </c:pt>
                <c:pt idx="7">
                  <c:v>0.46871600000000002</c:v>
                </c:pt>
                <c:pt idx="8">
                  <c:v>0.35790899999999998</c:v>
                </c:pt>
                <c:pt idx="9">
                  <c:v>0.29935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8-4E81-82CD-F73BBF7761DF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FEN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4111091302986479"/>
                  <c:y val="-0.17638592696529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2545523025887E-4"/>
                  <c:y val="-0.1621834775327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Sheet1!$AA$12:$AA$21</c:f>
              <c:numCache>
                <c:formatCode>General</c:formatCode>
                <c:ptCount val="10"/>
                <c:pt idx="0">
                  <c:v>0.39351000000000003</c:v>
                </c:pt>
                <c:pt idx="1">
                  <c:v>0.40000999999999998</c:v>
                </c:pt>
                <c:pt idx="2">
                  <c:v>0.43737300000000001</c:v>
                </c:pt>
                <c:pt idx="3">
                  <c:v>0.46662399999999998</c:v>
                </c:pt>
                <c:pt idx="4">
                  <c:v>0.48516900000000002</c:v>
                </c:pt>
                <c:pt idx="5">
                  <c:v>0.56733299999999998</c:v>
                </c:pt>
                <c:pt idx="6">
                  <c:v>0.59456200000000003</c:v>
                </c:pt>
                <c:pt idx="7">
                  <c:v>0.55031699999999995</c:v>
                </c:pt>
                <c:pt idx="8">
                  <c:v>0.56511199999999995</c:v>
                </c:pt>
                <c:pt idx="9">
                  <c:v>0.62674399999999997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8-4E81-82CD-F73BBF7761DF}"/>
            </c:ext>
          </c:extLst>
        </c:ser>
        <c:ser>
          <c:idx val="2"/>
          <c:order val="2"/>
          <c:tx>
            <c:strRef>
              <c:f>Sheet1!$AB$2</c:f>
              <c:strCache>
                <c:ptCount val="1"/>
                <c:pt idx="0">
                  <c:v>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4812148091572659"/>
                  <c:y val="-4.6015523293805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7267169822253E-3"/>
                  <c:y val="-2.4419964982477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Sheet1!$AB$12:$AB$21</c:f>
              <c:numCache>
                <c:formatCode>General</c:formatCode>
                <c:ptCount val="10"/>
                <c:pt idx="0">
                  <c:v>0.36283299999999996</c:v>
                </c:pt>
                <c:pt idx="1">
                  <c:v>0.385542</c:v>
                </c:pt>
                <c:pt idx="2">
                  <c:v>0.36775800000000003</c:v>
                </c:pt>
                <c:pt idx="3">
                  <c:v>0.394119</c:v>
                </c:pt>
                <c:pt idx="4">
                  <c:v>0.38074999999999998</c:v>
                </c:pt>
                <c:pt idx="5">
                  <c:v>0.42953399999999997</c:v>
                </c:pt>
                <c:pt idx="6">
                  <c:v>0.468829</c:v>
                </c:pt>
                <c:pt idx="7">
                  <c:v>0.54227999999999998</c:v>
                </c:pt>
                <c:pt idx="8">
                  <c:v>0.62792800000000004</c:v>
                </c:pt>
                <c:pt idx="9">
                  <c:v>0.67990799999999996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8-4E81-82CD-F73BBF7761DF}"/>
            </c:ext>
          </c:extLst>
        </c:ser>
        <c:ser>
          <c:idx val="3"/>
          <c:order val="3"/>
          <c:tx>
            <c:strRef>
              <c:f>Sheet1!$AC$2</c:f>
              <c:strCache>
                <c:ptCount val="1"/>
                <c:pt idx="0">
                  <c:v>FOA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8778462616035894"/>
                  <c:y val="4.65578508000992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Sheet1!$A$12:$A$21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Sheet1!$AC$12:$AC$21</c:f>
              <c:numCache>
                <c:formatCode>General</c:formatCode>
                <c:ptCount val="10"/>
                <c:pt idx="0">
                  <c:v>7.0973999999999995E-2</c:v>
                </c:pt>
                <c:pt idx="1">
                  <c:v>7.3885000000000006E-2</c:v>
                </c:pt>
                <c:pt idx="2">
                  <c:v>8.8736999999999996E-2</c:v>
                </c:pt>
                <c:pt idx="3">
                  <c:v>0.10573100000000001</c:v>
                </c:pt>
                <c:pt idx="4">
                  <c:v>0.11708499999999999</c:v>
                </c:pt>
                <c:pt idx="5">
                  <c:v>0.13503200000000001</c:v>
                </c:pt>
                <c:pt idx="6">
                  <c:v>0.153978</c:v>
                </c:pt>
                <c:pt idx="7">
                  <c:v>0.20519799999999999</c:v>
                </c:pt>
                <c:pt idx="8">
                  <c:v>0.29311999999999999</c:v>
                </c:pt>
                <c:pt idx="9">
                  <c:v>0.33719300000000002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8-4E81-82CD-F73BBF77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64368"/>
        <c:axId val="851665680"/>
      </c:lineChart>
      <c:catAx>
        <c:axId val="851664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65680"/>
        <c:crosses val="autoZero"/>
        <c:auto val="1"/>
        <c:lblAlgn val="ctr"/>
        <c:lblOffset val="100"/>
        <c:noMultiLvlLbl val="0"/>
      </c:catAx>
      <c:valAx>
        <c:axId val="851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6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67979762343846"/>
          <c:y val="0.25933544613977194"/>
          <c:w val="0.37106211613399837"/>
          <c:h val="0.1763492011631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83272679132994E-2"/>
          <c:y val="7.3492906702919386E-2"/>
          <c:w val="0.90286351706036749"/>
          <c:h val="0.8200072907553223"/>
        </c:manualLayout>
      </c:layout>
      <c:lineChart>
        <c:grouping val="standard"/>
        <c:varyColors val="0"/>
        <c:ser>
          <c:idx val="1"/>
          <c:order val="0"/>
          <c:tx>
            <c:strRef>
              <c:f>宏观产量!$C$1</c:f>
              <c:strCache>
                <c:ptCount val="1"/>
                <c:pt idx="0">
                  <c:v>Inland aquaculture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2954068241469814E-2"/>
                  <c:y val="0.19093635869327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10148731408573"/>
                  <c:y val="0.233781079970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721764142066678"/>
                  <c:y val="0.16180131183791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宏观产量!$A$2:$A$20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宏观产量!$C$2:$C$20</c:f>
              <c:numCache>
                <c:formatCode>General</c:formatCode>
                <c:ptCount val="19"/>
                <c:pt idx="0">
                  <c:v>17.742733999999999</c:v>
                </c:pt>
                <c:pt idx="1">
                  <c:v>18.919972000000001</c:v>
                </c:pt>
                <c:pt idx="2">
                  <c:v>20.084654</c:v>
                </c:pt>
                <c:pt idx="3">
                  <c:v>18.535920000000001</c:v>
                </c:pt>
                <c:pt idx="4">
                  <c:v>19.709906</c:v>
                </c:pt>
                <c:pt idx="5">
                  <c:v>20.724976999999999</c:v>
                </c:pt>
                <c:pt idx="6">
                  <c:v>22.164605999999999</c:v>
                </c:pt>
                <c:pt idx="7">
                  <c:v>23.465343000000001</c:v>
                </c:pt>
                <c:pt idx="8">
                  <c:v>24.719338</c:v>
                </c:pt>
                <c:pt idx="9">
                  <c:v>26.445447999999999</c:v>
                </c:pt>
                <c:pt idx="10">
                  <c:v>28.024349000000001</c:v>
                </c:pt>
                <c:pt idx="11">
                  <c:v>29.357590999999999</c:v>
                </c:pt>
                <c:pt idx="12">
                  <c:v>30.622734999999999</c:v>
                </c:pt>
                <c:pt idx="13">
                  <c:v>28.778880999999998</c:v>
                </c:pt>
                <c:pt idx="14">
                  <c:v>29.05293</c:v>
                </c:pt>
                <c:pt idx="15">
                  <c:v>29.598383999999999</c:v>
                </c:pt>
                <c:pt idx="16">
                  <c:v>30.137440999999999</c:v>
                </c:pt>
                <c:pt idx="17">
                  <c:v>30.888912000000001</c:v>
                </c:pt>
                <c:pt idx="18">
                  <c:v>31.832675999999999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9-43A8-9A66-702793890A18}"/>
            </c:ext>
          </c:extLst>
        </c:ser>
        <c:ser>
          <c:idx val="4"/>
          <c:order val="1"/>
          <c:tx>
            <c:strRef>
              <c:f>宏观产量!$F$1</c:f>
              <c:strCache>
                <c:ptCount val="1"/>
                <c:pt idx="0">
                  <c:v>Inland fishery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宏观产量!$A$2:$A$20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宏观产量!$F$2:$F$20</c:f>
              <c:numCache>
                <c:formatCode>General</c:formatCode>
                <c:ptCount val="19"/>
                <c:pt idx="0">
                  <c:v>2.462148</c:v>
                </c:pt>
                <c:pt idx="1">
                  <c:v>2.4197920000000002</c:v>
                </c:pt>
                <c:pt idx="2">
                  <c:v>2.5510449999999998</c:v>
                </c:pt>
                <c:pt idx="3">
                  <c:v>2.2038139999999999</c:v>
                </c:pt>
                <c:pt idx="4">
                  <c:v>2.2564160000000002</c:v>
                </c:pt>
                <c:pt idx="5">
                  <c:v>2.2481939999999998</c:v>
                </c:pt>
                <c:pt idx="6">
                  <c:v>2.183878</c:v>
                </c:pt>
                <c:pt idx="7">
                  <c:v>2.2893690000000002</c:v>
                </c:pt>
                <c:pt idx="8">
                  <c:v>2.2322649999999999</c:v>
                </c:pt>
                <c:pt idx="9">
                  <c:v>2.2978749999999999</c:v>
                </c:pt>
                <c:pt idx="10">
                  <c:v>2.3074270000000001</c:v>
                </c:pt>
                <c:pt idx="11">
                  <c:v>2.2954129999999999</c:v>
                </c:pt>
                <c:pt idx="12">
                  <c:v>2.2776649999999998</c:v>
                </c:pt>
                <c:pt idx="13">
                  <c:v>2.003333</c:v>
                </c:pt>
                <c:pt idx="14">
                  <c:v>2.1829730000000001</c:v>
                </c:pt>
                <c:pt idx="15">
                  <c:v>1.9638709999999999</c:v>
                </c:pt>
                <c:pt idx="16">
                  <c:v>1.841221</c:v>
                </c:pt>
                <c:pt idx="17">
                  <c:v>1.457503</c:v>
                </c:pt>
                <c:pt idx="18">
                  <c:v>1.197835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9-43A8-9A66-702793890A18}"/>
            </c:ext>
          </c:extLst>
        </c:ser>
        <c:ser>
          <c:idx val="5"/>
          <c:order val="2"/>
          <c:tx>
            <c:strRef>
              <c:f>宏观产量!$G$1</c:f>
              <c:strCache>
                <c:ptCount val="1"/>
                <c:pt idx="0">
                  <c:v>Marine fishery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宏观产量!$A$2:$A$20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宏观产量!$G$2:$G$20</c:f>
              <c:numCache>
                <c:formatCode>General</c:formatCode>
                <c:ptCount val="19"/>
                <c:pt idx="0">
                  <c:v>14.323121</c:v>
                </c:pt>
                <c:pt idx="1">
                  <c:v>14.510858000000001</c:v>
                </c:pt>
                <c:pt idx="2">
                  <c:v>14.532984000000001</c:v>
                </c:pt>
                <c:pt idx="3">
                  <c:v>12.454668</c:v>
                </c:pt>
                <c:pt idx="4">
                  <c:v>12.43548</c:v>
                </c:pt>
                <c:pt idx="5">
                  <c:v>12.579579000000001</c:v>
                </c:pt>
                <c:pt idx="6">
                  <c:v>12.763335</c:v>
                </c:pt>
                <c:pt idx="7">
                  <c:v>13.152303999999999</c:v>
                </c:pt>
                <c:pt idx="8">
                  <c:v>13.567195</c:v>
                </c:pt>
                <c:pt idx="9">
                  <c:v>13.895332</c:v>
                </c:pt>
                <c:pt idx="10">
                  <c:v>13.995799999999999</c:v>
                </c:pt>
                <c:pt idx="11">
                  <c:v>14.835688999999999</c:v>
                </c:pt>
                <c:pt idx="12">
                  <c:v>15.339811000000001</c:v>
                </c:pt>
                <c:pt idx="13">
                  <c:v>13.859541</c:v>
                </c:pt>
                <c:pt idx="14">
                  <c:v>13.210402999999999</c:v>
                </c:pt>
                <c:pt idx="15">
                  <c:v>12.702097</c:v>
                </c:pt>
                <c:pt idx="16">
                  <c:v>12.171666999999999</c:v>
                </c:pt>
                <c:pt idx="17">
                  <c:v>11.790678</c:v>
                </c:pt>
                <c:pt idx="18">
                  <c:v>11.761059999999999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9-43A8-9A66-702793890A18}"/>
            </c:ext>
          </c:extLst>
        </c:ser>
        <c:ser>
          <c:idx val="7"/>
          <c:order val="3"/>
          <c:tx>
            <c:strRef>
              <c:f>宏观产量!$I$1</c:f>
              <c:strCache>
                <c:ptCount val="1"/>
                <c:pt idx="0">
                  <c:v>Mariculture (-seaweed)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5179352580927379E-5"/>
                  <c:y val="0.17680858801662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053215223097115"/>
                  <c:y val="0.22507323909291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57806750835606"/>
                  <c:y val="0.2357411585411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宏观产量!$A$2:$A$20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宏观产量!$I$2:$I$20</c:f>
              <c:numCache>
                <c:formatCode>General</c:formatCode>
                <c:ptCount val="19"/>
                <c:pt idx="0">
                  <c:v>11.149271000000001</c:v>
                </c:pt>
                <c:pt idx="1">
                  <c:v>11.699504000000001</c:v>
                </c:pt>
                <c:pt idx="2">
                  <c:v>12.336562000000001</c:v>
                </c:pt>
                <c:pt idx="3">
                  <c:v>11.138762</c:v>
                </c:pt>
                <c:pt idx="4">
                  <c:v>11.717863999999999</c:v>
                </c:pt>
                <c:pt idx="5">
                  <c:v>12.017213999999999</c:v>
                </c:pt>
                <c:pt idx="6">
                  <c:v>12.595751</c:v>
                </c:pt>
                <c:pt idx="7">
                  <c:v>13.281686000000001</c:v>
                </c:pt>
                <c:pt idx="8">
                  <c:v>13.911528000000001</c:v>
                </c:pt>
                <c:pt idx="9">
                  <c:v>14.673421000000001</c:v>
                </c:pt>
                <c:pt idx="10">
                  <c:v>15.535648999999999</c:v>
                </c:pt>
                <c:pt idx="11">
                  <c:v>16.121904999999998</c:v>
                </c:pt>
                <c:pt idx="12">
                  <c:v>16.667124000000001</c:v>
                </c:pt>
                <c:pt idx="13">
                  <c:v>17.046019000000001</c:v>
                </c:pt>
                <c:pt idx="14">
                  <c:v>17.779134999999997</c:v>
                </c:pt>
                <c:pt idx="15">
                  <c:v>17.968335</c:v>
                </c:pt>
                <c:pt idx="16">
                  <c:v>18.114891</c:v>
                </c:pt>
                <c:pt idx="17">
                  <c:v>18.737940000000002</c:v>
                </c:pt>
                <c:pt idx="18">
                  <c:v>19.396773000000003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89-43A8-9A66-7027938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94864"/>
        <c:axId val="764786992"/>
      </c:lineChart>
      <c:catAx>
        <c:axId val="764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786992"/>
        <c:crosses val="autoZero"/>
        <c:auto val="1"/>
        <c:lblAlgn val="ctr"/>
        <c:lblOffset val="100"/>
        <c:noMultiLvlLbl val="0"/>
      </c:catAx>
      <c:valAx>
        <c:axId val="7647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6.1499125109361327E-2"/>
          <c:y val="4.0508165645960971E-2"/>
          <c:w val="0.79467712418758707"/>
          <c:h val="0.1832295929425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84977544473607469"/>
        </c:manualLayout>
      </c:layout>
      <c:lineChart>
        <c:grouping val="standard"/>
        <c:varyColors val="0"/>
        <c:ser>
          <c:idx val="1"/>
          <c:order val="0"/>
          <c:tx>
            <c:strRef>
              <c:f>宏观产量!$C$1</c:f>
              <c:strCache>
                <c:ptCount val="1"/>
                <c:pt idx="0">
                  <c:v>Inland aquaculture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5337707786526687E-2"/>
                  <c:y val="0.13435331000291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438451443569554"/>
                  <c:y val="0.1690427238261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55110524394015"/>
                  <c:y val="0.17151248736848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宏观产量!$A$11:$A$20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宏观产量!$C$11:$C$20</c:f>
              <c:numCache>
                <c:formatCode>General</c:formatCode>
                <c:ptCount val="10"/>
                <c:pt idx="0">
                  <c:v>26.445447999999999</c:v>
                </c:pt>
                <c:pt idx="1">
                  <c:v>28.024349000000001</c:v>
                </c:pt>
                <c:pt idx="2">
                  <c:v>29.357590999999999</c:v>
                </c:pt>
                <c:pt idx="3">
                  <c:v>30.622734999999999</c:v>
                </c:pt>
                <c:pt idx="4">
                  <c:v>28.778880999999998</c:v>
                </c:pt>
                <c:pt idx="5">
                  <c:v>29.05293</c:v>
                </c:pt>
                <c:pt idx="6">
                  <c:v>29.598383999999999</c:v>
                </c:pt>
                <c:pt idx="7">
                  <c:v>30.137440999999999</c:v>
                </c:pt>
                <c:pt idx="8">
                  <c:v>30.888912000000001</c:v>
                </c:pt>
                <c:pt idx="9">
                  <c:v>31.832675999999999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2-4698-A76A-47B4AEFB2A77}"/>
            </c:ext>
          </c:extLst>
        </c:ser>
        <c:ser>
          <c:idx val="4"/>
          <c:order val="1"/>
          <c:tx>
            <c:strRef>
              <c:f>宏观产量!$F$1</c:f>
              <c:strCache>
                <c:ptCount val="1"/>
                <c:pt idx="0">
                  <c:v>Inland fishery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宏观产量!$A$11:$A$20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宏观产量!$F$11:$F$20</c:f>
              <c:numCache>
                <c:formatCode>General</c:formatCode>
                <c:ptCount val="10"/>
                <c:pt idx="0">
                  <c:v>2.2978749999999999</c:v>
                </c:pt>
                <c:pt idx="1">
                  <c:v>2.3074270000000001</c:v>
                </c:pt>
                <c:pt idx="2">
                  <c:v>2.2954129999999999</c:v>
                </c:pt>
                <c:pt idx="3">
                  <c:v>2.2776649999999998</c:v>
                </c:pt>
                <c:pt idx="4">
                  <c:v>2.003333</c:v>
                </c:pt>
                <c:pt idx="5">
                  <c:v>2.1829730000000001</c:v>
                </c:pt>
                <c:pt idx="6">
                  <c:v>1.9638709999999999</c:v>
                </c:pt>
                <c:pt idx="7">
                  <c:v>1.841221</c:v>
                </c:pt>
                <c:pt idx="8">
                  <c:v>1.457503</c:v>
                </c:pt>
                <c:pt idx="9">
                  <c:v>1.197835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2-4698-A76A-47B4AEFB2A77}"/>
            </c:ext>
          </c:extLst>
        </c:ser>
        <c:ser>
          <c:idx val="5"/>
          <c:order val="2"/>
          <c:tx>
            <c:strRef>
              <c:f>宏观产量!$G$1</c:f>
              <c:strCache>
                <c:ptCount val="1"/>
                <c:pt idx="0">
                  <c:v>Marine fishery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宏观产量!$A$11:$A$20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宏观产量!$G$11:$G$20</c:f>
              <c:numCache>
                <c:formatCode>General</c:formatCode>
                <c:ptCount val="10"/>
                <c:pt idx="0">
                  <c:v>13.895332</c:v>
                </c:pt>
                <c:pt idx="1">
                  <c:v>13.995799999999999</c:v>
                </c:pt>
                <c:pt idx="2">
                  <c:v>14.835688999999999</c:v>
                </c:pt>
                <c:pt idx="3">
                  <c:v>15.339811000000001</c:v>
                </c:pt>
                <c:pt idx="4">
                  <c:v>13.859541</c:v>
                </c:pt>
                <c:pt idx="5">
                  <c:v>13.210402999999999</c:v>
                </c:pt>
                <c:pt idx="6">
                  <c:v>12.702097</c:v>
                </c:pt>
                <c:pt idx="7">
                  <c:v>12.171666999999999</c:v>
                </c:pt>
                <c:pt idx="8">
                  <c:v>11.790678</c:v>
                </c:pt>
                <c:pt idx="9">
                  <c:v>11.761059999999999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2-4698-A76A-47B4AEFB2A77}"/>
            </c:ext>
          </c:extLst>
        </c:ser>
        <c:ser>
          <c:idx val="7"/>
          <c:order val="3"/>
          <c:tx>
            <c:strRef>
              <c:f>宏观产量!$I$1</c:f>
              <c:strCache>
                <c:ptCount val="1"/>
                <c:pt idx="0">
                  <c:v>Mariculture (-seaweed)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9325873499678412E-2"/>
                  <c:y val="-1.1173304872649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649562554680666"/>
                  <c:y val="-2.0994094488188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763835576428248"/>
                  <c:y val="3.76124176919862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宏观产量!$A$11:$A$20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宏观产量!$I$11:$I$20</c:f>
              <c:numCache>
                <c:formatCode>General</c:formatCode>
                <c:ptCount val="10"/>
                <c:pt idx="0">
                  <c:v>14.673421000000001</c:v>
                </c:pt>
                <c:pt idx="1">
                  <c:v>15.535648999999999</c:v>
                </c:pt>
                <c:pt idx="2">
                  <c:v>16.121904999999998</c:v>
                </c:pt>
                <c:pt idx="3">
                  <c:v>16.667124000000001</c:v>
                </c:pt>
                <c:pt idx="4">
                  <c:v>17.046019000000001</c:v>
                </c:pt>
                <c:pt idx="5">
                  <c:v>17.779134999999997</c:v>
                </c:pt>
                <c:pt idx="6">
                  <c:v>17.968335</c:v>
                </c:pt>
                <c:pt idx="7">
                  <c:v>18.114891</c:v>
                </c:pt>
                <c:pt idx="8">
                  <c:v>18.737940000000002</c:v>
                </c:pt>
                <c:pt idx="9">
                  <c:v>19.396773000000003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52-4698-A76A-47B4AEFB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71232"/>
        <c:axId val="766871560"/>
      </c:lineChart>
      <c:catAx>
        <c:axId val="7668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871560"/>
        <c:crosses val="autoZero"/>
        <c:auto val="1"/>
        <c:lblAlgn val="ctr"/>
        <c:lblOffset val="100"/>
        <c:noMultiLvlLbl val="0"/>
      </c:catAx>
      <c:valAx>
        <c:axId val="7668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8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6.7054680664916891E-2"/>
          <c:y val="2.6619276757072079E-2"/>
          <c:w val="0.81664820750236145"/>
          <c:h val="0.13232319479466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Land use (billion m</a:t>
            </a:r>
            <a:r>
              <a:rPr lang="en-US" altLang="zh-CN" sz="800" b="1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 sz="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2034188034188033E-3"/>
          <c:y val="9.823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485683760683769E-2"/>
          <c:y val="0.21343055555555557"/>
          <c:w val="0.92373440170940169"/>
          <c:h val="0.68330833333333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宏观产量!$B$111</c:f>
              <c:strCache>
                <c:ptCount val="1"/>
                <c:pt idx="0">
                  <c:v>FAL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宏观产量!$B$112:$B$114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43FA-B9F6-C753CC476DD8}"/>
            </c:ext>
          </c:extLst>
        </c:ser>
        <c:ser>
          <c:idx val="1"/>
          <c:order val="1"/>
          <c:tx>
            <c:strRef>
              <c:f>宏观产量!$C$111</c:f>
              <c:strCache>
                <c:ptCount val="1"/>
                <c:pt idx="0">
                  <c:v>FEN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宏观产量!$C$112:$C$114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F-43FA-B9F6-C753CC476DD8}"/>
            </c:ext>
          </c:extLst>
        </c:ser>
        <c:ser>
          <c:idx val="2"/>
          <c:order val="2"/>
          <c:tx>
            <c:strRef>
              <c:f>宏观产量!$D$111</c:f>
              <c:strCache>
                <c:ptCount val="1"/>
                <c:pt idx="0">
                  <c:v>IAS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宏观产量!$D$112:$D$114</c:f>
              <c:numCache>
                <c:formatCode>General</c:formatCode>
                <c:ptCount val="3"/>
                <c:pt idx="0">
                  <c:v>8.7961523999999999E-2</c:v>
                </c:pt>
                <c:pt idx="1">
                  <c:v>0.12615917560000001</c:v>
                </c:pt>
                <c:pt idx="2">
                  <c:v>0.2226978208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F-43FA-B9F6-C753CC476DD8}"/>
            </c:ext>
          </c:extLst>
        </c:ser>
        <c:ser>
          <c:idx val="3"/>
          <c:order val="3"/>
          <c:tx>
            <c:strRef>
              <c:f>宏观产量!$E$111</c:f>
              <c:strCache>
                <c:ptCount val="1"/>
                <c:pt idx="0">
                  <c:v>FOA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宏观产量!$E$112:$E$114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F-43FA-B9F6-C753CC476DD8}"/>
            </c:ext>
          </c:extLst>
        </c:ser>
        <c:ser>
          <c:idx val="4"/>
          <c:order val="4"/>
          <c:tx>
            <c:strRef>
              <c:f>宏观产量!$F$111</c:f>
              <c:strCache>
                <c:ptCount val="1"/>
                <c:pt idx="0">
                  <c:v>FAP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宏观产量!$F$112:$F$114</c:f>
              <c:numCache>
                <c:formatCode>General</c:formatCode>
                <c:ptCount val="3"/>
                <c:pt idx="0">
                  <c:v>3.0710064000000004</c:v>
                </c:pt>
                <c:pt idx="1">
                  <c:v>3.79368924</c:v>
                </c:pt>
                <c:pt idx="2">
                  <c:v>5.1775191600000001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0F-43FA-B9F6-C753CC476DD8}"/>
            </c:ext>
          </c:extLst>
        </c:ser>
        <c:ser>
          <c:idx val="5"/>
          <c:order val="5"/>
          <c:tx>
            <c:strRef>
              <c:f>宏观产量!$G$111</c:f>
              <c:strCache>
                <c:ptCount val="1"/>
                <c:pt idx="0">
                  <c:v>nFAP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宏观产量!$G$112:$G$114</c:f>
              <c:numCache>
                <c:formatCode>General</c:formatCode>
                <c:ptCount val="3"/>
                <c:pt idx="0">
                  <c:v>1.0835482999999999</c:v>
                </c:pt>
                <c:pt idx="1">
                  <c:v>1.2414775539999998</c:v>
                </c:pt>
                <c:pt idx="2">
                  <c:v>1.5558782419999997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0F-43FA-B9F6-C753CC476DD8}"/>
            </c:ext>
          </c:extLst>
        </c:ser>
        <c:ser>
          <c:idx val="6"/>
          <c:order val="6"/>
          <c:tx>
            <c:strRef>
              <c:f>宏观产量!$H$111</c:f>
              <c:strCache>
                <c:ptCount val="1"/>
                <c:pt idx="0">
                  <c:v>PFA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宏观产量!$H$112:$H$114</c:f>
              <c:numCache>
                <c:formatCode>General</c:formatCode>
                <c:ptCount val="3"/>
                <c:pt idx="0">
                  <c:v>3.9668999999999998E-3</c:v>
                </c:pt>
                <c:pt idx="1">
                  <c:v>6.578085E-3</c:v>
                </c:pt>
                <c:pt idx="2">
                  <c:v>1.2777469999999999E-2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0F-43FA-B9F6-C753CC476DD8}"/>
            </c:ext>
          </c:extLst>
        </c:ser>
        <c:ser>
          <c:idx val="7"/>
          <c:order val="7"/>
          <c:tx>
            <c:strRef>
              <c:f>宏观产量!$I$111</c:f>
              <c:strCache>
                <c:ptCount val="1"/>
                <c:pt idx="0">
                  <c:v>nFAL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宏观产量!$I$112:$I$114</c:f>
              <c:numCache>
                <c:formatCode>General</c:formatCode>
                <c:ptCount val="3"/>
                <c:pt idx="0">
                  <c:v>3.7058E-3</c:v>
                </c:pt>
                <c:pt idx="1">
                  <c:v>3.8145319999999998E-3</c:v>
                </c:pt>
                <c:pt idx="2">
                  <c:v>3.7185679999999998E-3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0F-43FA-B9F6-C753CC476DD8}"/>
            </c:ext>
          </c:extLst>
        </c:ser>
        <c:ser>
          <c:idx val="8"/>
          <c:order val="8"/>
          <c:tx>
            <c:strRef>
              <c:f>宏观产量!$J$111</c:f>
              <c:strCache>
                <c:ptCount val="1"/>
                <c:pt idx="0">
                  <c:v>nFEN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f>宏观产量!$A$112:$A$114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宏观产量!$J$112:$J$114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0F-43FA-B9F6-C753CC47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4097776"/>
        <c:axId val="774094496"/>
      </c:barChart>
      <c:catAx>
        <c:axId val="7740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4094496"/>
        <c:crosses val="autoZero"/>
        <c:auto val="1"/>
        <c:lblAlgn val="ctr"/>
        <c:lblOffset val="100"/>
        <c:noMultiLvlLbl val="0"/>
      </c:catAx>
      <c:valAx>
        <c:axId val="77409449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4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0688453194078"/>
          <c:y val="8.0336929582394793E-3"/>
          <c:w val="0.72995854700854712"/>
          <c:h val="0.1001461874908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Fresh water use (billion m</a:t>
            </a:r>
            <a:r>
              <a:rPr lang="en-US" altLang="zh-CN" sz="800" b="1" baseline="30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altLang="zh-CN" sz="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4570439817516548E-4"/>
          <c:y val="0.1162831459730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915664618774902E-2"/>
          <c:y val="0.20835694444444444"/>
          <c:w val="0.94878314554689769"/>
          <c:h val="0.688381944444444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宏观产量!$B$103</c:f>
              <c:strCache>
                <c:ptCount val="1"/>
                <c:pt idx="0">
                  <c:v>FAL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宏观产量!$B$104:$B$106</c:f>
              <c:numCache>
                <c:formatCode>General</c:formatCode>
                <c:ptCount val="3"/>
                <c:pt idx="0">
                  <c:v>0.83130891000000007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F4E-BB13-E3D42634B4C4}"/>
            </c:ext>
          </c:extLst>
        </c:ser>
        <c:ser>
          <c:idx val="1"/>
          <c:order val="1"/>
          <c:tx>
            <c:strRef>
              <c:f>宏观产量!$C$103</c:f>
              <c:strCache>
                <c:ptCount val="1"/>
                <c:pt idx="0">
                  <c:v>FEN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宏观产量!$C$104:$C$106</c:f>
              <c:numCache>
                <c:formatCode>General</c:formatCode>
                <c:ptCount val="3"/>
                <c:pt idx="0">
                  <c:v>1.1183935999999999</c:v>
                </c:pt>
                <c:pt idx="1">
                  <c:v>1.6093268496000002</c:v>
                </c:pt>
                <c:pt idx="2">
                  <c:v>2.6166908800000002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D-4F4E-BB13-E3D42634B4C4}"/>
            </c:ext>
          </c:extLst>
        </c:ser>
        <c:ser>
          <c:idx val="2"/>
          <c:order val="2"/>
          <c:tx>
            <c:strRef>
              <c:f>宏观产量!$D$103</c:f>
              <c:strCache>
                <c:ptCount val="1"/>
                <c:pt idx="0">
                  <c:v>IAS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宏观产量!$D$104:$D$106</c:f>
              <c:numCache>
                <c:formatCode>General</c:formatCode>
                <c:ptCount val="3"/>
                <c:pt idx="0">
                  <c:v>1.1374335</c:v>
                </c:pt>
                <c:pt idx="1">
                  <c:v>1.6313686499999998</c:v>
                </c:pt>
                <c:pt idx="2">
                  <c:v>2.8797131999999999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D-4F4E-BB13-E3D42634B4C4}"/>
            </c:ext>
          </c:extLst>
        </c:ser>
        <c:ser>
          <c:idx val="3"/>
          <c:order val="3"/>
          <c:tx>
            <c:strRef>
              <c:f>宏观产量!$E$103</c:f>
              <c:strCache>
                <c:ptCount val="1"/>
                <c:pt idx="0">
                  <c:v>FOA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宏观产量!$E$104:$E$106</c:f>
              <c:numCache>
                <c:formatCode>General</c:formatCode>
                <c:ptCount val="3"/>
                <c:pt idx="0">
                  <c:v>0.60170400000000002</c:v>
                </c:pt>
                <c:pt idx="1">
                  <c:v>1.0113157424000001</c:v>
                </c:pt>
                <c:pt idx="2">
                  <c:v>2.0987504000000001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D-4F4E-BB13-E3D42634B4C4}"/>
            </c:ext>
          </c:extLst>
        </c:ser>
        <c:ser>
          <c:idx val="4"/>
          <c:order val="4"/>
          <c:tx>
            <c:strRef>
              <c:f>宏观产量!$F$103</c:f>
              <c:strCache>
                <c:ptCount val="1"/>
                <c:pt idx="0">
                  <c:v>FAP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宏观产量!$F$104:$F$106</c:f>
              <c:numCache>
                <c:formatCode>General</c:formatCode>
                <c:ptCount val="3"/>
                <c:pt idx="0">
                  <c:v>102.033054159456</c:v>
                </c:pt>
                <c:pt idx="1">
                  <c:v>126.04392478278962</c:v>
                </c:pt>
                <c:pt idx="2">
                  <c:v>172.02116311574639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D-4F4E-BB13-E3D42634B4C4}"/>
            </c:ext>
          </c:extLst>
        </c:ser>
        <c:ser>
          <c:idx val="5"/>
          <c:order val="5"/>
          <c:tx>
            <c:strRef>
              <c:f>宏观产量!$G$103</c:f>
              <c:strCache>
                <c:ptCount val="1"/>
                <c:pt idx="0">
                  <c:v>nFAP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宏观产量!$G$104:$G$106</c:f>
              <c:numCache>
                <c:formatCode>General</c:formatCode>
                <c:ptCount val="3"/>
                <c:pt idx="0">
                  <c:v>10.744088135834998</c:v>
                </c:pt>
                <c:pt idx="1">
                  <c:v>12.310059698157298</c:v>
                </c:pt>
                <c:pt idx="2">
                  <c:v>15.427547586642897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D-4F4E-BB13-E3D42634B4C4}"/>
            </c:ext>
          </c:extLst>
        </c:ser>
        <c:ser>
          <c:idx val="6"/>
          <c:order val="6"/>
          <c:tx>
            <c:strRef>
              <c:f>宏观产量!$H$103</c:f>
              <c:strCache>
                <c:ptCount val="1"/>
                <c:pt idx="0">
                  <c:v>PFA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宏观产量!$H$104:$H$106</c:f>
              <c:numCache>
                <c:formatCode>General</c:formatCode>
                <c:ptCount val="3"/>
                <c:pt idx="0">
                  <c:v>3.9669000000000003E-2</c:v>
                </c:pt>
                <c:pt idx="1">
                  <c:v>6.5780850000000002E-2</c:v>
                </c:pt>
                <c:pt idx="2">
                  <c:v>0.12777469999999999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D-4F4E-BB13-E3D42634B4C4}"/>
            </c:ext>
          </c:extLst>
        </c:ser>
        <c:ser>
          <c:idx val="7"/>
          <c:order val="7"/>
          <c:tx>
            <c:strRef>
              <c:f>宏观产量!$I$103</c:f>
              <c:strCache>
                <c:ptCount val="1"/>
                <c:pt idx="0">
                  <c:v>nFAL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宏观产量!$I$104:$I$106</c:f>
              <c:numCache>
                <c:formatCode>General</c:formatCode>
                <c:ptCount val="3"/>
                <c:pt idx="0">
                  <c:v>3.7058E-3</c:v>
                </c:pt>
                <c:pt idx="1">
                  <c:v>3.8145319999999998E-3</c:v>
                </c:pt>
                <c:pt idx="2">
                  <c:v>3.7185679999999998E-3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8D-4F4E-BB13-E3D42634B4C4}"/>
            </c:ext>
          </c:extLst>
        </c:ser>
        <c:ser>
          <c:idx val="8"/>
          <c:order val="8"/>
          <c:tx>
            <c:strRef>
              <c:f>宏观产量!$J$103</c:f>
              <c:strCache>
                <c:ptCount val="1"/>
                <c:pt idx="0">
                  <c:v>nFEN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numRef>
              <c:f>宏观产量!$A$104:$A$106</c:f>
              <c:numCache>
                <c:formatCode>General</c:formatCode>
                <c:ptCount val="3"/>
                <c:pt idx="0">
                  <c:v>2021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宏观产量!$J$104:$J$106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8D-4F4E-BB13-E3D42634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7389520"/>
        <c:axId val="727387552"/>
      </c:barChart>
      <c:catAx>
        <c:axId val="72738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387552"/>
        <c:crosses val="autoZero"/>
        <c:auto val="1"/>
        <c:lblAlgn val="ctr"/>
        <c:lblOffset val="100"/>
        <c:noMultiLvlLbl val="0"/>
      </c:catAx>
      <c:valAx>
        <c:axId val="7273875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76858974358975"/>
          <c:y val="2.777083333333335E-3"/>
          <c:w val="0.73590598290598286"/>
          <c:h val="9.6427669645683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21</xdr:row>
      <xdr:rowOff>171450</xdr:rowOff>
    </xdr:from>
    <xdr:to>
      <xdr:col>14</xdr:col>
      <xdr:colOff>304800</xdr:colOff>
      <xdr:row>37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D2BD10-0933-AE79-FC0D-838B34D5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490538</xdr:colOff>
      <xdr:row>21</xdr:row>
      <xdr:rowOff>147636</xdr:rowOff>
    </xdr:from>
    <xdr:to>
      <xdr:col>21</xdr:col>
      <xdr:colOff>528638</xdr:colOff>
      <xdr:row>37</xdr:row>
      <xdr:rowOff>71436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D77D49-1707-EF47-DC7E-F218EE99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185737</xdr:colOff>
      <xdr:row>21</xdr:row>
      <xdr:rowOff>92867</xdr:rowOff>
    </xdr:from>
    <xdr:to>
      <xdr:col>7</xdr:col>
      <xdr:colOff>223837</xdr:colOff>
      <xdr:row>37</xdr:row>
      <xdr:rowOff>16667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71436D-AB4F-6186-F166-B3D40878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507255</xdr:colOff>
      <xdr:row>40</xdr:row>
      <xdr:rowOff>65313</xdr:rowOff>
    </xdr:from>
    <xdr:to>
      <xdr:col>6</xdr:col>
      <xdr:colOff>612031</xdr:colOff>
      <xdr:row>58</xdr:row>
      <xdr:rowOff>121200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643F11-1F4D-ECA4-7997-17274853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40</xdr:row>
      <xdr:rowOff>23812</xdr:rowOff>
    </xdr:from>
    <xdr:to>
      <xdr:col>13</xdr:col>
      <xdr:colOff>123826</xdr:colOff>
      <xdr:row>58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A7BFD9A-04EC-4F48-AAED-586C4B0E5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519113</xdr:colOff>
      <xdr:row>0</xdr:row>
      <xdr:rowOff>109538</xdr:rowOff>
    </xdr:from>
    <xdr:to>
      <xdr:col>16</xdr:col>
      <xdr:colOff>557213</xdr:colOff>
      <xdr:row>19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08C613-135A-6A6B-E33A-912C83A6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542924</xdr:colOff>
      <xdr:row>20</xdr:row>
      <xdr:rowOff>42862</xdr:rowOff>
    </xdr:from>
    <xdr:to>
      <xdr:col>16</xdr:col>
      <xdr:colOff>581024</xdr:colOff>
      <xdr:row>37</xdr:row>
      <xdr:rowOff>102053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86F6F9-01FC-0E8A-8742-7B9E2B67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4760</xdr:colOff>
      <xdr:row>93</xdr:row>
      <xdr:rowOff>98835</xdr:rowOff>
    </xdr:from>
    <xdr:to>
      <xdr:col>20</xdr:col>
      <xdr:colOff>155893</xdr:colOff>
      <xdr:row>101</xdr:row>
      <xdr:rowOff>137043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C98B78-AD01-31F2-DE74-30C8D655D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3747</xdr:colOff>
      <xdr:row>86</xdr:row>
      <xdr:rowOff>11176</xdr:rowOff>
    </xdr:from>
    <xdr:to>
      <xdr:col>20</xdr:col>
      <xdr:colOff>154880</xdr:colOff>
      <xdr:row>94</xdr:row>
      <xdr:rowOff>49384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F7FAC3-6C01-E4F8-2AA4-029183E7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641534</xdr:colOff>
      <xdr:row>78</xdr:row>
      <xdr:rowOff>108948</xdr:rowOff>
    </xdr:from>
    <xdr:to>
      <xdr:col>20</xdr:col>
      <xdr:colOff>145685</xdr:colOff>
      <xdr:row>86</xdr:row>
      <xdr:rowOff>147155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E595C7-0536-27B8-D12F-B6F0994B7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640970</xdr:colOff>
      <xdr:row>70</xdr:row>
      <xdr:rowOff>170736</xdr:rowOff>
    </xdr:from>
    <xdr:to>
      <xdr:col>20</xdr:col>
      <xdr:colOff>145121</xdr:colOff>
      <xdr:row>79</xdr:row>
      <xdr:rowOff>33719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AA33E8-490F-2957-4AF5-7F4C3ABE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641325</xdr:colOff>
      <xdr:row>63</xdr:row>
      <xdr:rowOff>110234</xdr:rowOff>
    </xdr:from>
    <xdr:to>
      <xdr:col>20</xdr:col>
      <xdr:colOff>145476</xdr:colOff>
      <xdr:row>71</xdr:row>
      <xdr:rowOff>148442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1F96FE-6ECD-0574-802C-100B4BF56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E695-662F-4615-8178-6E5E2A626A19}">
  <dimension ref="A1:AH80"/>
  <sheetViews>
    <sheetView topLeftCell="A67" zoomScale="106" zoomScaleNormal="106" workbookViewId="0">
      <selection activeCell="P21" sqref="P21"/>
    </sheetView>
  </sheetViews>
  <sheetFormatPr defaultRowHeight="13.9" x14ac:dyDescent="0.4"/>
  <cols>
    <col min="2" max="2" width="11.1328125" customWidth="1"/>
    <col min="3" max="3" width="10.59765625" customWidth="1"/>
    <col min="4" max="4" width="9.1328125" customWidth="1"/>
    <col min="7" max="7" width="11.46484375" customWidth="1"/>
    <col min="8" max="8" width="11.1328125" customWidth="1"/>
    <col min="9" max="9" width="10.796875" customWidth="1"/>
    <col min="10" max="10" width="11.265625" customWidth="1"/>
    <col min="16" max="16" width="11.59765625" customWidth="1"/>
  </cols>
  <sheetData>
    <row r="1" spans="1:34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42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19</v>
      </c>
      <c r="P1" t="s">
        <v>21</v>
      </c>
      <c r="Q1" t="s">
        <v>13</v>
      </c>
      <c r="R1" t="s">
        <v>14</v>
      </c>
      <c r="S1" t="s">
        <v>15</v>
      </c>
      <c r="T1" t="s">
        <v>20</v>
      </c>
      <c r="U1" t="s">
        <v>16</v>
      </c>
      <c r="V1" t="s">
        <v>17</v>
      </c>
      <c r="W1" t="s">
        <v>18</v>
      </c>
      <c r="X1" t="s">
        <v>22</v>
      </c>
      <c r="Y1" t="s">
        <v>23</v>
      </c>
      <c r="Z1" t="s">
        <v>25</v>
      </c>
      <c r="AA1" t="s">
        <v>26</v>
      </c>
      <c r="AB1" t="s">
        <v>28</v>
      </c>
      <c r="AC1" t="s">
        <v>30</v>
      </c>
      <c r="AD1" t="s">
        <v>32</v>
      </c>
      <c r="AE1" t="s">
        <v>34</v>
      </c>
      <c r="AF1" t="s">
        <v>36</v>
      </c>
      <c r="AG1" t="s">
        <v>38</v>
      </c>
      <c r="AH1" t="s">
        <v>40</v>
      </c>
    </row>
    <row r="2" spans="1:34" x14ac:dyDescent="0.4">
      <c r="A2" t="s">
        <v>44</v>
      </c>
      <c r="Z2" t="s">
        <v>24</v>
      </c>
      <c r="AA2" t="s">
        <v>27</v>
      </c>
      <c r="AB2" t="s">
        <v>93</v>
      </c>
      <c r="AC2" t="s">
        <v>31</v>
      </c>
      <c r="AD2" t="s">
        <v>33</v>
      </c>
      <c r="AE2" t="s">
        <v>35</v>
      </c>
      <c r="AF2" t="s">
        <v>37</v>
      </c>
      <c r="AG2" t="s">
        <v>39</v>
      </c>
      <c r="AH2" t="s">
        <v>41</v>
      </c>
    </row>
    <row r="3" spans="1:34" x14ac:dyDescent="0.4">
      <c r="A3">
        <v>2003</v>
      </c>
      <c r="B3">
        <v>12.533061</v>
      </c>
      <c r="C3">
        <v>17.742733999999999</v>
      </c>
      <c r="D3">
        <v>14.323121</v>
      </c>
      <c r="F3">
        <v>2.462148</v>
      </c>
      <c r="G3">
        <f t="shared" ref="G3:G21" si="0">D3+E3</f>
        <v>14.323121</v>
      </c>
      <c r="H3">
        <v>1.3837900000000001</v>
      </c>
      <c r="I3">
        <v>1.123705</v>
      </c>
      <c r="J3">
        <v>0.21484200000000001</v>
      </c>
      <c r="K3">
        <v>1.3022000000000001E-2</v>
      </c>
      <c r="L3">
        <v>6.3180259999999997</v>
      </c>
      <c r="N3">
        <v>5.0913300000000001</v>
      </c>
      <c r="O3">
        <v>3.6863E-2</v>
      </c>
      <c r="P3">
        <v>12.515093</v>
      </c>
      <c r="Q3">
        <v>1.05193</v>
      </c>
      <c r="R3">
        <v>1.841245</v>
      </c>
      <c r="S3">
        <v>0.73845899999999998</v>
      </c>
      <c r="T3">
        <v>1.023611</v>
      </c>
      <c r="U3">
        <v>0.62803299999999995</v>
      </c>
      <c r="V3">
        <v>0.55296500000000004</v>
      </c>
      <c r="W3">
        <v>8.2307000000000005E-2</v>
      </c>
      <c r="X3">
        <v>7.8345999999999999E-2</v>
      </c>
      <c r="Y3">
        <v>0.31972499999999998</v>
      </c>
      <c r="Z3">
        <f t="shared" ref="Z3:Z21" si="1">U3+V3</f>
        <v>1.180998</v>
      </c>
      <c r="AA3">
        <v>0.21484200000000001</v>
      </c>
      <c r="AB3">
        <f t="shared" ref="AB3:AB21" si="2">O3+W3</f>
        <v>0.11917</v>
      </c>
      <c r="AC3">
        <v>1.3022000000000001E-2</v>
      </c>
      <c r="AD3">
        <f t="shared" ref="AD3:AD21" si="3">(P3*0.8)+X3+Y3</f>
        <v>10.410145400000001</v>
      </c>
      <c r="AE3">
        <f t="shared" ref="AE3:AE21" si="4">P3+I3-AD3</f>
        <v>3.2286525999999984</v>
      </c>
      <c r="AF3">
        <v>1.023611</v>
      </c>
      <c r="AG3">
        <f t="shared" ref="AG3:AG21" si="5">Q3+R3-U3-V3</f>
        <v>1.7121770000000005</v>
      </c>
      <c r="AH3">
        <v>5.0913300000000001</v>
      </c>
    </row>
    <row r="4" spans="1:34" x14ac:dyDescent="0.4">
      <c r="A4">
        <v>2004</v>
      </c>
      <c r="B4">
        <v>13.167049</v>
      </c>
      <c r="C4">
        <v>18.919972000000001</v>
      </c>
      <c r="D4">
        <v>14.510858000000001</v>
      </c>
      <c r="F4">
        <v>2.4197920000000002</v>
      </c>
      <c r="G4">
        <f t="shared" si="0"/>
        <v>14.510858000000001</v>
      </c>
      <c r="H4">
        <v>1.4675450000000001</v>
      </c>
      <c r="I4">
        <v>1.206032</v>
      </c>
      <c r="J4">
        <v>0.244556</v>
      </c>
      <c r="K4">
        <v>1.6244999999999999E-2</v>
      </c>
      <c r="L4">
        <v>6.7572049999999999</v>
      </c>
      <c r="N4">
        <v>5.2038120000000001</v>
      </c>
      <c r="O4">
        <v>5.1109000000000002E-2</v>
      </c>
      <c r="P4">
        <v>13.312417999999999</v>
      </c>
      <c r="Q4">
        <v>1.1470450000000001</v>
      </c>
      <c r="R4">
        <v>2.0506440000000001</v>
      </c>
      <c r="S4">
        <v>0.77330600000000005</v>
      </c>
      <c r="T4">
        <v>1.0191570000000001</v>
      </c>
      <c r="U4">
        <v>0.48775099999999999</v>
      </c>
      <c r="V4">
        <v>0.592333</v>
      </c>
      <c r="W4">
        <v>9.3090999999999993E-2</v>
      </c>
      <c r="X4">
        <v>8.0625000000000002E-2</v>
      </c>
      <c r="Y4">
        <v>0.72217200000000004</v>
      </c>
      <c r="Z4">
        <f t="shared" si="1"/>
        <v>1.080084</v>
      </c>
      <c r="AA4">
        <v>0.244556</v>
      </c>
      <c r="AB4">
        <f t="shared" si="2"/>
        <v>0.14419999999999999</v>
      </c>
      <c r="AC4">
        <v>1.6244999999999999E-2</v>
      </c>
      <c r="AD4">
        <f t="shared" si="3"/>
        <v>11.452731399999999</v>
      </c>
      <c r="AE4">
        <f t="shared" si="4"/>
        <v>3.0657186000000003</v>
      </c>
      <c r="AF4">
        <v>1.0191570000000001</v>
      </c>
      <c r="AG4">
        <f t="shared" si="5"/>
        <v>2.1176050000000006</v>
      </c>
      <c r="AH4">
        <v>5.2038120000000001</v>
      </c>
    </row>
    <row r="5" spans="1:34" x14ac:dyDescent="0.4">
      <c r="A5">
        <v>2005</v>
      </c>
      <c r="B5">
        <v>13.847847</v>
      </c>
      <c r="C5">
        <v>20.084654</v>
      </c>
      <c r="D5">
        <v>14.532984000000001</v>
      </c>
      <c r="F5">
        <v>2.5510449999999998</v>
      </c>
      <c r="G5">
        <f t="shared" si="0"/>
        <v>14.532984000000001</v>
      </c>
      <c r="H5">
        <v>1.511285</v>
      </c>
      <c r="I5">
        <v>1.259134</v>
      </c>
      <c r="J5">
        <v>0.26660400000000001</v>
      </c>
      <c r="K5">
        <v>2.0697E-2</v>
      </c>
      <c r="L5">
        <v>7.162674</v>
      </c>
      <c r="N5">
        <v>5.4260390000000003</v>
      </c>
      <c r="O5">
        <v>7.8121999999999997E-2</v>
      </c>
      <c r="P5">
        <v>14.099665999999999</v>
      </c>
      <c r="Q5">
        <v>1.2341930000000001</v>
      </c>
      <c r="R5">
        <v>2.2293059999999998</v>
      </c>
      <c r="S5">
        <v>0.81650599999999995</v>
      </c>
      <c r="T5">
        <v>1.0211589999999999</v>
      </c>
      <c r="U5">
        <v>0.473138</v>
      </c>
      <c r="V5">
        <v>0.70425400000000005</v>
      </c>
      <c r="W5">
        <v>0.124915</v>
      </c>
      <c r="X5">
        <v>8.7994000000000003E-2</v>
      </c>
      <c r="Y5">
        <v>0.82845400000000002</v>
      </c>
      <c r="Z5">
        <f t="shared" si="1"/>
        <v>1.177392</v>
      </c>
      <c r="AA5">
        <v>0.26660400000000001</v>
      </c>
      <c r="AB5">
        <f t="shared" si="2"/>
        <v>0.203037</v>
      </c>
      <c r="AC5">
        <v>2.0697E-2</v>
      </c>
      <c r="AD5">
        <f t="shared" si="3"/>
        <v>12.1961808</v>
      </c>
      <c r="AE5">
        <f t="shared" si="4"/>
        <v>3.1626191999999982</v>
      </c>
      <c r="AF5">
        <v>1.0211589999999999</v>
      </c>
      <c r="AG5">
        <f t="shared" si="5"/>
        <v>2.2861069999999994</v>
      </c>
      <c r="AH5">
        <v>5.4260390000000003</v>
      </c>
    </row>
    <row r="6" spans="1:34" x14ac:dyDescent="0.4">
      <c r="A6">
        <v>2006</v>
      </c>
      <c r="B6">
        <v>12.641565999999999</v>
      </c>
      <c r="C6">
        <v>18.535920000000001</v>
      </c>
      <c r="D6">
        <v>12.454668</v>
      </c>
      <c r="F6">
        <v>2.2038139999999999</v>
      </c>
      <c r="G6">
        <f t="shared" si="0"/>
        <v>12.454668</v>
      </c>
      <c r="H6">
        <v>1.502804</v>
      </c>
      <c r="I6">
        <v>1.5030969999999999</v>
      </c>
      <c r="J6">
        <v>0.28372799999999998</v>
      </c>
      <c r="K6">
        <v>5.8659000000000003E-2</v>
      </c>
      <c r="L6">
        <v>7.6228829999999999</v>
      </c>
      <c r="N6">
        <v>5.330419</v>
      </c>
      <c r="O6">
        <v>8.5718000000000003E-2</v>
      </c>
      <c r="P6">
        <v>14.945131</v>
      </c>
      <c r="Q6">
        <v>1.329752</v>
      </c>
      <c r="R6">
        <v>2.53674</v>
      </c>
      <c r="S6">
        <v>0.89133799999999996</v>
      </c>
      <c r="T6">
        <v>1.0537049999999999</v>
      </c>
      <c r="U6">
        <v>0.48613899999999999</v>
      </c>
      <c r="V6">
        <v>0.87569799999999998</v>
      </c>
      <c r="W6">
        <v>0.125717</v>
      </c>
      <c r="X6">
        <v>9.4689999999999996E-2</v>
      </c>
      <c r="Y6">
        <v>0.93756300000000004</v>
      </c>
      <c r="Z6">
        <f t="shared" si="1"/>
        <v>1.361837</v>
      </c>
      <c r="AA6">
        <v>0.28372799999999998</v>
      </c>
      <c r="AB6">
        <f t="shared" si="2"/>
        <v>0.21143499999999998</v>
      </c>
      <c r="AC6">
        <v>5.8659000000000003E-2</v>
      </c>
      <c r="AD6">
        <f t="shared" si="3"/>
        <v>12.988357800000001</v>
      </c>
      <c r="AE6">
        <f t="shared" si="4"/>
        <v>3.4598701999999992</v>
      </c>
      <c r="AF6">
        <v>1.0537049999999999</v>
      </c>
      <c r="AG6">
        <f t="shared" si="5"/>
        <v>2.5046550000000001</v>
      </c>
      <c r="AH6">
        <v>5.330419</v>
      </c>
    </row>
    <row r="7" spans="1:34" x14ac:dyDescent="0.4">
      <c r="A7">
        <v>2007</v>
      </c>
      <c r="B7">
        <v>13.073399999999999</v>
      </c>
      <c r="C7">
        <v>19.709906</v>
      </c>
      <c r="D7">
        <v>12.43548</v>
      </c>
      <c r="F7">
        <v>2.2564160000000002</v>
      </c>
      <c r="G7">
        <f t="shared" si="0"/>
        <v>12.43548</v>
      </c>
      <c r="H7">
        <v>1.3555360000000001</v>
      </c>
      <c r="I7">
        <v>1.41984</v>
      </c>
      <c r="J7">
        <v>0.27561600000000003</v>
      </c>
      <c r="K7">
        <v>4.0798000000000001E-2</v>
      </c>
      <c r="L7">
        <v>6.744936</v>
      </c>
      <c r="N7">
        <v>4.9086259999999999</v>
      </c>
      <c r="O7">
        <v>8.7361999999999995E-2</v>
      </c>
      <c r="P7">
        <v>13.508611</v>
      </c>
      <c r="Q7">
        <v>1.561075</v>
      </c>
      <c r="R7">
        <v>2.3039999999999998</v>
      </c>
      <c r="S7">
        <v>0.54124399999999995</v>
      </c>
      <c r="T7">
        <v>1.1605510000000001</v>
      </c>
      <c r="U7">
        <v>0.50649599999999995</v>
      </c>
      <c r="V7">
        <v>0.90107700000000002</v>
      </c>
      <c r="W7">
        <v>0.134459</v>
      </c>
      <c r="X7">
        <v>0.100574</v>
      </c>
      <c r="Y7">
        <v>0.91900800000000005</v>
      </c>
      <c r="Z7">
        <f t="shared" si="1"/>
        <v>1.407573</v>
      </c>
      <c r="AA7">
        <v>0.27561600000000003</v>
      </c>
      <c r="AB7">
        <f t="shared" si="2"/>
        <v>0.22182099999999999</v>
      </c>
      <c r="AC7">
        <v>4.0798000000000001E-2</v>
      </c>
      <c r="AD7">
        <f t="shared" si="3"/>
        <v>11.826470800000001</v>
      </c>
      <c r="AE7">
        <f t="shared" si="4"/>
        <v>3.1019801999999999</v>
      </c>
      <c r="AF7">
        <v>1.1605510000000001</v>
      </c>
      <c r="AG7">
        <f t="shared" si="5"/>
        <v>2.4575020000000003</v>
      </c>
      <c r="AH7">
        <v>4.9086259999999999</v>
      </c>
    </row>
    <row r="8" spans="1:34" x14ac:dyDescent="0.4">
      <c r="A8">
        <v>2008</v>
      </c>
      <c r="B8">
        <v>13.403236</v>
      </c>
      <c r="C8">
        <v>20.724976999999999</v>
      </c>
      <c r="D8">
        <v>11.496270000000001</v>
      </c>
      <c r="E8">
        <v>1.0833090000000001</v>
      </c>
      <c r="F8">
        <v>2.2481939999999998</v>
      </c>
      <c r="G8">
        <f t="shared" si="0"/>
        <v>12.579579000000001</v>
      </c>
      <c r="H8">
        <v>1.3860220000000001</v>
      </c>
      <c r="I8">
        <v>1.414221</v>
      </c>
      <c r="J8">
        <v>0.26993699999999998</v>
      </c>
      <c r="K8">
        <v>3.5673000000000003E-2</v>
      </c>
      <c r="L8">
        <v>3.8234409999999999</v>
      </c>
      <c r="M8">
        <v>0.44466299999999997</v>
      </c>
      <c r="N8">
        <v>2.9826199999999998</v>
      </c>
      <c r="O8">
        <v>8.3250000000000005E-2</v>
      </c>
      <c r="P8">
        <v>14.594472</v>
      </c>
      <c r="Q8">
        <v>1.456226</v>
      </c>
      <c r="R8">
        <v>2.415397</v>
      </c>
      <c r="S8">
        <v>0.55866800000000005</v>
      </c>
      <c r="T8">
        <v>1.1699679999999999</v>
      </c>
      <c r="U8">
        <v>0.51076100000000002</v>
      </c>
      <c r="V8">
        <v>0.88382300000000003</v>
      </c>
      <c r="W8">
        <v>0.13367999999999999</v>
      </c>
      <c r="X8">
        <v>9.5746999999999999E-2</v>
      </c>
      <c r="Y8">
        <v>0.94179100000000004</v>
      </c>
      <c r="Z8">
        <f t="shared" si="1"/>
        <v>1.394584</v>
      </c>
      <c r="AA8">
        <v>0.26993699999999998</v>
      </c>
      <c r="AB8">
        <f t="shared" si="2"/>
        <v>0.21693000000000001</v>
      </c>
      <c r="AC8">
        <v>3.5673000000000003E-2</v>
      </c>
      <c r="AD8">
        <f t="shared" si="3"/>
        <v>12.7131156</v>
      </c>
      <c r="AE8">
        <f t="shared" si="4"/>
        <v>3.2955774000000009</v>
      </c>
      <c r="AF8">
        <v>1.1699679999999999</v>
      </c>
      <c r="AG8">
        <f t="shared" si="5"/>
        <v>2.477039</v>
      </c>
      <c r="AH8">
        <f t="shared" ref="AH8:AH21" si="6">L8+M8+N8-H8</f>
        <v>5.8647019999999994</v>
      </c>
    </row>
    <row r="9" spans="1:34" x14ac:dyDescent="0.4">
      <c r="A9">
        <v>2009</v>
      </c>
      <c r="B9">
        <v>14.05222</v>
      </c>
      <c r="C9">
        <v>22.164605999999999</v>
      </c>
      <c r="D9">
        <v>11.786109</v>
      </c>
      <c r="E9">
        <v>0.97722600000000004</v>
      </c>
      <c r="F9">
        <v>2.183878</v>
      </c>
      <c r="G9">
        <f t="shared" si="0"/>
        <v>12.763335</v>
      </c>
      <c r="H9">
        <v>1.456469</v>
      </c>
      <c r="I9">
        <v>1.8529059999999999</v>
      </c>
      <c r="J9">
        <v>0.32460600000000001</v>
      </c>
      <c r="K9">
        <v>5.9121E-2</v>
      </c>
      <c r="L9">
        <v>3.880306</v>
      </c>
      <c r="M9">
        <v>0.52329400000000004</v>
      </c>
      <c r="N9">
        <v>3.8705940000000001</v>
      </c>
      <c r="O9">
        <v>0.10280400000000001</v>
      </c>
      <c r="P9">
        <v>15.488542000000001</v>
      </c>
      <c r="Q9">
        <v>1.5272539999999999</v>
      </c>
      <c r="R9">
        <v>2.6840929999999998</v>
      </c>
      <c r="S9">
        <v>0.69612300000000005</v>
      </c>
      <c r="T9">
        <v>1.1626669999999999</v>
      </c>
      <c r="U9">
        <v>0.53066599999999997</v>
      </c>
      <c r="V9">
        <v>1.0696049999999999</v>
      </c>
      <c r="W9">
        <v>0.158946</v>
      </c>
      <c r="X9">
        <v>0.10197100000000001</v>
      </c>
      <c r="Y9">
        <v>1.016939</v>
      </c>
      <c r="Z9">
        <f t="shared" si="1"/>
        <v>1.6002709999999998</v>
      </c>
      <c r="AA9">
        <v>0.32460600000000001</v>
      </c>
      <c r="AB9">
        <f t="shared" si="2"/>
        <v>0.26175000000000004</v>
      </c>
      <c r="AC9">
        <v>5.9121E-2</v>
      </c>
      <c r="AD9">
        <f t="shared" si="3"/>
        <v>13.509743600000002</v>
      </c>
      <c r="AE9">
        <f t="shared" si="4"/>
        <v>3.8317043999999978</v>
      </c>
      <c r="AF9">
        <v>1.1626669999999999</v>
      </c>
      <c r="AG9">
        <f t="shared" si="5"/>
        <v>2.6110759999999997</v>
      </c>
      <c r="AH9">
        <f t="shared" si="6"/>
        <v>6.8177249999999994</v>
      </c>
    </row>
    <row r="10" spans="1:34" x14ac:dyDescent="0.4">
      <c r="A10">
        <v>2010</v>
      </c>
      <c r="B10">
        <v>14.823008</v>
      </c>
      <c r="C10">
        <v>23.465343000000001</v>
      </c>
      <c r="D10">
        <v>12.035945999999999</v>
      </c>
      <c r="E10">
        <v>1.116358</v>
      </c>
      <c r="F10">
        <v>2.2893690000000002</v>
      </c>
      <c r="G10">
        <f t="shared" si="0"/>
        <v>13.152303999999999</v>
      </c>
      <c r="H10">
        <v>1.5413220000000001</v>
      </c>
      <c r="I10">
        <v>1.9783170000000001</v>
      </c>
      <c r="J10">
        <v>0.324882</v>
      </c>
      <c r="K10">
        <v>5.5516999999999997E-2</v>
      </c>
      <c r="L10">
        <v>4.0333680000000003</v>
      </c>
      <c r="M10">
        <v>0.86809400000000003</v>
      </c>
      <c r="N10">
        <v>4.0194210000000004</v>
      </c>
      <c r="O10">
        <v>0.114594</v>
      </c>
      <c r="P10">
        <v>16.477167999999999</v>
      </c>
      <c r="Q10">
        <v>1.536629</v>
      </c>
      <c r="R10">
        <v>2.84443</v>
      </c>
      <c r="S10">
        <v>0.74270400000000003</v>
      </c>
      <c r="T10">
        <v>1.2427319999999999</v>
      </c>
      <c r="U10">
        <v>0.52297800000000005</v>
      </c>
      <c r="V10">
        <v>1.1308549999999999</v>
      </c>
      <c r="W10">
        <v>0.16723499999999999</v>
      </c>
      <c r="X10">
        <v>0.105951</v>
      </c>
      <c r="Y10">
        <v>1.061096</v>
      </c>
      <c r="Z10">
        <f t="shared" si="1"/>
        <v>1.6538330000000001</v>
      </c>
      <c r="AA10">
        <v>0.324882</v>
      </c>
      <c r="AB10">
        <f t="shared" si="2"/>
        <v>0.281829</v>
      </c>
      <c r="AC10">
        <v>5.5516999999999997E-2</v>
      </c>
      <c r="AD10">
        <f t="shared" si="3"/>
        <v>14.3487814</v>
      </c>
      <c r="AE10">
        <f t="shared" si="4"/>
        <v>4.1067035999999995</v>
      </c>
      <c r="AF10">
        <v>1.2427319999999999</v>
      </c>
      <c r="AG10">
        <f t="shared" si="5"/>
        <v>2.7272260000000004</v>
      </c>
      <c r="AH10">
        <f t="shared" si="6"/>
        <v>7.3795609999999998</v>
      </c>
    </row>
    <row r="11" spans="1:34" x14ac:dyDescent="0.4">
      <c r="A11">
        <v>2011</v>
      </c>
      <c r="B11">
        <v>15.513292</v>
      </c>
      <c r="C11">
        <v>24.719338</v>
      </c>
      <c r="D11">
        <v>12.419385999999999</v>
      </c>
      <c r="E11">
        <v>1.1478090000000001</v>
      </c>
      <c r="F11">
        <v>2.2322649999999999</v>
      </c>
      <c r="G11">
        <f t="shared" si="0"/>
        <v>13.567195</v>
      </c>
      <c r="H11">
        <v>1.601764</v>
      </c>
      <c r="I11">
        <v>1.9575610000000001</v>
      </c>
      <c r="J11">
        <v>0.34838599999999997</v>
      </c>
      <c r="K11">
        <v>5.6189999999999997E-2</v>
      </c>
      <c r="L11">
        <v>4.1499009999999998</v>
      </c>
      <c r="M11">
        <v>0.83294299999999999</v>
      </c>
      <c r="N11">
        <v>4.30985</v>
      </c>
      <c r="O11">
        <v>0.13129199999999999</v>
      </c>
      <c r="P11">
        <v>17.435044000000001</v>
      </c>
      <c r="Q11">
        <v>1.5415270000000001</v>
      </c>
      <c r="R11">
        <v>3.0930019999999998</v>
      </c>
      <c r="S11">
        <v>0.80227599999999999</v>
      </c>
      <c r="T11">
        <v>1.199862</v>
      </c>
      <c r="U11">
        <v>0.45957199999999998</v>
      </c>
      <c r="V11">
        <v>1.108217</v>
      </c>
      <c r="W11">
        <v>0.164357</v>
      </c>
      <c r="X11">
        <v>0.122964</v>
      </c>
      <c r="Y11">
        <v>1.127189</v>
      </c>
      <c r="Z11">
        <f t="shared" si="1"/>
        <v>1.5677889999999999</v>
      </c>
      <c r="AA11">
        <v>0.34838599999999997</v>
      </c>
      <c r="AB11">
        <f t="shared" si="2"/>
        <v>0.295649</v>
      </c>
      <c r="AC11">
        <v>5.6189999999999997E-2</v>
      </c>
      <c r="AD11">
        <f t="shared" si="3"/>
        <v>15.198188200000001</v>
      </c>
      <c r="AE11">
        <f t="shared" si="4"/>
        <v>4.1944168000000026</v>
      </c>
      <c r="AF11">
        <v>1.199862</v>
      </c>
      <c r="AG11">
        <f t="shared" si="5"/>
        <v>3.0667400000000002</v>
      </c>
      <c r="AH11">
        <f t="shared" si="6"/>
        <v>7.6909300000000007</v>
      </c>
    </row>
    <row r="12" spans="1:34" x14ac:dyDescent="0.4">
      <c r="A12">
        <v>2012</v>
      </c>
      <c r="B12">
        <v>16.438105</v>
      </c>
      <c r="C12">
        <v>26.445447999999999</v>
      </c>
      <c r="D12">
        <v>12.671891</v>
      </c>
      <c r="E12">
        <v>1.223441</v>
      </c>
      <c r="F12">
        <v>2.2978749999999999</v>
      </c>
      <c r="G12">
        <f t="shared" si="0"/>
        <v>13.895332</v>
      </c>
      <c r="H12">
        <v>1.7646839999999999</v>
      </c>
      <c r="I12">
        <v>2.1270199999999999</v>
      </c>
      <c r="J12">
        <v>0.39351000000000003</v>
      </c>
      <c r="K12">
        <v>7.0973999999999995E-2</v>
      </c>
      <c r="L12">
        <v>4.5372709999999996</v>
      </c>
      <c r="M12">
        <v>0.96670400000000001</v>
      </c>
      <c r="N12">
        <v>4.409046</v>
      </c>
      <c r="O12">
        <v>0.158916</v>
      </c>
      <c r="P12">
        <v>18.664241000000001</v>
      </c>
      <c r="Q12">
        <v>1.6149770000000001</v>
      </c>
      <c r="R12">
        <v>3.3376899999999998</v>
      </c>
      <c r="S12">
        <v>0.84314199999999995</v>
      </c>
      <c r="T12">
        <v>1.331378</v>
      </c>
      <c r="U12">
        <v>0.49580600000000002</v>
      </c>
      <c r="V12">
        <v>1.2731509999999999</v>
      </c>
      <c r="W12">
        <v>0.20391699999999999</v>
      </c>
      <c r="X12">
        <v>0.125836</v>
      </c>
      <c r="Y12">
        <v>1.2495540000000001</v>
      </c>
      <c r="Z12">
        <f t="shared" si="1"/>
        <v>1.7689569999999999</v>
      </c>
      <c r="AA12">
        <v>0.39351000000000003</v>
      </c>
      <c r="AB12">
        <f t="shared" si="2"/>
        <v>0.36283299999999996</v>
      </c>
      <c r="AC12">
        <v>7.0973999999999995E-2</v>
      </c>
      <c r="AD12">
        <f t="shared" si="3"/>
        <v>16.306782800000001</v>
      </c>
      <c r="AE12">
        <f t="shared" si="4"/>
        <v>4.4844781999999981</v>
      </c>
      <c r="AF12">
        <v>1.331378</v>
      </c>
      <c r="AG12">
        <f t="shared" si="5"/>
        <v>3.18371</v>
      </c>
      <c r="AH12">
        <f t="shared" si="6"/>
        <v>8.1483370000000015</v>
      </c>
    </row>
    <row r="13" spans="1:34" x14ac:dyDescent="0.4">
      <c r="A13">
        <v>2013</v>
      </c>
      <c r="B13">
        <v>17.392453</v>
      </c>
      <c r="C13">
        <v>28.024349000000001</v>
      </c>
      <c r="D13">
        <v>12.643822</v>
      </c>
      <c r="E13">
        <v>1.3519779999999999</v>
      </c>
      <c r="F13">
        <v>2.3074270000000001</v>
      </c>
      <c r="G13">
        <f t="shared" si="0"/>
        <v>13.995799999999999</v>
      </c>
      <c r="H13">
        <v>1.8568039999999999</v>
      </c>
      <c r="I13">
        <v>2.2812130000000002</v>
      </c>
      <c r="J13">
        <v>0.40010000000000001</v>
      </c>
      <c r="K13">
        <v>7.3885000000000006E-2</v>
      </c>
      <c r="L13">
        <v>4.7731120000000002</v>
      </c>
      <c r="M13">
        <v>1.1528970000000001</v>
      </c>
      <c r="N13">
        <v>4.9498579999999999</v>
      </c>
      <c r="O13">
        <v>0.17741299999999999</v>
      </c>
      <c r="P13">
        <v>19.887461999999999</v>
      </c>
      <c r="Q13">
        <v>1.634253</v>
      </c>
      <c r="R13">
        <v>3.536581</v>
      </c>
      <c r="S13">
        <v>0.85630899999999999</v>
      </c>
      <c r="T13">
        <v>1.4504589999999999</v>
      </c>
      <c r="U13">
        <v>0.49529499999999999</v>
      </c>
      <c r="V13">
        <v>1.3883399999999999</v>
      </c>
      <c r="W13">
        <v>0.20812900000000001</v>
      </c>
      <c r="X13">
        <v>0.12808600000000001</v>
      </c>
      <c r="Y13">
        <v>1.3402179999999999</v>
      </c>
      <c r="Z13">
        <f t="shared" si="1"/>
        <v>1.8836349999999999</v>
      </c>
      <c r="AA13">
        <v>0.40000999999999998</v>
      </c>
      <c r="AB13">
        <f t="shared" si="2"/>
        <v>0.385542</v>
      </c>
      <c r="AC13">
        <v>7.3885000000000006E-2</v>
      </c>
      <c r="AD13">
        <f t="shared" si="3"/>
        <v>17.3782736</v>
      </c>
      <c r="AE13">
        <f t="shared" si="4"/>
        <v>4.7904014000000004</v>
      </c>
      <c r="AF13">
        <v>1.4504589999999999</v>
      </c>
      <c r="AG13">
        <f t="shared" si="5"/>
        <v>3.2871990000000006</v>
      </c>
      <c r="AH13">
        <f t="shared" si="6"/>
        <v>9.0190629999999992</v>
      </c>
    </row>
    <row r="14" spans="1:34" x14ac:dyDescent="0.4">
      <c r="A14">
        <v>2014</v>
      </c>
      <c r="B14">
        <v>18.126480999999998</v>
      </c>
      <c r="C14">
        <v>29.357590999999999</v>
      </c>
      <c r="D14">
        <v>12.808370999999999</v>
      </c>
      <c r="E14">
        <v>2.0273180000000002</v>
      </c>
      <c r="F14">
        <v>2.2954129999999999</v>
      </c>
      <c r="G14">
        <f t="shared" si="0"/>
        <v>14.835688999999999</v>
      </c>
      <c r="H14" s="3">
        <v>2.0045760000000001</v>
      </c>
      <c r="I14">
        <v>2.2983600000000002</v>
      </c>
      <c r="J14">
        <v>0.43737300000000001</v>
      </c>
      <c r="K14">
        <v>8.8736999999999996E-2</v>
      </c>
      <c r="L14">
        <v>4.9693370000000003</v>
      </c>
      <c r="M14">
        <v>1.205268</v>
      </c>
      <c r="N14">
        <v>5.1005120000000002</v>
      </c>
      <c r="O14">
        <v>0.17033799999999999</v>
      </c>
      <c r="P14">
        <v>20.902594000000001</v>
      </c>
      <c r="Q14">
        <v>1.64632</v>
      </c>
      <c r="R14">
        <v>3.7708910000000002</v>
      </c>
      <c r="S14">
        <v>0.86424599999999996</v>
      </c>
      <c r="T14">
        <v>1.4567190000000001</v>
      </c>
      <c r="U14">
        <v>0.48741200000000001</v>
      </c>
      <c r="V14">
        <v>1.391651</v>
      </c>
      <c r="W14">
        <v>0.19742000000000001</v>
      </c>
      <c r="X14">
        <v>0.113803</v>
      </c>
      <c r="Y14">
        <v>1.4337629999999999</v>
      </c>
      <c r="Z14">
        <f t="shared" si="1"/>
        <v>1.8790629999999999</v>
      </c>
      <c r="AA14">
        <v>0.43737300000000001</v>
      </c>
      <c r="AB14">
        <f t="shared" si="2"/>
        <v>0.36775800000000003</v>
      </c>
      <c r="AC14">
        <v>8.8736999999999996E-2</v>
      </c>
      <c r="AD14">
        <f t="shared" si="3"/>
        <v>18.269641200000002</v>
      </c>
      <c r="AE14">
        <f t="shared" si="4"/>
        <v>4.9313127999999971</v>
      </c>
      <c r="AF14">
        <v>1.4567190000000001</v>
      </c>
      <c r="AG14">
        <f t="shared" si="5"/>
        <v>3.5381480000000001</v>
      </c>
      <c r="AH14">
        <f t="shared" si="6"/>
        <v>9.2705410000000015</v>
      </c>
    </row>
    <row r="15" spans="1:34" x14ac:dyDescent="0.4">
      <c r="A15">
        <v>2015</v>
      </c>
      <c r="B15">
        <v>18.756277000000001</v>
      </c>
      <c r="C15">
        <v>30.622734999999999</v>
      </c>
      <c r="D15">
        <v>13.147811000000001</v>
      </c>
      <c r="E15">
        <v>2.1920000000000002</v>
      </c>
      <c r="F15">
        <v>2.2776649999999998</v>
      </c>
      <c r="G15">
        <f t="shared" si="0"/>
        <v>15.339811000000001</v>
      </c>
      <c r="H15" s="3">
        <v>2.089153</v>
      </c>
      <c r="I15">
        <v>2.3507820000000001</v>
      </c>
      <c r="J15">
        <v>0.46662399999999998</v>
      </c>
      <c r="K15">
        <v>0.10573100000000001</v>
      </c>
      <c r="L15">
        <v>5.1910990000000004</v>
      </c>
      <c r="M15">
        <v>1.343097</v>
      </c>
      <c r="N15">
        <v>5.275773</v>
      </c>
      <c r="O15">
        <v>0.19068599999999999</v>
      </c>
      <c r="P15">
        <v>21.956885</v>
      </c>
      <c r="Q15">
        <v>1.6478349999999999</v>
      </c>
      <c r="R15">
        <v>3.8840129999999999</v>
      </c>
      <c r="S15">
        <v>0.88869500000000001</v>
      </c>
      <c r="T15">
        <v>1.558187</v>
      </c>
      <c r="U15">
        <v>0.48172399999999999</v>
      </c>
      <c r="V15">
        <v>1.379086</v>
      </c>
      <c r="W15">
        <v>0.203433</v>
      </c>
      <c r="X15">
        <v>0.122542</v>
      </c>
      <c r="Y15">
        <v>1.434917</v>
      </c>
      <c r="Z15">
        <f t="shared" si="1"/>
        <v>1.8608100000000001</v>
      </c>
      <c r="AA15">
        <v>0.46662399999999998</v>
      </c>
      <c r="AB15">
        <f t="shared" si="2"/>
        <v>0.394119</v>
      </c>
      <c r="AC15">
        <v>0.10573100000000001</v>
      </c>
      <c r="AD15">
        <f t="shared" si="3"/>
        <v>19.122966999999999</v>
      </c>
      <c r="AE15">
        <f t="shared" si="4"/>
        <v>5.1846999999999994</v>
      </c>
      <c r="AF15">
        <v>1.558187</v>
      </c>
      <c r="AG15">
        <f t="shared" si="5"/>
        <v>3.6710380000000002</v>
      </c>
      <c r="AH15">
        <f t="shared" si="6"/>
        <v>9.720816000000001</v>
      </c>
    </row>
    <row r="16" spans="1:34" x14ac:dyDescent="0.4">
      <c r="A16">
        <v>2016</v>
      </c>
      <c r="B16">
        <v>19.153079000000002</v>
      </c>
      <c r="C16">
        <v>28.778880999999998</v>
      </c>
      <c r="D16">
        <v>11.872028999999999</v>
      </c>
      <c r="E16">
        <v>1.9875119999999999</v>
      </c>
      <c r="F16">
        <v>2.003333</v>
      </c>
      <c r="G16">
        <f t="shared" si="0"/>
        <v>13.859541</v>
      </c>
      <c r="H16" s="3">
        <v>2.1070600000000002</v>
      </c>
      <c r="I16">
        <v>2.2961960000000001</v>
      </c>
      <c r="J16">
        <v>0.48519000000000001</v>
      </c>
      <c r="K16">
        <v>0.11708499999999999</v>
      </c>
      <c r="L16">
        <v>5.740094</v>
      </c>
      <c r="M16">
        <v>0.98990299999999998</v>
      </c>
      <c r="N16">
        <v>5.3999309999999996</v>
      </c>
      <c r="O16">
        <v>0.20508199999999999</v>
      </c>
      <c r="P16">
        <v>20.964867999999999</v>
      </c>
      <c r="Q16">
        <v>1.477606</v>
      </c>
      <c r="R16">
        <v>3.3293240000000002</v>
      </c>
      <c r="S16">
        <v>0.80674400000000002</v>
      </c>
      <c r="T16">
        <v>1.6283609999999999</v>
      </c>
      <c r="U16">
        <v>0.454148</v>
      </c>
      <c r="V16">
        <v>1.1963809999999999</v>
      </c>
      <c r="W16">
        <v>0.17566799999999999</v>
      </c>
      <c r="X16">
        <v>0.137901</v>
      </c>
      <c r="Y16">
        <v>1.5041679999999999</v>
      </c>
      <c r="Z16">
        <f t="shared" si="1"/>
        <v>1.6505289999999999</v>
      </c>
      <c r="AA16">
        <v>0.48516900000000002</v>
      </c>
      <c r="AB16">
        <f t="shared" si="2"/>
        <v>0.38074999999999998</v>
      </c>
      <c r="AC16">
        <v>0.11708499999999999</v>
      </c>
      <c r="AD16">
        <f t="shared" si="3"/>
        <v>18.4139634</v>
      </c>
      <c r="AE16">
        <f t="shared" si="4"/>
        <v>4.8471005999999974</v>
      </c>
      <c r="AF16">
        <v>1.6283609999999999</v>
      </c>
      <c r="AG16">
        <f t="shared" si="5"/>
        <v>3.1564010000000007</v>
      </c>
      <c r="AH16">
        <f t="shared" si="6"/>
        <v>10.022867999999999</v>
      </c>
    </row>
    <row r="17" spans="1:34" x14ac:dyDescent="0.4">
      <c r="A17">
        <v>2017</v>
      </c>
      <c r="B17" s="1">
        <v>20.006972999999999</v>
      </c>
      <c r="C17" s="1">
        <v>29.05293</v>
      </c>
      <c r="D17">
        <v>11.124203</v>
      </c>
      <c r="E17">
        <v>2.0861999999999998</v>
      </c>
      <c r="F17">
        <v>2.1829730000000001</v>
      </c>
      <c r="G17">
        <f t="shared" si="0"/>
        <v>13.210402999999999</v>
      </c>
      <c r="H17" s="1">
        <v>2.2278380000000002</v>
      </c>
      <c r="I17" s="1">
        <v>2.6651600000000002</v>
      </c>
      <c r="J17" s="1">
        <v>0.56733299999999998</v>
      </c>
      <c r="K17" s="1">
        <v>0.13503200000000001</v>
      </c>
      <c r="L17" s="1">
        <v>5.9709890000000003</v>
      </c>
      <c r="M17" s="1">
        <v>1.191006</v>
      </c>
      <c r="N17" s="1">
        <v>5.3652800000000003</v>
      </c>
      <c r="O17" s="1">
        <v>0.24015400000000001</v>
      </c>
      <c r="P17" s="1">
        <v>21.222190999999999</v>
      </c>
      <c r="Q17" s="1">
        <v>1.3325009999999999</v>
      </c>
      <c r="R17" s="1">
        <v>3.2167119999999998</v>
      </c>
      <c r="S17" s="1">
        <v>0.77327500000000005</v>
      </c>
      <c r="T17" s="1">
        <v>1.9475070000000001</v>
      </c>
      <c r="U17" s="1">
        <v>0.29082000000000002</v>
      </c>
      <c r="V17" s="1">
        <v>0.82658299999999996</v>
      </c>
      <c r="W17" s="1">
        <v>0.18937999999999999</v>
      </c>
      <c r="X17" s="2">
        <v>0.15659500000000001</v>
      </c>
      <c r="Y17" s="2">
        <v>1.6311850000000001</v>
      </c>
      <c r="Z17">
        <f t="shared" si="1"/>
        <v>1.1174029999999999</v>
      </c>
      <c r="AA17" s="1">
        <v>0.56733299999999998</v>
      </c>
      <c r="AB17">
        <f t="shared" si="2"/>
        <v>0.42953399999999997</v>
      </c>
      <c r="AC17" s="1">
        <v>0.13503200000000001</v>
      </c>
      <c r="AD17">
        <f t="shared" si="3"/>
        <v>18.765532799999999</v>
      </c>
      <c r="AE17">
        <f t="shared" si="4"/>
        <v>5.1218181999999999</v>
      </c>
      <c r="AF17" s="1">
        <v>1.9475070000000001</v>
      </c>
      <c r="AG17">
        <f t="shared" si="5"/>
        <v>3.43181</v>
      </c>
      <c r="AH17">
        <f t="shared" si="6"/>
        <v>10.299436999999999</v>
      </c>
    </row>
    <row r="18" spans="1:34" x14ac:dyDescent="0.4">
      <c r="A18">
        <v>2018</v>
      </c>
      <c r="B18">
        <v>20.312206</v>
      </c>
      <c r="C18">
        <v>29.598383999999999</v>
      </c>
      <c r="D18">
        <v>10.444647</v>
      </c>
      <c r="E18">
        <v>2.25745</v>
      </c>
      <c r="F18">
        <v>1.9638709999999999</v>
      </c>
      <c r="G18">
        <f t="shared" si="0"/>
        <v>12.702097</v>
      </c>
      <c r="H18" s="3">
        <v>2.343871</v>
      </c>
      <c r="I18">
        <v>2.4665319999999999</v>
      </c>
      <c r="J18">
        <v>0.59456200000000003</v>
      </c>
      <c r="K18">
        <v>0.153978</v>
      </c>
      <c r="L18">
        <v>6.1261520000000003</v>
      </c>
      <c r="M18">
        <v>1.2785420000000001</v>
      </c>
      <c r="N18">
        <v>5.3116989999999999</v>
      </c>
      <c r="O18">
        <v>0.25536599999999998</v>
      </c>
      <c r="P18">
        <v>22.109687000000001</v>
      </c>
      <c r="Q18">
        <v>0.97798399999999996</v>
      </c>
      <c r="R18">
        <v>2.9492259999999999</v>
      </c>
      <c r="S18">
        <v>0.63787300000000002</v>
      </c>
      <c r="T18">
        <v>2.333269</v>
      </c>
      <c r="U18">
        <v>8.4029999999999994E-2</v>
      </c>
      <c r="V18">
        <v>0.59106700000000001</v>
      </c>
      <c r="W18">
        <v>0.21346300000000001</v>
      </c>
      <c r="X18">
        <v>0.16658100000000001</v>
      </c>
      <c r="Y18">
        <v>1.7029110000000001</v>
      </c>
      <c r="Z18">
        <f t="shared" si="1"/>
        <v>0.67509700000000006</v>
      </c>
      <c r="AA18">
        <v>0.59456200000000003</v>
      </c>
      <c r="AB18">
        <f t="shared" si="2"/>
        <v>0.468829</v>
      </c>
      <c r="AC18">
        <v>0.153978</v>
      </c>
      <c r="AD18">
        <f t="shared" si="3"/>
        <v>19.557241600000001</v>
      </c>
      <c r="AE18">
        <f t="shared" si="4"/>
        <v>5.0189774000000007</v>
      </c>
      <c r="AF18">
        <v>2.333269</v>
      </c>
      <c r="AG18">
        <f t="shared" si="5"/>
        <v>3.2521129999999996</v>
      </c>
      <c r="AH18">
        <f t="shared" si="6"/>
        <v>10.372522</v>
      </c>
    </row>
    <row r="19" spans="1:34" x14ac:dyDescent="0.4">
      <c r="A19">
        <v>2019</v>
      </c>
      <c r="B19">
        <v>20.653286999999999</v>
      </c>
      <c r="C19">
        <v>30.137440999999999</v>
      </c>
      <c r="D19">
        <v>10.001514999999999</v>
      </c>
      <c r="E19">
        <v>2.1701519999999999</v>
      </c>
      <c r="F19">
        <v>1.841221</v>
      </c>
      <c r="G19">
        <f t="shared" si="0"/>
        <v>12.171666999999999</v>
      </c>
      <c r="H19" s="3">
        <v>2.5383960000000001</v>
      </c>
      <c r="I19">
        <v>2.503495</v>
      </c>
      <c r="J19">
        <v>0.55031699999999995</v>
      </c>
      <c r="K19">
        <v>0.20519799999999999</v>
      </c>
      <c r="L19">
        <v>6.1745650000000003</v>
      </c>
      <c r="M19">
        <v>1.289917</v>
      </c>
      <c r="N19">
        <v>5.1282170000000002</v>
      </c>
      <c r="O19">
        <v>0.27587499999999998</v>
      </c>
      <c r="P19">
        <v>22.300543000000001</v>
      </c>
      <c r="Q19">
        <v>0.86233099999999996</v>
      </c>
      <c r="R19">
        <v>2.870495</v>
      </c>
      <c r="S19">
        <v>0.53830900000000004</v>
      </c>
      <c r="T19">
        <v>2.9133300000000002</v>
      </c>
      <c r="U19">
        <v>4.1413999999999999E-2</v>
      </c>
      <c r="V19">
        <v>0.42730200000000002</v>
      </c>
      <c r="W19">
        <v>0.266405</v>
      </c>
      <c r="X19">
        <v>0.180173</v>
      </c>
      <c r="Y19">
        <v>1.7438260000000001</v>
      </c>
      <c r="Z19">
        <f t="shared" si="1"/>
        <v>0.46871600000000002</v>
      </c>
      <c r="AA19">
        <v>0.55031699999999995</v>
      </c>
      <c r="AB19">
        <f t="shared" si="2"/>
        <v>0.54227999999999998</v>
      </c>
      <c r="AC19">
        <v>0.20519799999999999</v>
      </c>
      <c r="AD19">
        <f t="shared" si="3"/>
        <v>19.764433400000001</v>
      </c>
      <c r="AE19">
        <f t="shared" si="4"/>
        <v>5.0396046000000005</v>
      </c>
      <c r="AF19">
        <v>2.9133300000000002</v>
      </c>
      <c r="AG19">
        <f t="shared" si="5"/>
        <v>3.2641100000000001</v>
      </c>
      <c r="AH19">
        <f t="shared" si="6"/>
        <v>10.054302999999999</v>
      </c>
    </row>
    <row r="20" spans="1:34" x14ac:dyDescent="0.4">
      <c r="A20">
        <v>2020</v>
      </c>
      <c r="B20">
        <v>21.353076000000001</v>
      </c>
      <c r="C20">
        <v>30.888912000000001</v>
      </c>
      <c r="D20">
        <v>9.4741040000000005</v>
      </c>
      <c r="E20">
        <v>2.3165740000000001</v>
      </c>
      <c r="F20">
        <v>1.457503</v>
      </c>
      <c r="G20">
        <f t="shared" si="0"/>
        <v>11.790678</v>
      </c>
      <c r="H20" s="3">
        <v>2.6151360000000001</v>
      </c>
      <c r="I20">
        <v>2.5738029999999998</v>
      </c>
      <c r="J20">
        <v>0.56511199999999995</v>
      </c>
      <c r="K20">
        <v>0.29311999999999999</v>
      </c>
      <c r="L20">
        <v>6.2950330000000001</v>
      </c>
      <c r="M20">
        <v>1.392719</v>
      </c>
      <c r="N20">
        <v>5.3863079999999997</v>
      </c>
      <c r="O20">
        <v>0.32530799999999999</v>
      </c>
      <c r="P20">
        <v>22.797585999999999</v>
      </c>
      <c r="Q20">
        <v>0.82567599999999997</v>
      </c>
      <c r="R20">
        <v>2.8344390000000002</v>
      </c>
      <c r="S20">
        <v>0.50240799999999997</v>
      </c>
      <c r="T20">
        <v>3.2491089999999998</v>
      </c>
      <c r="U20">
        <v>3.7004000000000002E-2</v>
      </c>
      <c r="V20">
        <v>0.320905</v>
      </c>
      <c r="W20">
        <v>0.30262</v>
      </c>
      <c r="X20">
        <v>0.195246</v>
      </c>
      <c r="Y20">
        <v>1.7750010000000001</v>
      </c>
      <c r="Z20">
        <f t="shared" si="1"/>
        <v>0.35790899999999998</v>
      </c>
      <c r="AA20">
        <v>0.56511199999999995</v>
      </c>
      <c r="AB20">
        <f t="shared" si="2"/>
        <v>0.62792800000000004</v>
      </c>
      <c r="AC20">
        <v>0.29311999999999999</v>
      </c>
      <c r="AD20">
        <f t="shared" si="3"/>
        <v>20.208315800000001</v>
      </c>
      <c r="AE20">
        <f t="shared" si="4"/>
        <v>5.1630731999999995</v>
      </c>
      <c r="AF20">
        <v>3.2491089999999998</v>
      </c>
      <c r="AG20">
        <f t="shared" si="5"/>
        <v>3.302206</v>
      </c>
      <c r="AH20">
        <f t="shared" si="6"/>
        <v>10.458924</v>
      </c>
    </row>
    <row r="21" spans="1:34" x14ac:dyDescent="0.4">
      <c r="A21">
        <v>2021</v>
      </c>
      <c r="B21">
        <v>22.111374000000001</v>
      </c>
      <c r="C21">
        <v>31.832675999999999</v>
      </c>
      <c r="D21">
        <v>9.5145839999999993</v>
      </c>
      <c r="E21">
        <v>2.2464759999999999</v>
      </c>
      <c r="F21">
        <v>1.197835</v>
      </c>
      <c r="G21">
        <f t="shared" si="0"/>
        <v>11.761059999999999</v>
      </c>
      <c r="H21" s="3">
        <v>2.714601</v>
      </c>
      <c r="I21" s="1">
        <v>2.8106019999999998</v>
      </c>
      <c r="J21" s="1">
        <v>0.62674399999999997</v>
      </c>
      <c r="K21" s="1">
        <v>0.33719300000000002</v>
      </c>
      <c r="L21" s="1">
        <v>6.4512219999999996</v>
      </c>
      <c r="M21" s="1">
        <v>1.7037739999999999</v>
      </c>
      <c r="N21" s="1">
        <v>5.3524000000000003</v>
      </c>
      <c r="O21" s="1">
        <v>0.35575099999999998</v>
      </c>
      <c r="P21" s="1">
        <v>23.507883</v>
      </c>
      <c r="Q21" s="1">
        <v>0.805002</v>
      </c>
      <c r="R21" s="1">
        <v>2.8170929999999998</v>
      </c>
      <c r="S21" s="1">
        <v>0.48338500000000001</v>
      </c>
      <c r="T21" s="1">
        <v>3556854</v>
      </c>
      <c r="U21" s="1">
        <v>2.4292000000000001E-2</v>
      </c>
      <c r="V21" s="1">
        <v>0.27505800000000002</v>
      </c>
      <c r="W21" s="1">
        <v>0.32415699999999997</v>
      </c>
      <c r="X21" s="2">
        <v>0.19910600000000001</v>
      </c>
      <c r="Y21" s="2">
        <v>1.854948</v>
      </c>
      <c r="Z21">
        <f t="shared" si="1"/>
        <v>0.29935</v>
      </c>
      <c r="AA21" s="1">
        <v>0.62674399999999997</v>
      </c>
      <c r="AB21">
        <f t="shared" si="2"/>
        <v>0.67990799999999996</v>
      </c>
      <c r="AC21" s="1">
        <v>0.33719300000000002</v>
      </c>
      <c r="AD21">
        <f t="shared" si="3"/>
        <v>20.860360400000001</v>
      </c>
      <c r="AE21">
        <f t="shared" si="4"/>
        <v>5.4581245999999979</v>
      </c>
      <c r="AF21" s="1">
        <v>3.556854</v>
      </c>
      <c r="AG21">
        <f t="shared" si="5"/>
        <v>3.3227449999999998</v>
      </c>
      <c r="AH21">
        <f t="shared" si="6"/>
        <v>10.792795</v>
      </c>
    </row>
    <row r="40" spans="16:25" x14ac:dyDescent="0.4">
      <c r="P40" t="s">
        <v>46</v>
      </c>
    </row>
    <row r="41" spans="16:25" x14ac:dyDescent="0.4">
      <c r="P41" t="s">
        <v>43</v>
      </c>
      <c r="Q41" t="s">
        <v>24</v>
      </c>
      <c r="R41" t="s">
        <v>27</v>
      </c>
      <c r="S41" t="s">
        <v>29</v>
      </c>
      <c r="T41" t="s">
        <v>31</v>
      </c>
      <c r="U41" t="s">
        <v>33</v>
      </c>
      <c r="V41" t="s">
        <v>35</v>
      </c>
      <c r="W41" t="s">
        <v>37</v>
      </c>
      <c r="X41" t="s">
        <v>39</v>
      </c>
      <c r="Y41" t="s">
        <v>41</v>
      </c>
    </row>
    <row r="42" spans="16:25" x14ac:dyDescent="0.4">
      <c r="P42">
        <v>2021</v>
      </c>
      <c r="Q42">
        <v>0.29935</v>
      </c>
      <c r="R42">
        <v>0.62674399999999997</v>
      </c>
      <c r="S42">
        <v>0.67990799999999996</v>
      </c>
      <c r="T42">
        <v>0.33719300000000002</v>
      </c>
      <c r="U42">
        <v>20.86036</v>
      </c>
      <c r="V42">
        <v>5.4581249999999999</v>
      </c>
      <c r="W42">
        <v>3.556854</v>
      </c>
      <c r="X42">
        <v>3.3227449999999998</v>
      </c>
      <c r="Y42">
        <v>10.792795</v>
      </c>
    </row>
    <row r="43" spans="16:25" x14ac:dyDescent="0.4">
      <c r="P43">
        <v>2030</v>
      </c>
      <c r="Q43">
        <v>0</v>
      </c>
      <c r="R43">
        <f>0.0005*POWER(9,2)+0.0135*9+0.2051</f>
        <v>0.36709999999999998</v>
      </c>
      <c r="S43">
        <f>0.0009*POWER(9,2)+0.0085*9+0.1442</f>
        <v>0.29359999999999997</v>
      </c>
      <c r="T43">
        <f>0.0013*POWER(9,2)-0.0122*9+0.0532</f>
        <v>4.8699999999999979E-2</v>
      </c>
      <c r="U43">
        <f>-0.0061*POWER(9,2)+0.7192*9+9.5586</f>
        <v>15.537299999999998</v>
      </c>
      <c r="V43">
        <f>-0.0033*POWER(9,2)+0.2101*9+2.6188</f>
        <v>4.2423999999999999</v>
      </c>
      <c r="W43">
        <f>0.0129*POWER(9,2)-0.1365*9+1.3456</f>
        <v>1.1619999999999997</v>
      </c>
      <c r="X43">
        <f>-0.0075*POWER(9,2)+0.2342*9+1.548</f>
        <v>3.0483000000000002</v>
      </c>
      <c r="Y43">
        <f>-0.0057*POWER(9,2)+0.4876*9+3.8532</f>
        <v>7.7798999999999996</v>
      </c>
    </row>
    <row r="44" spans="16:25" x14ac:dyDescent="0.4">
      <c r="P44">
        <v>2050</v>
      </c>
      <c r="Q44">
        <v>0</v>
      </c>
      <c r="R44">
        <f>0.0005*POWER(29,2)+0.0135*29+0.2051</f>
        <v>1.0171000000000001</v>
      </c>
      <c r="S44" s="4">
        <f>0.0009*POWER(29,2)+0.0085*29+0.1442</f>
        <v>1.1476000000000002</v>
      </c>
      <c r="T44" s="4">
        <f>0.0013*POWER(29,2)-0.0122*29+0.0532</f>
        <v>0.79269999999999996</v>
      </c>
      <c r="U44" s="4">
        <f>-0.0061*POWER(29,2)+0.7192*29+9.5586</f>
        <v>25.285299999999999</v>
      </c>
      <c r="V44">
        <f>-0.0033*POWER(29,2)+0.2101*29+2.6188</f>
        <v>5.9363999999999999</v>
      </c>
      <c r="W44" s="4">
        <f>0.0129*POWER(29,2)-0.1365*29+1.3456</f>
        <v>8.2359999999999989</v>
      </c>
      <c r="X44">
        <f>-0.0075*POWER(29,2)+0.2342*29+1.548</f>
        <v>2.0322999999999993</v>
      </c>
      <c r="Y44" s="4">
        <f>-0.0057*POWER(29,2)+0.4876*29+3.8532</f>
        <v>13.1999</v>
      </c>
    </row>
    <row r="45" spans="16:25" x14ac:dyDescent="0.4">
      <c r="P45">
        <v>2060</v>
      </c>
      <c r="Q45">
        <v>0</v>
      </c>
      <c r="R45">
        <f>0.0005*POWER(39,2)+0.0135*39+0.2051</f>
        <v>1.4921</v>
      </c>
      <c r="S45">
        <f>0.0009*POWER(39,2)+0.0085*39+0.1442</f>
        <v>1.8446000000000002</v>
      </c>
      <c r="T45">
        <f>0.0013*POWER(39,2)-0.0122*39+0.0532</f>
        <v>1.5546999999999997</v>
      </c>
      <c r="U45">
        <f>-0.0061*POWER(39,2)+0.7192*39+9.5586</f>
        <v>28.329299999999996</v>
      </c>
      <c r="V45">
        <f>-0.0033*POWER(39,2)+0.2101*39+2.6188</f>
        <v>5.7934000000000001</v>
      </c>
      <c r="W45">
        <f>0.0129*POWER(39,2)-0.1365*39+1.3456</f>
        <v>15.642999999999999</v>
      </c>
      <c r="X45">
        <f>-0.0075*POWER(39,2)+0.2342*39+1.548</f>
        <v>-0.72569999999999979</v>
      </c>
      <c r="Y45">
        <f>-0.0057*POWER(39,2)+0.4876*39+3.8532</f>
        <v>14.1999</v>
      </c>
    </row>
    <row r="46" spans="16:25" x14ac:dyDescent="0.4">
      <c r="R46">
        <f>0.1439*LN(9)+0.1041</f>
        <v>0.420280616678682</v>
      </c>
      <c r="S46">
        <f>0.1667*LN(9)+0.0019</f>
        <v>0.36817733704194777</v>
      </c>
      <c r="T46">
        <f>0.0804*LN(9)-0.0646</f>
        <v>0.11205685601783204</v>
      </c>
      <c r="U46">
        <f>3.9057*LN(9)+7.8759</f>
        <v>16.457600031702071</v>
      </c>
      <c r="V46">
        <f>0.9373*LN(9)+2.3481</f>
        <v>4.407558596337239</v>
      </c>
      <c r="W46">
        <f>0.6712*LN(9)+0.2669</f>
        <v>1.7416771363080708</v>
      </c>
      <c r="X46">
        <f>0.6245*LN(9)+1.6212</f>
        <v>2.9933667485464692</v>
      </c>
      <c r="Y46">
        <f>2.4178*LN(9)+2.9872</f>
        <v>8.2996495830835126</v>
      </c>
    </row>
    <row r="47" spans="16:25" x14ac:dyDescent="0.4">
      <c r="R47" s="4">
        <f>0.1439*LN(29)+0.1041</f>
        <v>0.58865386993505364</v>
      </c>
      <c r="S47">
        <f>0.1667*LN(29)+0.0019</f>
        <v>0.56322821485874519</v>
      </c>
      <c r="T47">
        <f>0.0804*LN(39)-0.0646</f>
        <v>0.22995035634882355</v>
      </c>
      <c r="U47">
        <f>3.9057*LN(29)+7.8759</f>
        <v>21.027547323178172</v>
      </c>
      <c r="V47" s="4">
        <f>0.9373*LN(29)+2.3481</f>
        <v>5.5042663814463229</v>
      </c>
      <c r="W47">
        <f>0.6712*LN(29)+0.2669</f>
        <v>2.5270289610869217</v>
      </c>
      <c r="X47" s="4">
        <f>0.6245*LN(29)+1.6212</f>
        <v>3.7240762458265531</v>
      </c>
      <c r="Y47">
        <f>2.4178*LN(29)+2.9872</f>
        <v>11.128647857741297</v>
      </c>
    </row>
    <row r="48" spans="16:25" x14ac:dyDescent="0.4">
      <c r="R48">
        <f>0.1439*LN(39)+0.1041</f>
        <v>0.63128652087805603</v>
      </c>
      <c r="S48">
        <f>0.1667*LN(39)+0.0019</f>
        <v>0.61261572640981199</v>
      </c>
      <c r="T48">
        <f>0.0804*LN(39)-0.0646</f>
        <v>0.22995035634882355</v>
      </c>
      <c r="U48">
        <f>3.9057*LN(39)+7.8759</f>
        <v>22.184672721288557</v>
      </c>
      <c r="V48">
        <f>0.9373*LN(39)+2.3481</f>
        <v>5.7819563309173176</v>
      </c>
      <c r="W48">
        <f>0.6712*LN(39)+0.2669</f>
        <v>2.7258825768822188</v>
      </c>
      <c r="X48">
        <f>0.6245*LN(39)+1.6212</f>
        <v>3.9090942480079645</v>
      </c>
      <c r="Y48">
        <f>2.4178*LN(39)+2.9872</f>
        <v>11.844959348012258</v>
      </c>
    </row>
    <row r="51" spans="1:26" x14ac:dyDescent="0.4">
      <c r="Y51" t="s">
        <v>45</v>
      </c>
    </row>
    <row r="52" spans="1:26" x14ac:dyDescent="0.4">
      <c r="X52" t="s">
        <v>45</v>
      </c>
    </row>
    <row r="56" spans="1:26" x14ac:dyDescent="0.4">
      <c r="R56">
        <f>(R47+C65)/2</f>
        <v>0.32507693496752688</v>
      </c>
      <c r="S56">
        <f>(S44+D65)/2</f>
        <v>4.6049499999999997</v>
      </c>
      <c r="T56">
        <f>(T44+E65)/2</f>
        <v>3.2942499999999999</v>
      </c>
      <c r="U56">
        <f>(U44+F68)/2</f>
        <v>23.97542633079172</v>
      </c>
      <c r="V56">
        <f>(V47+G68)/2</f>
        <v>5.583691300663304</v>
      </c>
      <c r="W56">
        <f>(W44+H68)/2</f>
        <v>6.1780406859850387</v>
      </c>
      <c r="X56">
        <f>(X47+I68)/2</f>
        <v>3.5380974379748875</v>
      </c>
      <c r="Y56">
        <f>(Y44+J68)/2</f>
        <v>12.65587789163402</v>
      </c>
    </row>
    <row r="61" spans="1:26" x14ac:dyDescent="0.4">
      <c r="A61" t="s">
        <v>47</v>
      </c>
      <c r="P61" t="s">
        <v>48</v>
      </c>
    </row>
    <row r="62" spans="1:26" x14ac:dyDescent="0.4">
      <c r="A62" t="s">
        <v>43</v>
      </c>
      <c r="B62" t="s">
        <v>24</v>
      </c>
      <c r="C62" t="s">
        <v>27</v>
      </c>
      <c r="D62" t="s">
        <v>93</v>
      </c>
      <c r="E62" t="s">
        <v>31</v>
      </c>
      <c r="F62" t="s">
        <v>33</v>
      </c>
      <c r="G62" t="s">
        <v>35</v>
      </c>
      <c r="H62" t="s">
        <v>37</v>
      </c>
      <c r="I62" t="s">
        <v>39</v>
      </c>
      <c r="J62" t="s">
        <v>41</v>
      </c>
      <c r="P62" t="s">
        <v>43</v>
      </c>
      <c r="Q62" t="s">
        <v>24</v>
      </c>
      <c r="R62" t="s">
        <v>27</v>
      </c>
      <c r="S62" t="s">
        <v>29</v>
      </c>
      <c r="T62" t="s">
        <v>31</v>
      </c>
      <c r="U62" t="s">
        <v>33</v>
      </c>
      <c r="V62" t="s">
        <v>35</v>
      </c>
      <c r="W62" t="s">
        <v>37</v>
      </c>
      <c r="X62" t="s">
        <v>39</v>
      </c>
      <c r="Y62" t="s">
        <v>41</v>
      </c>
    </row>
    <row r="63" spans="1:26" x14ac:dyDescent="0.4">
      <c r="A63">
        <v>2021</v>
      </c>
      <c r="B63">
        <v>0.29935</v>
      </c>
      <c r="C63">
        <v>0.62674399999999997</v>
      </c>
      <c r="D63">
        <v>0.67990799999999996</v>
      </c>
      <c r="E63">
        <v>0.33719300000000002</v>
      </c>
      <c r="F63">
        <v>20.86036</v>
      </c>
      <c r="G63">
        <v>5.4581249999999999</v>
      </c>
      <c r="H63">
        <v>3.556854</v>
      </c>
      <c r="I63">
        <v>3.3227449999999998</v>
      </c>
      <c r="J63">
        <v>10.792795</v>
      </c>
      <c r="P63">
        <v>2021</v>
      </c>
      <c r="Q63">
        <v>0.29935</v>
      </c>
      <c r="R63">
        <v>0.62674399999999997</v>
      </c>
      <c r="S63">
        <v>0.67990799999999996</v>
      </c>
      <c r="T63">
        <v>0.33719300000000002</v>
      </c>
      <c r="U63">
        <v>20.86036</v>
      </c>
      <c r="V63">
        <v>5.4581249999999999</v>
      </c>
      <c r="W63">
        <v>3.556854</v>
      </c>
      <c r="X63">
        <v>3.3227449999999998</v>
      </c>
      <c r="Y63">
        <v>10.792795</v>
      </c>
      <c r="Z63">
        <f>SUM(Q63:Y63)</f>
        <v>45.934073999999995</v>
      </c>
    </row>
    <row r="64" spans="1:26" x14ac:dyDescent="0.4">
      <c r="A64">
        <v>2030</v>
      </c>
      <c r="B64">
        <v>0</v>
      </c>
      <c r="C64">
        <f>-0.0012*POWER(19,2)+0.0397*19+0.3384</f>
        <v>0.65949999999999998</v>
      </c>
      <c r="D64">
        <f>0.0058*POWER(19,2)-0.0298*19+0.4027</f>
        <v>1.9302999999999999</v>
      </c>
      <c r="E64">
        <f>0.0042*POWER(19,2)-0.0176*19+0.094</f>
        <v>1.2758</v>
      </c>
      <c r="F64">
        <f>-0.0175*POWER(19,2)+0.6161*19+16.149</f>
        <v>21.537399999999998</v>
      </c>
      <c r="G64">
        <f>-0.0034*POWER(19,2)+0.1081*19+4.5397</f>
        <v>5.3662000000000001</v>
      </c>
      <c r="H64">
        <f>0.0317*POWER(19,2)-0.0913*19+1.4227</f>
        <v>11.1317</v>
      </c>
      <c r="I64">
        <f>-0.0065*POWER(19,2)+0.0651*19+3.2319</f>
        <v>2.1223000000000001</v>
      </c>
      <c r="J64">
        <f>-0.0314*POWER(19,2)+0.5881*19+7.7907</f>
        <v>7.6292</v>
      </c>
      <c r="P64">
        <v>2050</v>
      </c>
      <c r="Q64">
        <v>0</v>
      </c>
      <c r="R64">
        <v>0.53458000000000006</v>
      </c>
      <c r="S64">
        <v>2.7819500000000001</v>
      </c>
      <c r="T64">
        <v>1.95425</v>
      </c>
      <c r="U64">
        <v>23.713999999999999</v>
      </c>
      <c r="V64">
        <v>5.5383500000000003</v>
      </c>
      <c r="W64">
        <v>6.0419799999999997</v>
      </c>
      <c r="X64">
        <v>3.5389900000000001</v>
      </c>
      <c r="Y64">
        <v>12.4979</v>
      </c>
      <c r="Z64">
        <f>SUM(Q64:Y64)</f>
        <v>56.602000000000004</v>
      </c>
    </row>
    <row r="65" spans="1:13" x14ac:dyDescent="0.4">
      <c r="A65">
        <v>2050</v>
      </c>
      <c r="B65">
        <v>0</v>
      </c>
      <c r="C65">
        <f>-0.0012*POWER(39,2)+0.0397*39+0.3384</f>
        <v>6.1500000000000055E-2</v>
      </c>
      <c r="D65">
        <f>0.0058*POWER(39,2)-0.0298*39+0.4027</f>
        <v>8.0622999999999987</v>
      </c>
      <c r="E65">
        <f>0.0042*POWER(39,2)-0.0176*39+0.094</f>
        <v>5.7957999999999998</v>
      </c>
      <c r="F65">
        <f>-0.0175*POWER(39,2)+0.6161*39+16.149</f>
        <v>13.559399999999997</v>
      </c>
      <c r="G65">
        <f>-0.0034*POWER(39,2)+0.1081*39+4.5397</f>
        <v>3.5842000000000009</v>
      </c>
      <c r="H65">
        <f>0.0317*POWER(39,2)-0.0913*39+1.4227</f>
        <v>46.0777</v>
      </c>
      <c r="I65">
        <f>-0.0065*POWER(39,2)+0.0651*39+3.2319</f>
        <v>-4.1157000000000004</v>
      </c>
      <c r="J65">
        <f>-0.0314*POWER(39,2)+0.5881*39+7.7907</f>
        <v>-17.032800000000002</v>
      </c>
    </row>
    <row r="66" spans="1:13" x14ac:dyDescent="0.4">
      <c r="A66">
        <v>2060</v>
      </c>
      <c r="B66">
        <v>0</v>
      </c>
      <c r="C66">
        <f>-0.0012*POWER(49,2)+0.0397*49+0.3384</f>
        <v>-0.5974999999999997</v>
      </c>
      <c r="D66">
        <f>0.0058*POWER(49,2)-0.0298*49+0.4027</f>
        <v>12.868299999999998</v>
      </c>
      <c r="E66">
        <f>0.0042*POWER(49,2)-0.0176*49+0.094</f>
        <v>9.3157999999999976</v>
      </c>
      <c r="F66">
        <f>-0.0175*POWER(49,2)+0.6161*49+16.149</f>
        <v>4.3203999999999958</v>
      </c>
      <c r="G66">
        <f>-0.0034*POWER(49,2)+0.1081*49+4.5397</f>
        <v>1.6732000000000005</v>
      </c>
      <c r="H66">
        <f>0.0317*POWER(49,2)-0.0913*49+1.4227</f>
        <v>73.060700000000011</v>
      </c>
      <c r="I66">
        <f>-0.0065*POWER(49,2)+0.0651*49+3.2319</f>
        <v>-9.1846999999999994</v>
      </c>
      <c r="J66">
        <f>-0.0314*POWER(49,2)+0.5881*49+7.7907</f>
        <v>-38.783799999999992</v>
      </c>
    </row>
    <row r="67" spans="1:13" x14ac:dyDescent="0.4">
      <c r="A67">
        <v>2030</v>
      </c>
      <c r="B67">
        <v>0</v>
      </c>
      <c r="C67">
        <f>0.1044*LN(19)+0.351</f>
        <v>0.65839942942497642</v>
      </c>
      <c r="D67">
        <f>0.1194*LN(19)+0.2836</f>
        <v>0.63516601411247298</v>
      </c>
      <c r="E67">
        <f>0.1002*LN(19)+0.0068</f>
        <v>0.30183278571247729</v>
      </c>
      <c r="F67">
        <f>1.7651*LN(19)+16.199</f>
        <v>21.396229242126687</v>
      </c>
      <c r="G67">
        <f>0.3061*LN(19)+4.5417</f>
        <v>5.4429927715228468</v>
      </c>
      <c r="H67">
        <f>0.9185*LN(19)+0.7551</f>
        <v>3.4595672023643753</v>
      </c>
      <c r="I67">
        <f>-0.006*LN(19)+3.3741</f>
        <v>3.3564333661250014</v>
      </c>
      <c r="J67">
        <f>1.0663*LN(19)+8.2054</f>
        <v>11.345055283485173</v>
      </c>
    </row>
    <row r="68" spans="1:13" x14ac:dyDescent="0.4">
      <c r="A68">
        <v>2050</v>
      </c>
      <c r="B68">
        <v>0</v>
      </c>
      <c r="C68" s="4">
        <f>0.1044*LN(39)+0.351</f>
        <v>0.73347583585593501</v>
      </c>
      <c r="D68">
        <f>0.1194*LN(39)+0.2836</f>
        <v>0.72102926054787986</v>
      </c>
      <c r="E68">
        <f>0.1002*LN(39)+0.0068</f>
        <v>0.37388887694219053</v>
      </c>
      <c r="F68">
        <f>1.7651*LN(39)+16.199</f>
        <v>22.66555266158344</v>
      </c>
      <c r="G68">
        <f>0.3061*LN(39)+4.5417</f>
        <v>5.6631162198802842</v>
      </c>
      <c r="H68">
        <f>0.9185*LN(39)+0.7551</f>
        <v>4.1200813719700795</v>
      </c>
      <c r="I68">
        <f>-0.006*LN(39)+3.3741</f>
        <v>3.352118630123222</v>
      </c>
      <c r="J68">
        <f>1.0663*LN(39)+8.2054</f>
        <v>12.111855783268041</v>
      </c>
    </row>
    <row r="69" spans="1:13" x14ac:dyDescent="0.4">
      <c r="A69">
        <v>2060</v>
      </c>
      <c r="B69">
        <v>0</v>
      </c>
      <c r="C69">
        <f>0.1044*LN(49)+0.351</f>
        <v>0.75730603912274941</v>
      </c>
      <c r="D69">
        <f>0.1194*LN(49)+0.2836</f>
        <v>0.74828334359440885</v>
      </c>
      <c r="E69">
        <f>0.1002*LN(49)+0.0068</f>
        <v>0.39676039387068474</v>
      </c>
      <c r="F69">
        <f>1.7651*LN(49)+16.199</f>
        <v>23.068452008195067</v>
      </c>
      <c r="G69">
        <f>0.3061*LN(49)+4.5417</f>
        <v>5.7329861932516621</v>
      </c>
      <c r="H69">
        <f>0.9185*LN(49)+0.7551</f>
        <v>4.3297369438146101</v>
      </c>
      <c r="I69">
        <f>-0.006*LN(49)+3.3741</f>
        <v>3.3507490782113361</v>
      </c>
      <c r="J69">
        <f>1.0663*LN(49)+8.2054</f>
        <v>12.35524798387536</v>
      </c>
    </row>
    <row r="71" spans="1:13" x14ac:dyDescent="0.4">
      <c r="A71">
        <v>2050</v>
      </c>
      <c r="B71" t="s">
        <v>63</v>
      </c>
      <c r="C71">
        <f>0.026*39+0.3658</f>
        <v>1.3797999999999999</v>
      </c>
      <c r="D71" s="4">
        <f>0.345*39+0.2741</f>
        <v>13.729099999999999</v>
      </c>
      <c r="E71" s="4">
        <f>0.0283*39+0.0022</f>
        <v>1.1058999999999999</v>
      </c>
      <c r="F71" s="4">
        <f>0.4238*39+16.534</f>
        <v>33.062200000000004</v>
      </c>
      <c r="G71" s="4">
        <f>0.0709*39+4.6143</f>
        <v>7.3794000000000004</v>
      </c>
      <c r="H71" s="4">
        <f>0.2579*39+0.7243</f>
        <v>10.782400000000001</v>
      </c>
      <c r="I71" s="4" t="s">
        <v>64</v>
      </c>
      <c r="J71" s="4">
        <f>0.2426*39+8.4816</f>
        <v>17.943000000000001</v>
      </c>
    </row>
    <row r="72" spans="1:13" x14ac:dyDescent="0.4">
      <c r="A72">
        <v>2030</v>
      </c>
      <c r="B72" t="s">
        <v>63</v>
      </c>
      <c r="C72">
        <f>0.026*19+0.3658</f>
        <v>0.85980000000000001</v>
      </c>
      <c r="D72" s="4">
        <f>0.345*19+0.2741</f>
        <v>6.8290999999999995</v>
      </c>
      <c r="E72" s="4">
        <f>0.0283*19+0.0022</f>
        <v>0.53989999999999994</v>
      </c>
      <c r="F72" s="4">
        <f>0.4238*19+16.534</f>
        <v>24.586199999999998</v>
      </c>
      <c r="G72" s="4">
        <f>0.0709*19+4.6143</f>
        <v>5.9614000000000003</v>
      </c>
      <c r="H72" s="4">
        <f>0.2579*19+0.7243</f>
        <v>5.6244000000000005</v>
      </c>
      <c r="I72" s="4" t="s">
        <v>64</v>
      </c>
      <c r="J72" s="4">
        <f>0.2426*19+8.4816</f>
        <v>13.091000000000001</v>
      </c>
    </row>
    <row r="73" spans="1:13" x14ac:dyDescent="0.4">
      <c r="A73" t="s">
        <v>65</v>
      </c>
      <c r="C73" s="4">
        <f>0.1044*LN(39)+0.351</f>
        <v>0.73347583585593501</v>
      </c>
      <c r="D73" s="4">
        <f>0.345*39+0.2741</f>
        <v>13.729099999999999</v>
      </c>
      <c r="E73" s="4">
        <f>0.0283*39+0.0022</f>
        <v>1.1058999999999999</v>
      </c>
      <c r="F73" s="4">
        <f>0.4238*39+16.534</f>
        <v>33.062200000000004</v>
      </c>
      <c r="G73" s="4">
        <f>0.0709*39+4.6143</f>
        <v>7.3794000000000004</v>
      </c>
      <c r="H73" s="4">
        <f>0.2579*39+0.7243</f>
        <v>10.782400000000001</v>
      </c>
      <c r="I73" s="4" t="s">
        <v>64</v>
      </c>
      <c r="J73" s="4">
        <f>0.2426*39+8.4816</f>
        <v>17.943000000000001</v>
      </c>
    </row>
    <row r="76" spans="1:13" x14ac:dyDescent="0.4">
      <c r="A76" t="s">
        <v>67</v>
      </c>
    </row>
    <row r="77" spans="1:13" x14ac:dyDescent="0.4">
      <c r="A77" t="s">
        <v>43</v>
      </c>
      <c r="B77" t="s">
        <v>24</v>
      </c>
      <c r="C77" t="s">
        <v>27</v>
      </c>
      <c r="D77" t="s">
        <v>93</v>
      </c>
      <c r="E77" t="s">
        <v>31</v>
      </c>
      <c r="F77" t="s">
        <v>33</v>
      </c>
      <c r="G77" t="s">
        <v>35</v>
      </c>
      <c r="H77" t="s">
        <v>37</v>
      </c>
      <c r="I77" t="s">
        <v>39</v>
      </c>
      <c r="J77" t="s">
        <v>41</v>
      </c>
      <c r="K77" t="s">
        <v>70</v>
      </c>
      <c r="M77" t="s">
        <v>68</v>
      </c>
    </row>
    <row r="78" spans="1:13" x14ac:dyDescent="0.4">
      <c r="A78">
        <v>2021</v>
      </c>
      <c r="B78">
        <v>0.29935</v>
      </c>
      <c r="C78">
        <v>0.62674399999999997</v>
      </c>
      <c r="D78">
        <v>0.67990799999999996</v>
      </c>
      <c r="E78">
        <v>0.33719300000000002</v>
      </c>
      <c r="F78">
        <v>20.86036</v>
      </c>
      <c r="G78">
        <v>5.4581249999999999</v>
      </c>
      <c r="H78">
        <v>3.556854</v>
      </c>
      <c r="I78">
        <v>3.3227449999999998</v>
      </c>
      <c r="J78">
        <v>10.792795</v>
      </c>
      <c r="K78">
        <f>SUM(B78:J78)</f>
        <v>45.934073999999995</v>
      </c>
    </row>
    <row r="79" spans="1:13" x14ac:dyDescent="0.4">
      <c r="A79">
        <v>2030</v>
      </c>
      <c r="B79">
        <v>0</v>
      </c>
      <c r="C79">
        <v>0.85980000000000001</v>
      </c>
      <c r="D79">
        <v>6.8291000000000004</v>
      </c>
      <c r="E79">
        <v>0.53990000000000005</v>
      </c>
      <c r="F79">
        <v>24.586200000000002</v>
      </c>
      <c r="G79">
        <v>5.9614000000000003</v>
      </c>
      <c r="H79">
        <v>5.6243999999999996</v>
      </c>
      <c r="I79">
        <v>3.6709999999999998</v>
      </c>
      <c r="J79">
        <v>13.090999999999999</v>
      </c>
      <c r="K79">
        <f>SUM(B79:J79)</f>
        <v>61.162799999999997</v>
      </c>
      <c r="M79" t="s">
        <v>69</v>
      </c>
    </row>
    <row r="80" spans="1:13" x14ac:dyDescent="0.4">
      <c r="A80">
        <v>2050</v>
      </c>
      <c r="B80">
        <v>0</v>
      </c>
      <c r="C80">
        <v>0.85980000000000001</v>
      </c>
      <c r="D80">
        <v>13.729100000000001</v>
      </c>
      <c r="E80">
        <v>1.1059000000000001</v>
      </c>
      <c r="F80">
        <v>33.062199999999997</v>
      </c>
      <c r="G80">
        <v>7.3794000000000004</v>
      </c>
      <c r="H80">
        <v>10.782400000000001</v>
      </c>
      <c r="I80">
        <v>3.6709999999999998</v>
      </c>
      <c r="J80">
        <v>17.943000000000001</v>
      </c>
      <c r="K80">
        <f>SUM(B80:J80)</f>
        <v>88.532799999999995</v>
      </c>
      <c r="M80" t="s">
        <v>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B572-44A0-4FF1-BB07-B28F757A4748}">
  <dimension ref="A1:V114"/>
  <sheetViews>
    <sheetView tabSelected="1" topLeftCell="A80" zoomScale="70" zoomScaleNormal="70" workbookViewId="0">
      <selection activeCell="X107" sqref="X107"/>
    </sheetView>
  </sheetViews>
  <sheetFormatPr defaultRowHeight="13.9" x14ac:dyDescent="0.4"/>
  <cols>
    <col min="1" max="1" width="10.3984375" customWidth="1"/>
    <col min="2" max="2" width="12.73046875" customWidth="1"/>
    <col min="3" max="3" width="16.3984375" customWidth="1"/>
    <col min="4" max="4" width="10.33203125" customWidth="1"/>
    <col min="5" max="5" width="13.796875" customWidth="1"/>
    <col min="11" max="11" width="10.86328125" customWidth="1"/>
  </cols>
  <sheetData>
    <row r="1" spans="1:22" x14ac:dyDescent="0.4">
      <c r="A1" t="s">
        <v>0</v>
      </c>
      <c r="B1" t="s">
        <v>49</v>
      </c>
      <c r="C1" t="s">
        <v>50</v>
      </c>
      <c r="D1" t="s">
        <v>3</v>
      </c>
      <c r="E1" t="s">
        <v>4</v>
      </c>
      <c r="F1" t="s">
        <v>51</v>
      </c>
      <c r="G1" t="s">
        <v>52</v>
      </c>
      <c r="H1" t="s">
        <v>6</v>
      </c>
      <c r="I1" t="s">
        <v>53</v>
      </c>
      <c r="T1" t="s">
        <v>0</v>
      </c>
      <c r="U1" t="s">
        <v>50</v>
      </c>
      <c r="V1" t="s">
        <v>53</v>
      </c>
    </row>
    <row r="2" spans="1:22" x14ac:dyDescent="0.4">
      <c r="A2">
        <v>2003</v>
      </c>
      <c r="B2">
        <v>12.533061</v>
      </c>
      <c r="C2">
        <v>17.742733999999999</v>
      </c>
      <c r="D2">
        <v>14.323121</v>
      </c>
      <c r="F2">
        <v>2.462148</v>
      </c>
      <c r="G2">
        <f t="shared" ref="G2:G20" si="0">D2+E2</f>
        <v>14.323121</v>
      </c>
      <c r="H2">
        <v>1.3837900000000001</v>
      </c>
      <c r="I2">
        <f t="shared" ref="I2:I20" si="1">B2-H2</f>
        <v>11.149271000000001</v>
      </c>
      <c r="T2">
        <v>2012</v>
      </c>
      <c r="U2">
        <v>26.445447999999999</v>
      </c>
      <c r="V2">
        <f t="shared" ref="V2:V11" si="2">B11-H11</f>
        <v>14.673421000000001</v>
      </c>
    </row>
    <row r="3" spans="1:22" x14ac:dyDescent="0.4">
      <c r="A3">
        <v>2004</v>
      </c>
      <c r="B3">
        <v>13.167049</v>
      </c>
      <c r="C3">
        <v>18.919972000000001</v>
      </c>
      <c r="D3">
        <v>14.510858000000001</v>
      </c>
      <c r="F3">
        <v>2.4197920000000002</v>
      </c>
      <c r="G3">
        <f t="shared" si="0"/>
        <v>14.510858000000001</v>
      </c>
      <c r="H3">
        <v>1.4675450000000001</v>
      </c>
      <c r="I3">
        <f t="shared" si="1"/>
        <v>11.699504000000001</v>
      </c>
      <c r="T3">
        <v>2013</v>
      </c>
      <c r="U3">
        <v>28.024349000000001</v>
      </c>
      <c r="V3">
        <f t="shared" si="2"/>
        <v>15.535648999999999</v>
      </c>
    </row>
    <row r="4" spans="1:22" x14ac:dyDescent="0.4">
      <c r="A4">
        <v>2005</v>
      </c>
      <c r="B4">
        <v>13.847847</v>
      </c>
      <c r="C4">
        <v>20.084654</v>
      </c>
      <c r="D4">
        <v>14.532984000000001</v>
      </c>
      <c r="F4">
        <v>2.5510449999999998</v>
      </c>
      <c r="G4">
        <f t="shared" si="0"/>
        <v>14.532984000000001</v>
      </c>
      <c r="H4">
        <v>1.511285</v>
      </c>
      <c r="I4">
        <f t="shared" si="1"/>
        <v>12.336562000000001</v>
      </c>
      <c r="T4">
        <v>2014</v>
      </c>
      <c r="U4">
        <v>29.357590999999999</v>
      </c>
      <c r="V4">
        <f t="shared" si="2"/>
        <v>16.121904999999998</v>
      </c>
    </row>
    <row r="5" spans="1:22" x14ac:dyDescent="0.4">
      <c r="A5">
        <v>2006</v>
      </c>
      <c r="B5">
        <v>12.641565999999999</v>
      </c>
      <c r="C5">
        <v>18.535920000000001</v>
      </c>
      <c r="D5">
        <v>12.454668</v>
      </c>
      <c r="F5">
        <v>2.2038139999999999</v>
      </c>
      <c r="G5">
        <f t="shared" si="0"/>
        <v>12.454668</v>
      </c>
      <c r="H5">
        <v>1.502804</v>
      </c>
      <c r="I5">
        <f t="shared" si="1"/>
        <v>11.138762</v>
      </c>
      <c r="T5">
        <v>2015</v>
      </c>
      <c r="U5">
        <v>30.622734999999999</v>
      </c>
      <c r="V5">
        <f t="shared" si="2"/>
        <v>16.667124000000001</v>
      </c>
    </row>
    <row r="6" spans="1:22" x14ac:dyDescent="0.4">
      <c r="A6">
        <v>2007</v>
      </c>
      <c r="B6">
        <v>13.073399999999999</v>
      </c>
      <c r="C6">
        <v>19.709906</v>
      </c>
      <c r="D6">
        <v>12.43548</v>
      </c>
      <c r="F6">
        <v>2.2564160000000002</v>
      </c>
      <c r="G6">
        <f t="shared" si="0"/>
        <v>12.43548</v>
      </c>
      <c r="H6">
        <v>1.3555360000000001</v>
      </c>
      <c r="I6">
        <f t="shared" si="1"/>
        <v>11.717863999999999</v>
      </c>
      <c r="T6">
        <v>2016</v>
      </c>
      <c r="U6">
        <v>28.778880999999998</v>
      </c>
      <c r="V6">
        <f t="shared" si="2"/>
        <v>17.046019000000001</v>
      </c>
    </row>
    <row r="7" spans="1:22" x14ac:dyDescent="0.4">
      <c r="A7">
        <v>2008</v>
      </c>
      <c r="B7">
        <v>13.403236</v>
      </c>
      <c r="C7">
        <v>20.724976999999999</v>
      </c>
      <c r="D7">
        <v>11.496270000000001</v>
      </c>
      <c r="E7">
        <v>1.0833090000000001</v>
      </c>
      <c r="F7">
        <v>2.2481939999999998</v>
      </c>
      <c r="G7">
        <f t="shared" si="0"/>
        <v>12.579579000000001</v>
      </c>
      <c r="H7">
        <v>1.3860220000000001</v>
      </c>
      <c r="I7">
        <f t="shared" si="1"/>
        <v>12.017213999999999</v>
      </c>
      <c r="T7">
        <v>2017</v>
      </c>
      <c r="U7" s="1">
        <v>29.05293</v>
      </c>
      <c r="V7">
        <f t="shared" si="2"/>
        <v>17.779134999999997</v>
      </c>
    </row>
    <row r="8" spans="1:22" x14ac:dyDescent="0.4">
      <c r="A8">
        <v>2009</v>
      </c>
      <c r="B8">
        <v>14.05222</v>
      </c>
      <c r="C8">
        <v>22.164605999999999</v>
      </c>
      <c r="D8">
        <v>11.786109</v>
      </c>
      <c r="E8">
        <v>0.97722600000000004</v>
      </c>
      <c r="F8">
        <v>2.183878</v>
      </c>
      <c r="G8">
        <f t="shared" si="0"/>
        <v>12.763335</v>
      </c>
      <c r="H8">
        <v>1.456469</v>
      </c>
      <c r="I8">
        <f t="shared" si="1"/>
        <v>12.595751</v>
      </c>
      <c r="T8">
        <v>2018</v>
      </c>
      <c r="U8">
        <v>29.598383999999999</v>
      </c>
      <c r="V8">
        <f t="shared" si="2"/>
        <v>17.968335</v>
      </c>
    </row>
    <row r="9" spans="1:22" x14ac:dyDescent="0.4">
      <c r="A9">
        <v>2010</v>
      </c>
      <c r="B9">
        <v>14.823008</v>
      </c>
      <c r="C9">
        <v>23.465343000000001</v>
      </c>
      <c r="D9">
        <v>12.035945999999999</v>
      </c>
      <c r="E9">
        <v>1.116358</v>
      </c>
      <c r="F9">
        <v>2.2893690000000002</v>
      </c>
      <c r="G9">
        <f t="shared" si="0"/>
        <v>13.152303999999999</v>
      </c>
      <c r="H9">
        <v>1.5413220000000001</v>
      </c>
      <c r="I9">
        <f t="shared" si="1"/>
        <v>13.281686000000001</v>
      </c>
      <c r="T9">
        <v>2019</v>
      </c>
      <c r="U9">
        <v>30.137440999999999</v>
      </c>
      <c r="V9">
        <f t="shared" si="2"/>
        <v>18.114891</v>
      </c>
    </row>
    <row r="10" spans="1:22" x14ac:dyDescent="0.4">
      <c r="A10">
        <v>2011</v>
      </c>
      <c r="B10">
        <v>15.513292</v>
      </c>
      <c r="C10">
        <v>24.719338</v>
      </c>
      <c r="D10">
        <v>12.419385999999999</v>
      </c>
      <c r="E10">
        <v>1.1478090000000001</v>
      </c>
      <c r="F10">
        <v>2.2322649999999999</v>
      </c>
      <c r="G10">
        <f t="shared" si="0"/>
        <v>13.567195</v>
      </c>
      <c r="H10">
        <v>1.601764</v>
      </c>
      <c r="I10">
        <f t="shared" si="1"/>
        <v>13.911528000000001</v>
      </c>
      <c r="T10">
        <v>2020</v>
      </c>
      <c r="U10">
        <v>30.888912000000001</v>
      </c>
      <c r="V10">
        <f t="shared" si="2"/>
        <v>18.737940000000002</v>
      </c>
    </row>
    <row r="11" spans="1:22" x14ac:dyDescent="0.4">
      <c r="A11">
        <v>2012</v>
      </c>
      <c r="B11">
        <v>16.438105</v>
      </c>
      <c r="C11">
        <v>26.445447999999999</v>
      </c>
      <c r="D11">
        <v>12.671891</v>
      </c>
      <c r="E11">
        <v>1.223441</v>
      </c>
      <c r="F11">
        <v>2.2978749999999999</v>
      </c>
      <c r="G11">
        <f t="shared" si="0"/>
        <v>13.895332</v>
      </c>
      <c r="H11">
        <v>1.7646839999999999</v>
      </c>
      <c r="I11">
        <f t="shared" si="1"/>
        <v>14.673421000000001</v>
      </c>
      <c r="T11">
        <v>2021</v>
      </c>
      <c r="U11">
        <v>31.832675999999999</v>
      </c>
      <c r="V11">
        <f t="shared" si="2"/>
        <v>19.396773000000003</v>
      </c>
    </row>
    <row r="12" spans="1:22" x14ac:dyDescent="0.4">
      <c r="A12">
        <v>2013</v>
      </c>
      <c r="B12">
        <v>17.392453</v>
      </c>
      <c r="C12">
        <v>28.024349000000001</v>
      </c>
      <c r="D12">
        <v>12.643822</v>
      </c>
      <c r="E12">
        <v>1.3519779999999999</v>
      </c>
      <c r="F12">
        <v>2.3074270000000001</v>
      </c>
      <c r="G12">
        <f t="shared" si="0"/>
        <v>13.995799999999999</v>
      </c>
      <c r="H12">
        <v>1.8568039999999999</v>
      </c>
      <c r="I12">
        <f t="shared" si="1"/>
        <v>15.535648999999999</v>
      </c>
      <c r="T12">
        <v>2030</v>
      </c>
      <c r="U12" s="4">
        <f>0.422*19+27.153</f>
        <v>35.170999999999999</v>
      </c>
      <c r="V12" s="4">
        <f>0.482*19+14.553</f>
        <v>23.710999999999999</v>
      </c>
    </row>
    <row r="13" spans="1:22" x14ac:dyDescent="0.4">
      <c r="A13">
        <v>2014</v>
      </c>
      <c r="B13">
        <v>18.126480999999998</v>
      </c>
      <c r="C13">
        <v>29.357590999999999</v>
      </c>
      <c r="D13">
        <v>12.808370999999999</v>
      </c>
      <c r="E13">
        <v>2.0273180000000002</v>
      </c>
      <c r="F13">
        <v>2.2954129999999999</v>
      </c>
      <c r="G13">
        <f t="shared" si="0"/>
        <v>14.835688999999999</v>
      </c>
      <c r="H13" s="3">
        <v>2.0045760000000001</v>
      </c>
      <c r="I13">
        <f t="shared" si="1"/>
        <v>16.121904999999998</v>
      </c>
    </row>
    <row r="14" spans="1:22" x14ac:dyDescent="0.4">
      <c r="A14">
        <v>2015</v>
      </c>
      <c r="B14">
        <v>18.756277000000001</v>
      </c>
      <c r="C14">
        <v>30.622734999999999</v>
      </c>
      <c r="D14">
        <v>13.147811000000001</v>
      </c>
      <c r="E14">
        <v>2.1920000000000002</v>
      </c>
      <c r="F14">
        <v>2.2776649999999998</v>
      </c>
      <c r="G14">
        <f t="shared" si="0"/>
        <v>15.339811000000001</v>
      </c>
      <c r="H14" s="3">
        <v>2.089153</v>
      </c>
      <c r="I14">
        <f t="shared" si="1"/>
        <v>16.667124000000001</v>
      </c>
    </row>
    <row r="15" spans="1:22" x14ac:dyDescent="0.4">
      <c r="A15">
        <v>2016</v>
      </c>
      <c r="B15">
        <v>19.153079000000002</v>
      </c>
      <c r="C15">
        <v>28.778880999999998</v>
      </c>
      <c r="D15">
        <v>11.872028999999999</v>
      </c>
      <c r="E15">
        <v>1.9875119999999999</v>
      </c>
      <c r="F15">
        <v>2.003333</v>
      </c>
      <c r="G15">
        <f t="shared" si="0"/>
        <v>13.859541</v>
      </c>
      <c r="H15" s="3">
        <v>2.1070600000000002</v>
      </c>
      <c r="I15">
        <f t="shared" si="1"/>
        <v>17.046019000000001</v>
      </c>
    </row>
    <row r="16" spans="1:22" x14ac:dyDescent="0.4">
      <c r="A16">
        <v>2017</v>
      </c>
      <c r="B16" s="1">
        <v>20.006972999999999</v>
      </c>
      <c r="C16" s="1">
        <v>29.05293</v>
      </c>
      <c r="D16">
        <v>11.124203</v>
      </c>
      <c r="E16">
        <v>2.0861999999999998</v>
      </c>
      <c r="F16">
        <v>2.1829730000000001</v>
      </c>
      <c r="G16">
        <f t="shared" si="0"/>
        <v>13.210402999999999</v>
      </c>
      <c r="H16" s="1">
        <v>2.2278380000000002</v>
      </c>
      <c r="I16">
        <f t="shared" si="1"/>
        <v>17.779134999999997</v>
      </c>
    </row>
    <row r="17" spans="1:22" x14ac:dyDescent="0.4">
      <c r="A17">
        <v>2018</v>
      </c>
      <c r="B17">
        <v>20.312206</v>
      </c>
      <c r="C17">
        <v>29.598383999999999</v>
      </c>
      <c r="D17">
        <v>10.444647</v>
      </c>
      <c r="E17">
        <v>2.25745</v>
      </c>
      <c r="F17">
        <v>1.9638709999999999</v>
      </c>
      <c r="G17">
        <f t="shared" si="0"/>
        <v>12.702097</v>
      </c>
      <c r="H17" s="3">
        <v>2.343871</v>
      </c>
      <c r="I17">
        <f t="shared" si="1"/>
        <v>17.968335</v>
      </c>
    </row>
    <row r="18" spans="1:22" x14ac:dyDescent="0.4">
      <c r="A18">
        <v>2019</v>
      </c>
      <c r="B18">
        <v>20.653286999999999</v>
      </c>
      <c r="C18">
        <v>30.137440999999999</v>
      </c>
      <c r="D18">
        <v>10.001514999999999</v>
      </c>
      <c r="E18">
        <v>2.1701519999999999</v>
      </c>
      <c r="F18">
        <v>1.841221</v>
      </c>
      <c r="G18">
        <f t="shared" si="0"/>
        <v>12.171666999999999</v>
      </c>
      <c r="H18" s="3">
        <v>2.5383960000000001</v>
      </c>
      <c r="I18">
        <f t="shared" si="1"/>
        <v>18.114891</v>
      </c>
    </row>
    <row r="19" spans="1:22" x14ac:dyDescent="0.4">
      <c r="A19">
        <v>2020</v>
      </c>
      <c r="B19">
        <v>21.353076000000001</v>
      </c>
      <c r="C19">
        <v>30.888912000000001</v>
      </c>
      <c r="D19">
        <v>9.4741040000000005</v>
      </c>
      <c r="E19">
        <v>2.3165740000000001</v>
      </c>
      <c r="F19">
        <v>1.457503</v>
      </c>
      <c r="G19">
        <f t="shared" si="0"/>
        <v>11.790678</v>
      </c>
      <c r="H19" s="3">
        <v>2.6151360000000001</v>
      </c>
      <c r="I19">
        <f t="shared" si="1"/>
        <v>18.737940000000002</v>
      </c>
    </row>
    <row r="20" spans="1:22" x14ac:dyDescent="0.4">
      <c r="A20">
        <v>2021</v>
      </c>
      <c r="B20">
        <v>22.111374000000001</v>
      </c>
      <c r="C20">
        <v>31.832675999999999</v>
      </c>
      <c r="D20">
        <v>9.5145839999999993</v>
      </c>
      <c r="E20">
        <v>2.2464759999999999</v>
      </c>
      <c r="F20">
        <v>1.197835</v>
      </c>
      <c r="G20">
        <f t="shared" si="0"/>
        <v>11.761059999999999</v>
      </c>
      <c r="H20" s="3">
        <v>2.714601</v>
      </c>
      <c r="I20">
        <f t="shared" si="1"/>
        <v>19.396773000000003</v>
      </c>
      <c r="U20" s="4"/>
      <c r="V20" s="4"/>
    </row>
    <row r="21" spans="1:22" x14ac:dyDescent="0.4">
      <c r="A21">
        <v>2022</v>
      </c>
    </row>
    <row r="22" spans="1:22" x14ac:dyDescent="0.4">
      <c r="A22">
        <v>2023</v>
      </c>
    </row>
    <row r="23" spans="1:22" x14ac:dyDescent="0.4">
      <c r="A23">
        <v>2024</v>
      </c>
    </row>
    <row r="24" spans="1:22" x14ac:dyDescent="0.4">
      <c r="A24">
        <v>2025</v>
      </c>
    </row>
    <row r="25" spans="1:22" x14ac:dyDescent="0.4">
      <c r="A25">
        <v>2026</v>
      </c>
    </row>
    <row r="26" spans="1:22" x14ac:dyDescent="0.4">
      <c r="A26">
        <v>2027</v>
      </c>
    </row>
    <row r="27" spans="1:22" x14ac:dyDescent="0.4">
      <c r="A27">
        <v>2028</v>
      </c>
    </row>
    <row r="28" spans="1:22" x14ac:dyDescent="0.4">
      <c r="A28">
        <v>2029</v>
      </c>
    </row>
    <row r="29" spans="1:22" x14ac:dyDescent="0.4">
      <c r="A29">
        <v>2030</v>
      </c>
      <c r="C29" s="4">
        <f>0.422*19+27.153</f>
        <v>35.170999999999999</v>
      </c>
      <c r="I29" s="4">
        <f>0.482*19+14.553</f>
        <v>23.710999999999999</v>
      </c>
      <c r="U29" s="4"/>
      <c r="V29" s="4"/>
    </row>
    <row r="34" spans="1:13" x14ac:dyDescent="0.4">
      <c r="B34" t="s">
        <v>60</v>
      </c>
      <c r="C34" t="s">
        <v>58</v>
      </c>
      <c r="D34" t="s">
        <v>57</v>
      </c>
      <c r="E34" t="s">
        <v>59</v>
      </c>
      <c r="F34" t="s">
        <v>61</v>
      </c>
      <c r="G34" t="s">
        <v>62</v>
      </c>
    </row>
    <row r="35" spans="1:13" x14ac:dyDescent="0.4">
      <c r="A35" t="s">
        <v>54</v>
      </c>
      <c r="B35">
        <v>31.832675999999999</v>
      </c>
      <c r="C35">
        <v>31.832675999999999</v>
      </c>
      <c r="D35">
        <v>19.39677</v>
      </c>
      <c r="E35">
        <v>19.39677</v>
      </c>
      <c r="F35">
        <v>31.832675999999999</v>
      </c>
      <c r="G35">
        <v>19.39677</v>
      </c>
    </row>
    <row r="36" spans="1:13" x14ac:dyDescent="0.4">
      <c r="A36" t="s">
        <v>55</v>
      </c>
      <c r="B36" s="4">
        <f>5.549*LN(48)+13.816</f>
        <v>35.297294409527893</v>
      </c>
      <c r="C36">
        <f>-0.0204*POWER(48,2)+1.248*48+15.479</f>
        <v>28.381399999999992</v>
      </c>
      <c r="D36">
        <f>3.0615*LN(48)+8.4973</f>
        <v>20.348981894894507</v>
      </c>
      <c r="E36" s="4">
        <f>0.0087*POWER(48,2)+0.32*48+10.502</f>
        <v>45.906799999999997</v>
      </c>
      <c r="F36">
        <f>0.8398*48+16.907</f>
        <v>57.217399999999998</v>
      </c>
      <c r="G36">
        <f>0.4946*48+9.8906</f>
        <v>33.631399999999999</v>
      </c>
    </row>
    <row r="37" spans="1:13" x14ac:dyDescent="0.4">
      <c r="A37" t="s">
        <v>56</v>
      </c>
      <c r="B37">
        <f>1.8092*LN(39)+26.741</f>
        <v>33.369115730177754</v>
      </c>
      <c r="C37">
        <f>-0.0151*POWER(39,2)+0.5883*39+26.82</f>
        <v>26.796600000000002</v>
      </c>
      <c r="D37">
        <f>1.9615*LN(39)+14.241</f>
        <v>21.4270761688833</v>
      </c>
      <c r="E37">
        <f>-0.017*POWER(39,2)+0.6685*39+14.18</f>
        <v>14.394499999999997</v>
      </c>
      <c r="F37" s="4">
        <f>0.422*39+27.153</f>
        <v>43.610999999999997</v>
      </c>
      <c r="G37" s="4">
        <f>0.482*39+14.553</f>
        <v>33.350999999999999</v>
      </c>
    </row>
    <row r="38" spans="1:13" x14ac:dyDescent="0.4">
      <c r="A38" t="s">
        <v>66</v>
      </c>
      <c r="F38" s="4">
        <f>0.422*19+27.153</f>
        <v>35.170999999999999</v>
      </c>
      <c r="G38" s="4">
        <f>0.482*19+14.553</f>
        <v>23.710999999999999</v>
      </c>
    </row>
    <row r="40" spans="1:13" x14ac:dyDescent="0.4">
      <c r="A40" t="s">
        <v>94</v>
      </c>
    </row>
    <row r="41" spans="1:13" x14ac:dyDescent="0.4">
      <c r="B41" t="s">
        <v>1</v>
      </c>
      <c r="C41" t="s">
        <v>71</v>
      </c>
      <c r="D41" t="s">
        <v>72</v>
      </c>
    </row>
    <row r="42" spans="1:13" x14ac:dyDescent="0.4">
      <c r="A42">
        <v>2021</v>
      </c>
      <c r="B42">
        <v>31.832675999999999</v>
      </c>
      <c r="C42">
        <v>19.39677</v>
      </c>
      <c r="D42">
        <f>SUM(B42:C42)</f>
        <v>51.229445999999996</v>
      </c>
      <c r="E42" s="4"/>
    </row>
    <row r="43" spans="1:13" x14ac:dyDescent="0.4">
      <c r="A43">
        <v>2030</v>
      </c>
      <c r="B43" s="5">
        <v>40.449464415131615</v>
      </c>
      <c r="C43" s="5">
        <v>23.695329999999998</v>
      </c>
      <c r="D43">
        <f>SUM(B43:C43)</f>
        <v>64.144794415131614</v>
      </c>
    </row>
    <row r="44" spans="1:13" x14ac:dyDescent="0.4">
      <c r="A44">
        <v>2050</v>
      </c>
      <c r="B44" s="5">
        <v>57.243058721908938</v>
      </c>
      <c r="C44" s="5">
        <v>33.335479999999997</v>
      </c>
      <c r="D44">
        <f>SUM(B44:C44)</f>
        <v>90.578538721908927</v>
      </c>
    </row>
    <row r="47" spans="1:13" x14ac:dyDescent="0.4">
      <c r="A47" t="s">
        <v>43</v>
      </c>
      <c r="B47" t="s">
        <v>24</v>
      </c>
      <c r="C47" t="s">
        <v>27</v>
      </c>
      <c r="D47" t="s">
        <v>93</v>
      </c>
      <c r="E47" t="s">
        <v>31</v>
      </c>
      <c r="F47" t="s">
        <v>33</v>
      </c>
      <c r="G47" t="s">
        <v>35</v>
      </c>
      <c r="H47" t="s">
        <v>37</v>
      </c>
      <c r="I47" t="s">
        <v>39</v>
      </c>
      <c r="J47" t="s">
        <v>41</v>
      </c>
      <c r="K47" t="s">
        <v>70</v>
      </c>
      <c r="M47" t="s">
        <v>68</v>
      </c>
    </row>
    <row r="48" spans="1:13" x14ac:dyDescent="0.4">
      <c r="A48">
        <v>2021</v>
      </c>
      <c r="B48">
        <v>0.29935</v>
      </c>
      <c r="C48">
        <v>0.62674399999999997</v>
      </c>
      <c r="D48">
        <v>0.67990799999999996</v>
      </c>
      <c r="E48">
        <v>0.33719300000000002</v>
      </c>
      <c r="F48">
        <v>20.86036</v>
      </c>
      <c r="G48">
        <v>5.4581249999999999</v>
      </c>
      <c r="H48">
        <v>3.556854</v>
      </c>
      <c r="I48">
        <v>3.3227449999999998</v>
      </c>
      <c r="J48">
        <v>10.792795</v>
      </c>
      <c r="K48">
        <f>SUM(B48:J48)</f>
        <v>45.934073999999995</v>
      </c>
    </row>
    <row r="49" spans="1:13" x14ac:dyDescent="0.4">
      <c r="A49">
        <v>2030</v>
      </c>
      <c r="B49">
        <v>0</v>
      </c>
      <c r="C49">
        <v>0.858568</v>
      </c>
      <c r="D49">
        <v>0.92834899999999998</v>
      </c>
      <c r="E49">
        <v>0.53953200000000001</v>
      </c>
      <c r="F49">
        <v>24.532299999999999</v>
      </c>
      <c r="G49">
        <v>5.9534580000000004</v>
      </c>
      <c r="H49">
        <v>5.6150019999999996</v>
      </c>
      <c r="I49">
        <v>3.2560549999999999</v>
      </c>
      <c r="J49">
        <v>13.07023</v>
      </c>
      <c r="K49">
        <f>SUM(B49:J49)</f>
        <v>54.753493999999996</v>
      </c>
      <c r="M49" t="s">
        <v>95</v>
      </c>
    </row>
    <row r="50" spans="1:13" x14ac:dyDescent="0.4">
      <c r="A50">
        <v>2050</v>
      </c>
      <c r="B50">
        <v>0</v>
      </c>
      <c r="C50">
        <v>1.377054</v>
      </c>
      <c r="D50">
        <v>1.616503</v>
      </c>
      <c r="E50">
        <v>1.104484</v>
      </c>
      <c r="F50">
        <v>33.026789999999998</v>
      </c>
      <c r="G50">
        <v>7.3599379999999996</v>
      </c>
      <c r="H50">
        <v>10.758789999999999</v>
      </c>
      <c r="I50">
        <v>3.131081</v>
      </c>
      <c r="J50">
        <v>17.893619999999999</v>
      </c>
      <c r="K50">
        <f>SUM(B50:J50)</f>
        <v>76.268259999999998</v>
      </c>
      <c r="M50" t="s">
        <v>95</v>
      </c>
    </row>
    <row r="54" spans="1:13" x14ac:dyDescent="0.4">
      <c r="A54" t="s">
        <v>43</v>
      </c>
      <c r="B54" t="s">
        <v>24</v>
      </c>
      <c r="C54" t="s">
        <v>27</v>
      </c>
      <c r="D54" t="s">
        <v>93</v>
      </c>
      <c r="E54" t="s">
        <v>31</v>
      </c>
      <c r="F54" t="s">
        <v>33</v>
      </c>
      <c r="G54" t="s">
        <v>35</v>
      </c>
      <c r="H54" t="s">
        <v>37</v>
      </c>
      <c r="I54" t="s">
        <v>39</v>
      </c>
      <c r="J54" t="s">
        <v>41</v>
      </c>
      <c r="K54" t="s">
        <v>70</v>
      </c>
    </row>
    <row r="55" spans="1:13" x14ac:dyDescent="0.4">
      <c r="A55">
        <v>2021</v>
      </c>
      <c r="B55">
        <v>0.29935</v>
      </c>
      <c r="C55">
        <v>0.62674399999999997</v>
      </c>
      <c r="D55">
        <v>0.67990799999999996</v>
      </c>
      <c r="E55">
        <v>0.33719300000000002</v>
      </c>
      <c r="F55">
        <v>20.86036</v>
      </c>
      <c r="G55">
        <v>5.4581249999999999</v>
      </c>
      <c r="H55">
        <v>3.556854</v>
      </c>
      <c r="I55">
        <v>3.3227449999999998</v>
      </c>
      <c r="J55">
        <v>10.792795</v>
      </c>
      <c r="K55">
        <f>SUM(B55:J55)</f>
        <v>45.934073999999995</v>
      </c>
    </row>
    <row r="56" spans="1:13" x14ac:dyDescent="0.4">
      <c r="A56" t="s">
        <v>75</v>
      </c>
      <c r="B56">
        <v>0</v>
      </c>
      <c r="C56">
        <v>0.858568</v>
      </c>
      <c r="D56">
        <v>0.92834899999999998</v>
      </c>
      <c r="E56">
        <v>0.53953200000000001</v>
      </c>
      <c r="F56">
        <v>24.532299999999999</v>
      </c>
      <c r="G56">
        <v>5.9534580000000004</v>
      </c>
      <c r="H56">
        <v>5.6150019999999996</v>
      </c>
      <c r="I56">
        <v>3.2560549999999999</v>
      </c>
      <c r="J56">
        <v>13.07023</v>
      </c>
      <c r="K56">
        <f>SUM(B56:J56)</f>
        <v>54.753493999999996</v>
      </c>
    </row>
    <row r="57" spans="1:13" x14ac:dyDescent="0.4">
      <c r="A57" t="s">
        <v>73</v>
      </c>
      <c r="B57">
        <f t="shared" ref="B57:J57" si="3">B56/54.753494</f>
        <v>0</v>
      </c>
      <c r="C57">
        <f t="shared" si="3"/>
        <v>1.5680606611150696E-2</v>
      </c>
      <c r="D57">
        <f t="shared" si="3"/>
        <v>1.6955064091434966E-2</v>
      </c>
      <c r="E57">
        <f t="shared" si="3"/>
        <v>9.8538369076501299E-3</v>
      </c>
      <c r="F57">
        <f t="shared" si="3"/>
        <v>0.44804994545188292</v>
      </c>
      <c r="G57">
        <f t="shared" si="3"/>
        <v>0.10873201991456471</v>
      </c>
      <c r="H57">
        <f t="shared" si="3"/>
        <v>0.10255056964949122</v>
      </c>
      <c r="I57">
        <f t="shared" si="3"/>
        <v>5.9467529140697389E-2</v>
      </c>
      <c r="J57">
        <f t="shared" si="3"/>
        <v>0.23871042823312791</v>
      </c>
      <c r="K57">
        <f>SUM(B57:J57)</f>
        <v>1</v>
      </c>
    </row>
    <row r="58" spans="1:13" x14ac:dyDescent="0.4">
      <c r="A58" t="s">
        <v>74</v>
      </c>
      <c r="B58">
        <f t="shared" ref="B58:J58" si="4">B57*64.144794</f>
        <v>0</v>
      </c>
      <c r="C58">
        <f t="shared" si="4"/>
        <v>1.0058292808672995</v>
      </c>
      <c r="D58">
        <f t="shared" si="4"/>
        <v>1.0875790934018932</v>
      </c>
      <c r="E58">
        <f t="shared" si="4"/>
        <v>0.63207233855081468</v>
      </c>
      <c r="F58">
        <f t="shared" si="4"/>
        <v>28.740071452722269</v>
      </c>
      <c r="G58">
        <f t="shared" si="4"/>
        <v>6.9745930186236516</v>
      </c>
      <c r="H58">
        <f t="shared" si="4"/>
        <v>6.5780851647492673</v>
      </c>
      <c r="I58">
        <f t="shared" si="4"/>
        <v>3.8145324064190311</v>
      </c>
      <c r="J58">
        <f t="shared" si="4"/>
        <v>15.312031244665775</v>
      </c>
      <c r="K58">
        <f>SUM(B58:J58)</f>
        <v>64.144794000000005</v>
      </c>
      <c r="L58" t="s">
        <v>96</v>
      </c>
    </row>
    <row r="61" spans="1:13" x14ac:dyDescent="0.4">
      <c r="A61" t="s">
        <v>43</v>
      </c>
      <c r="B61" t="s">
        <v>24</v>
      </c>
      <c r="C61" t="s">
        <v>27</v>
      </c>
      <c r="D61" t="s">
        <v>93</v>
      </c>
      <c r="E61" t="s">
        <v>31</v>
      </c>
      <c r="F61" t="s">
        <v>33</v>
      </c>
      <c r="G61" t="s">
        <v>35</v>
      </c>
      <c r="H61" t="s">
        <v>37</v>
      </c>
      <c r="I61" t="s">
        <v>39</v>
      </c>
      <c r="J61" t="s">
        <v>41</v>
      </c>
      <c r="K61" t="s">
        <v>70</v>
      </c>
    </row>
    <row r="62" spans="1:13" x14ac:dyDescent="0.4">
      <c r="A62">
        <v>2021</v>
      </c>
      <c r="B62">
        <v>0.29935</v>
      </c>
      <c r="C62">
        <v>0.62674399999999997</v>
      </c>
      <c r="D62">
        <v>0.67990799999999996</v>
      </c>
      <c r="E62">
        <v>0.33719300000000002</v>
      </c>
      <c r="F62">
        <v>20.86036</v>
      </c>
      <c r="G62">
        <v>5.4581249999999999</v>
      </c>
      <c r="H62">
        <v>3.556854</v>
      </c>
      <c r="I62">
        <v>3.3227449999999998</v>
      </c>
      <c r="J62">
        <v>10.792795</v>
      </c>
      <c r="K62">
        <f>SUM(B62:J62)</f>
        <v>45.934073999999995</v>
      </c>
    </row>
    <row r="63" spans="1:13" x14ac:dyDescent="0.4">
      <c r="A63" t="s">
        <v>76</v>
      </c>
      <c r="B63">
        <v>0</v>
      </c>
      <c r="C63">
        <v>1.377054</v>
      </c>
      <c r="D63">
        <v>1.616503</v>
      </c>
      <c r="E63">
        <v>1.104484</v>
      </c>
      <c r="F63">
        <v>33.026789999999998</v>
      </c>
      <c r="G63">
        <v>7.3599379999999996</v>
      </c>
      <c r="H63">
        <v>10.758789999999999</v>
      </c>
      <c r="I63">
        <v>3.131081</v>
      </c>
      <c r="J63">
        <v>17.893619999999999</v>
      </c>
      <c r="K63">
        <f>SUM(B63:J63)</f>
        <v>76.268259999999998</v>
      </c>
    </row>
    <row r="64" spans="1:13" x14ac:dyDescent="0.4">
      <c r="A64" t="s">
        <v>73</v>
      </c>
      <c r="B64">
        <f t="shared" ref="B64:J64" si="5">B63/76.26826</f>
        <v>0</v>
      </c>
      <c r="C64">
        <f t="shared" si="5"/>
        <v>1.8055400765665822E-2</v>
      </c>
      <c r="D64">
        <f t="shared" si="5"/>
        <v>2.1194963671650566E-2</v>
      </c>
      <c r="E64">
        <f t="shared" si="5"/>
        <v>1.4481568086121279E-2</v>
      </c>
      <c r="F64">
        <f t="shared" si="5"/>
        <v>0.43303452838703804</v>
      </c>
      <c r="G64">
        <f t="shared" si="5"/>
        <v>9.6500667512278371E-2</v>
      </c>
      <c r="H64">
        <f t="shared" si="5"/>
        <v>0.1410651036223981</v>
      </c>
      <c r="I64">
        <f t="shared" si="5"/>
        <v>4.1053526067069052E-2</v>
      </c>
      <c r="J64">
        <f t="shared" si="5"/>
        <v>0.23461424188777874</v>
      </c>
      <c r="K64">
        <f>SUM(C64:J64)</f>
        <v>1</v>
      </c>
    </row>
    <row r="65" spans="1:12" x14ac:dyDescent="0.4">
      <c r="A65" t="s">
        <v>77</v>
      </c>
      <c r="B65">
        <f t="shared" ref="B65:J65" si="6">B64*90.578539</f>
        <v>0</v>
      </c>
      <c r="C65">
        <f t="shared" si="6"/>
        <v>1.6354318224134916</v>
      </c>
      <c r="D65">
        <f t="shared" si="6"/>
        <v>1.9198088435361842</v>
      </c>
      <c r="E65">
        <f t="shared" si="6"/>
        <v>1.3117192796698918</v>
      </c>
      <c r="F65">
        <f t="shared" si="6"/>
        <v>39.223634917851932</v>
      </c>
      <c r="G65">
        <f t="shared" si="6"/>
        <v>8.7408894757869398</v>
      </c>
      <c r="H65">
        <f t="shared" si="6"/>
        <v>12.777470990000429</v>
      </c>
      <c r="I65">
        <f t="shared" si="6"/>
        <v>3.7185684119535312</v>
      </c>
      <c r="J65">
        <f t="shared" si="6"/>
        <v>21.2510152587876</v>
      </c>
      <c r="K65">
        <f>SUM(B65:J65)</f>
        <v>90.578538999999992</v>
      </c>
      <c r="L65" t="s">
        <v>96</v>
      </c>
    </row>
    <row r="69" spans="1:12" x14ac:dyDescent="0.4">
      <c r="A69" t="s">
        <v>43</v>
      </c>
      <c r="B69" t="s">
        <v>24</v>
      </c>
      <c r="C69" t="s">
        <v>27</v>
      </c>
      <c r="D69" t="s">
        <v>93</v>
      </c>
      <c r="E69" t="s">
        <v>31</v>
      </c>
      <c r="F69" t="s">
        <v>33</v>
      </c>
      <c r="G69" t="s">
        <v>35</v>
      </c>
      <c r="H69" t="s">
        <v>37</v>
      </c>
      <c r="I69" t="s">
        <v>39</v>
      </c>
      <c r="J69" t="s">
        <v>41</v>
      </c>
      <c r="K69" t="s">
        <v>70</v>
      </c>
    </row>
    <row r="70" spans="1:12" x14ac:dyDescent="0.4">
      <c r="A70">
        <v>2021</v>
      </c>
      <c r="B70">
        <v>0.29935</v>
      </c>
      <c r="C70">
        <v>0.62674399999999997</v>
      </c>
      <c r="D70">
        <v>0.67990799999999996</v>
      </c>
      <c r="E70">
        <v>0.33719300000000002</v>
      </c>
      <c r="F70">
        <v>20.86036</v>
      </c>
      <c r="G70">
        <v>5.4581249999999999</v>
      </c>
      <c r="H70">
        <v>3.556854</v>
      </c>
      <c r="I70">
        <v>3.3227449999999998</v>
      </c>
      <c r="J70">
        <v>10.792795</v>
      </c>
      <c r="K70">
        <f>SUM(B70:J70)</f>
        <v>45.934073999999995</v>
      </c>
      <c r="L70">
        <f>(K72-K70)/K70</f>
        <v>0.11528208828009034</v>
      </c>
    </row>
    <row r="71" spans="1:12" x14ac:dyDescent="0.4">
      <c r="A71" t="s">
        <v>73</v>
      </c>
      <c r="B71">
        <f t="shared" ref="B71:J71" si="7">B70/45.934074</f>
        <v>6.5169486164018452E-3</v>
      </c>
      <c r="C71">
        <f t="shared" si="7"/>
        <v>1.364442439832356E-2</v>
      </c>
      <c r="D71">
        <f t="shared" si="7"/>
        <v>1.4801822281211109E-2</v>
      </c>
      <c r="E71">
        <f t="shared" si="7"/>
        <v>7.3408032564235429E-3</v>
      </c>
      <c r="F71">
        <f t="shared" si="7"/>
        <v>0.45413694417786671</v>
      </c>
      <c r="G71">
        <f t="shared" si="7"/>
        <v>0.11882518846466786</v>
      </c>
      <c r="H71">
        <f t="shared" si="7"/>
        <v>7.743388927357063E-2</v>
      </c>
      <c r="I71">
        <f t="shared" si="7"/>
        <v>7.2337258828816267E-2</v>
      </c>
      <c r="J71">
        <f t="shared" si="7"/>
        <v>0.2349627207027184</v>
      </c>
      <c r="K71">
        <f>SUM(B71:J71)</f>
        <v>0.99999999999999989</v>
      </c>
    </row>
    <row r="72" spans="1:12" x14ac:dyDescent="0.4">
      <c r="A72" t="s">
        <v>78</v>
      </c>
      <c r="B72">
        <f>B71*51.229446</f>
        <v>0.33385966722873306</v>
      </c>
      <c r="C72">
        <f t="shared" ref="C72:J72" si="8">C71*51.22945</f>
        <v>0.69899635749269695</v>
      </c>
      <c r="D72">
        <f t="shared" si="8"/>
        <v>0.75828921446419051</v>
      </c>
      <c r="E72">
        <f t="shared" si="8"/>
        <v>0.37606531338478705</v>
      </c>
      <c r="F72">
        <f t="shared" si="8"/>
        <v>23.265185874912813</v>
      </c>
      <c r="G72">
        <f t="shared" si="8"/>
        <v>6.0873490511912784</v>
      </c>
      <c r="H72">
        <f t="shared" si="8"/>
        <v>3.9668955588459229</v>
      </c>
      <c r="I72">
        <f t="shared" si="8"/>
        <v>3.7057979843079014</v>
      </c>
      <c r="J72">
        <f t="shared" si="8"/>
        <v>12.037010952103877</v>
      </c>
      <c r="K72">
        <f>SUM(B72:J72)</f>
        <v>51.229449973932198</v>
      </c>
    </row>
    <row r="74" spans="1:12" x14ac:dyDescent="0.4">
      <c r="A74" t="s">
        <v>87</v>
      </c>
    </row>
    <row r="75" spans="1:12" x14ac:dyDescent="0.4">
      <c r="A75" t="s">
        <v>43</v>
      </c>
      <c r="B75" t="s">
        <v>24</v>
      </c>
      <c r="C75" t="s">
        <v>27</v>
      </c>
      <c r="D75" t="s">
        <v>93</v>
      </c>
      <c r="E75" t="s">
        <v>31</v>
      </c>
      <c r="F75" t="s">
        <v>33</v>
      </c>
      <c r="G75" t="s">
        <v>35</v>
      </c>
      <c r="H75" t="s">
        <v>37</v>
      </c>
      <c r="I75" t="s">
        <v>39</v>
      </c>
      <c r="J75" t="s">
        <v>41</v>
      </c>
      <c r="K75" t="s">
        <v>92</v>
      </c>
    </row>
    <row r="76" spans="1:12" x14ac:dyDescent="0.4">
      <c r="A76">
        <v>2021</v>
      </c>
      <c r="B76">
        <v>0.33385900000000002</v>
      </c>
      <c r="C76">
        <v>0.69899599999999995</v>
      </c>
      <c r="D76">
        <v>0.75828899999999999</v>
      </c>
      <c r="E76">
        <v>0.37606499999999998</v>
      </c>
      <c r="F76">
        <v>23.2652</v>
      </c>
      <c r="G76">
        <v>6.0873499999999998</v>
      </c>
      <c r="H76">
        <v>3.9668999999999999</v>
      </c>
      <c r="I76">
        <v>3.7058</v>
      </c>
      <c r="J76">
        <v>12.037000000000001</v>
      </c>
      <c r="K76">
        <f>SUM(B76:J76)</f>
        <v>51.229458999999999</v>
      </c>
    </row>
    <row r="77" spans="1:12" x14ac:dyDescent="0.4">
      <c r="A77">
        <v>2030</v>
      </c>
      <c r="B77">
        <v>0</v>
      </c>
      <c r="C77">
        <v>1.005829281</v>
      </c>
      <c r="D77">
        <v>1.0875790999999999</v>
      </c>
      <c r="E77">
        <v>0.63207233900000004</v>
      </c>
      <c r="F77">
        <v>28.740069999999999</v>
      </c>
      <c r="G77">
        <v>6.9745929999999996</v>
      </c>
      <c r="H77">
        <v>6.5780849999999997</v>
      </c>
      <c r="I77">
        <v>3.8145319999999998</v>
      </c>
      <c r="J77">
        <v>15.31203</v>
      </c>
      <c r="K77">
        <f>SUM(B77:J77)</f>
        <v>64.144790720000003</v>
      </c>
      <c r="L77">
        <f>(K77-K76)/K76</f>
        <v>0.25210751727829112</v>
      </c>
    </row>
    <row r="78" spans="1:12" x14ac:dyDescent="0.4">
      <c r="A78">
        <v>2050</v>
      </c>
      <c r="B78">
        <v>0</v>
      </c>
      <c r="C78">
        <v>1.6354318000000001</v>
      </c>
      <c r="D78">
        <v>1.9198088</v>
      </c>
      <c r="E78">
        <v>1.3117190000000001</v>
      </c>
      <c r="F78">
        <v>39.22363</v>
      </c>
      <c r="G78">
        <v>8.7408889999999992</v>
      </c>
      <c r="H78">
        <v>12.777469999999999</v>
      </c>
      <c r="I78">
        <v>3.7185679999999999</v>
      </c>
      <c r="J78">
        <v>21.25102</v>
      </c>
      <c r="K78">
        <f>SUM(B78:J78)</f>
        <v>90.578536599999993</v>
      </c>
      <c r="L78">
        <f>(K78-K76)/K76</f>
        <v>0.76809473236873327</v>
      </c>
    </row>
    <row r="80" spans="1:12" x14ac:dyDescent="0.4">
      <c r="B80" t="s">
        <v>24</v>
      </c>
      <c r="C80" t="s">
        <v>27</v>
      </c>
      <c r="D80" t="s">
        <v>93</v>
      </c>
      <c r="E80" t="s">
        <v>31</v>
      </c>
      <c r="F80" t="s">
        <v>33</v>
      </c>
      <c r="G80" t="s">
        <v>35</v>
      </c>
      <c r="H80" t="s">
        <v>37</v>
      </c>
      <c r="I80" t="s">
        <v>39</v>
      </c>
      <c r="J80" t="s">
        <v>41</v>
      </c>
      <c r="K80" t="s">
        <v>92</v>
      </c>
    </row>
    <row r="81" spans="1:12" x14ac:dyDescent="0.4">
      <c r="A81" t="s">
        <v>79</v>
      </c>
      <c r="B81">
        <v>3.16</v>
      </c>
      <c r="C81">
        <v>3.16</v>
      </c>
      <c r="D81">
        <v>8.66</v>
      </c>
      <c r="E81">
        <v>3.16</v>
      </c>
      <c r="F81">
        <v>0.37</v>
      </c>
      <c r="G81">
        <v>0.37</v>
      </c>
      <c r="H81">
        <v>1.7000000000000001E-2</v>
      </c>
      <c r="I81">
        <v>1.7000000000000001E-2</v>
      </c>
      <c r="J81">
        <v>1.7000000000000001E-2</v>
      </c>
      <c r="L81" t="s">
        <v>83</v>
      </c>
    </row>
    <row r="82" spans="1:12" x14ac:dyDescent="0.4">
      <c r="A82" t="s">
        <v>80</v>
      </c>
      <c r="B82">
        <v>38.799999999999997</v>
      </c>
      <c r="C82">
        <v>97.4</v>
      </c>
      <c r="D82">
        <v>60.4</v>
      </c>
      <c r="E82">
        <v>85.9</v>
      </c>
      <c r="F82">
        <v>34.1</v>
      </c>
      <c r="G82">
        <v>0</v>
      </c>
      <c r="H82">
        <v>2.1800000000000002</v>
      </c>
      <c r="I82">
        <v>0</v>
      </c>
      <c r="J82">
        <v>0</v>
      </c>
      <c r="L82" t="s">
        <v>84</v>
      </c>
    </row>
    <row r="83" spans="1:12" x14ac:dyDescent="0.4">
      <c r="A83" t="s">
        <v>81</v>
      </c>
      <c r="B83">
        <v>2.4900000000000002</v>
      </c>
      <c r="C83">
        <v>1.6</v>
      </c>
      <c r="D83">
        <v>1.5</v>
      </c>
      <c r="E83">
        <v>1.6</v>
      </c>
      <c r="F83">
        <v>4.91</v>
      </c>
      <c r="G83">
        <v>2.83</v>
      </c>
      <c r="H83">
        <v>0.01</v>
      </c>
      <c r="I83">
        <v>1E-3</v>
      </c>
      <c r="J83">
        <v>0</v>
      </c>
      <c r="L83" t="s">
        <v>85</v>
      </c>
    </row>
    <row r="84" spans="1:12" x14ac:dyDescent="0.4">
      <c r="A84" t="s">
        <v>82</v>
      </c>
      <c r="B84">
        <v>0</v>
      </c>
      <c r="C84">
        <v>0</v>
      </c>
      <c r="D84">
        <v>0.11600000000000001</v>
      </c>
      <c r="E84">
        <v>0</v>
      </c>
      <c r="F84">
        <v>0.13200000000000001</v>
      </c>
      <c r="G84">
        <v>0.17799999999999999</v>
      </c>
      <c r="H84">
        <v>1E-3</v>
      </c>
      <c r="I84">
        <v>1E-3</v>
      </c>
      <c r="J84">
        <v>0</v>
      </c>
      <c r="L84" t="s">
        <v>86</v>
      </c>
    </row>
    <row r="87" spans="1:12" x14ac:dyDescent="0.4">
      <c r="A87" t="s">
        <v>88</v>
      </c>
    </row>
    <row r="88" spans="1:12" x14ac:dyDescent="0.4">
      <c r="A88" t="s">
        <v>43</v>
      </c>
      <c r="B88" t="s">
        <v>24</v>
      </c>
      <c r="C88" t="s">
        <v>27</v>
      </c>
      <c r="D88" t="s">
        <v>93</v>
      </c>
      <c r="E88" t="s">
        <v>31</v>
      </c>
      <c r="F88" t="s">
        <v>33</v>
      </c>
      <c r="G88" t="s">
        <v>35</v>
      </c>
      <c r="H88" t="s">
        <v>37</v>
      </c>
      <c r="I88" t="s">
        <v>39</v>
      </c>
      <c r="J88" t="s">
        <v>41</v>
      </c>
      <c r="K88" t="s">
        <v>92</v>
      </c>
    </row>
    <row r="89" spans="1:12" x14ac:dyDescent="0.4">
      <c r="A89">
        <v>2021</v>
      </c>
      <c r="B89">
        <f t="shared" ref="B89:J89" si="9">B76*B81</f>
        <v>1.0549944400000002</v>
      </c>
      <c r="C89">
        <f t="shared" si="9"/>
        <v>2.2088273599999999</v>
      </c>
      <c r="D89">
        <f t="shared" si="9"/>
        <v>6.5667827399999998</v>
      </c>
      <c r="E89">
        <f t="shared" si="9"/>
        <v>1.1883653999999999</v>
      </c>
      <c r="F89">
        <f t="shared" si="9"/>
        <v>8.6081240000000001</v>
      </c>
      <c r="G89">
        <f t="shared" si="9"/>
        <v>2.2523195</v>
      </c>
      <c r="H89">
        <f t="shared" si="9"/>
        <v>6.7437300000000006E-2</v>
      </c>
      <c r="I89">
        <f t="shared" si="9"/>
        <v>6.2998600000000002E-2</v>
      </c>
      <c r="J89">
        <f t="shared" si="9"/>
        <v>0.20462900000000003</v>
      </c>
      <c r="K89">
        <f>SUM(B89:J89)</f>
        <v>22.214478340000003</v>
      </c>
    </row>
    <row r="90" spans="1:12" x14ac:dyDescent="0.4">
      <c r="A90">
        <v>2030</v>
      </c>
      <c r="B90">
        <f t="shared" ref="B90:J90" si="10">B77*B81</f>
        <v>0</v>
      </c>
      <c r="C90">
        <f t="shared" si="10"/>
        <v>3.1784205279600002</v>
      </c>
      <c r="D90">
        <f t="shared" si="10"/>
        <v>9.4184350059999993</v>
      </c>
      <c r="E90">
        <f t="shared" si="10"/>
        <v>1.9973485912400002</v>
      </c>
      <c r="F90">
        <f t="shared" si="10"/>
        <v>10.6338259</v>
      </c>
      <c r="G90">
        <f t="shared" si="10"/>
        <v>2.58059941</v>
      </c>
      <c r="H90">
        <f t="shared" si="10"/>
        <v>0.111827445</v>
      </c>
      <c r="I90">
        <f t="shared" si="10"/>
        <v>6.4847044000000006E-2</v>
      </c>
      <c r="J90">
        <f t="shared" si="10"/>
        <v>0.26030451000000004</v>
      </c>
      <c r="K90">
        <f>SUM(B90:J90)</f>
        <v>28.245608434200001</v>
      </c>
      <c r="L90">
        <f>(K90-K89)/K89</f>
        <v>0.27149546353920806</v>
      </c>
    </row>
    <row r="91" spans="1:12" x14ac:dyDescent="0.4">
      <c r="A91">
        <v>2050</v>
      </c>
      <c r="B91">
        <f t="shared" ref="B91:J91" si="11">B78*B81</f>
        <v>0</v>
      </c>
      <c r="C91">
        <f t="shared" si="11"/>
        <v>5.1679644880000009</v>
      </c>
      <c r="D91">
        <f t="shared" si="11"/>
        <v>16.625544208000001</v>
      </c>
      <c r="E91">
        <f t="shared" si="11"/>
        <v>4.1450320400000003</v>
      </c>
      <c r="F91">
        <f t="shared" si="11"/>
        <v>14.5127431</v>
      </c>
      <c r="G91">
        <f t="shared" si="11"/>
        <v>3.2341289299999998</v>
      </c>
      <c r="H91">
        <f t="shared" si="11"/>
        <v>0.21721699</v>
      </c>
      <c r="I91">
        <f t="shared" si="11"/>
        <v>6.3215656000000009E-2</v>
      </c>
      <c r="J91">
        <f t="shared" si="11"/>
        <v>0.36126734000000005</v>
      </c>
      <c r="K91">
        <f>SUM(B91:J91)</f>
        <v>44.327112751999991</v>
      </c>
      <c r="L91">
        <f>(K91-K89)/K89</f>
        <v>0.99541542563182173</v>
      </c>
    </row>
    <row r="94" spans="1:12" x14ac:dyDescent="0.4">
      <c r="A94" t="s">
        <v>89</v>
      </c>
    </row>
    <row r="95" spans="1:12" x14ac:dyDescent="0.4">
      <c r="A95" t="s">
        <v>43</v>
      </c>
      <c r="B95" t="s">
        <v>24</v>
      </c>
      <c r="C95" t="s">
        <v>27</v>
      </c>
      <c r="D95" t="s">
        <v>93</v>
      </c>
      <c r="E95" t="s">
        <v>31</v>
      </c>
      <c r="F95" t="s">
        <v>33</v>
      </c>
      <c r="G95" t="s">
        <v>35</v>
      </c>
      <c r="H95" t="s">
        <v>37</v>
      </c>
      <c r="I95" t="s">
        <v>39</v>
      </c>
      <c r="J95" t="s">
        <v>41</v>
      </c>
      <c r="K95" t="s">
        <v>92</v>
      </c>
    </row>
    <row r="96" spans="1:12" x14ac:dyDescent="0.4">
      <c r="A96">
        <v>2021</v>
      </c>
      <c r="B96">
        <f t="shared" ref="B96:J96" si="12">B76*B82</f>
        <v>12.9537292</v>
      </c>
      <c r="C96">
        <f t="shared" si="12"/>
        <v>68.082210399999994</v>
      </c>
      <c r="D96">
        <f t="shared" si="12"/>
        <v>45.800655599999999</v>
      </c>
      <c r="E96">
        <f t="shared" si="12"/>
        <v>32.303983500000001</v>
      </c>
      <c r="F96">
        <f t="shared" si="12"/>
        <v>793.34332000000006</v>
      </c>
      <c r="G96">
        <f t="shared" si="12"/>
        <v>0</v>
      </c>
      <c r="H96">
        <f t="shared" si="12"/>
        <v>8.6478420000000007</v>
      </c>
      <c r="I96">
        <f t="shared" si="12"/>
        <v>0</v>
      </c>
      <c r="J96">
        <f t="shared" si="12"/>
        <v>0</v>
      </c>
      <c r="K96">
        <f>SUM(B96:J96)</f>
        <v>961.13174070000002</v>
      </c>
    </row>
    <row r="97" spans="1:14" x14ac:dyDescent="0.4">
      <c r="A97">
        <v>2030</v>
      </c>
      <c r="B97">
        <f t="shared" ref="B97:J97" si="13">B77*B82</f>
        <v>0</v>
      </c>
      <c r="C97">
        <f t="shared" si="13"/>
        <v>97.967771969400005</v>
      </c>
      <c r="D97">
        <f t="shared" si="13"/>
        <v>65.689777639999988</v>
      </c>
      <c r="E97">
        <f t="shared" si="13"/>
        <v>54.295013920100004</v>
      </c>
      <c r="F97">
        <f t="shared" si="13"/>
        <v>980.03638699999999</v>
      </c>
      <c r="G97">
        <f t="shared" si="13"/>
        <v>0</v>
      </c>
      <c r="H97">
        <f t="shared" si="13"/>
        <v>14.3402253</v>
      </c>
      <c r="I97">
        <f t="shared" si="13"/>
        <v>0</v>
      </c>
      <c r="J97">
        <f t="shared" si="13"/>
        <v>0</v>
      </c>
      <c r="K97">
        <f>SUM(B97:J97)</f>
        <v>1212.3291758294999</v>
      </c>
      <c r="L97">
        <f>(K97-K96)/K96</f>
        <v>0.26135588337406357</v>
      </c>
    </row>
    <row r="98" spans="1:14" x14ac:dyDescent="0.4">
      <c r="A98">
        <v>2050</v>
      </c>
      <c r="B98">
        <f t="shared" ref="B98:J98" si="14">B78*B82</f>
        <v>0</v>
      </c>
      <c r="C98">
        <f t="shared" si="14"/>
        <v>159.29105732000002</v>
      </c>
      <c r="D98">
        <f t="shared" si="14"/>
        <v>115.95645152</v>
      </c>
      <c r="E98">
        <f t="shared" si="14"/>
        <v>112.67666210000002</v>
      </c>
      <c r="F98">
        <f t="shared" si="14"/>
        <v>1337.525783</v>
      </c>
      <c r="G98">
        <f t="shared" si="14"/>
        <v>0</v>
      </c>
      <c r="H98">
        <f t="shared" si="14"/>
        <v>27.854884600000002</v>
      </c>
      <c r="I98">
        <f t="shared" si="14"/>
        <v>0</v>
      </c>
      <c r="J98">
        <f t="shared" si="14"/>
        <v>0</v>
      </c>
      <c r="K98">
        <f>SUM(B98:J98)</f>
        <v>1753.3048385400002</v>
      </c>
      <c r="L98">
        <f>(K98-K96)/K96</f>
        <v>0.82420865350160444</v>
      </c>
    </row>
    <row r="102" spans="1:14" x14ac:dyDescent="0.4">
      <c r="A102" t="s">
        <v>90</v>
      </c>
    </row>
    <row r="103" spans="1:14" x14ac:dyDescent="0.4">
      <c r="A103" t="s">
        <v>43</v>
      </c>
      <c r="B103" t="s">
        <v>24</v>
      </c>
      <c r="C103" t="s">
        <v>27</v>
      </c>
      <c r="D103" t="s">
        <v>93</v>
      </c>
      <c r="E103" t="s">
        <v>31</v>
      </c>
      <c r="F103" t="s">
        <v>33</v>
      </c>
      <c r="G103" t="s">
        <v>35</v>
      </c>
      <c r="H103" t="s">
        <v>37</v>
      </c>
      <c r="I103" t="s">
        <v>39</v>
      </c>
      <c r="J103" t="s">
        <v>41</v>
      </c>
      <c r="K103" t="s">
        <v>92</v>
      </c>
    </row>
    <row r="104" spans="1:14" x14ac:dyDescent="0.4">
      <c r="A104">
        <v>2021</v>
      </c>
      <c r="B104">
        <f t="shared" ref="B104:J106" si="15">B76*B83</f>
        <v>0.83130891000000007</v>
      </c>
      <c r="C104">
        <f t="shared" si="15"/>
        <v>1.1183935999999999</v>
      </c>
      <c r="D104">
        <f t="shared" si="15"/>
        <v>1.1374335</v>
      </c>
      <c r="E104">
        <f t="shared" si="15"/>
        <v>0.60170400000000002</v>
      </c>
      <c r="F104">
        <f>F76*F83*0.893208</f>
        <v>102.033054159456</v>
      </c>
      <c r="G104">
        <f>G76*G83*0.62367</f>
        <v>10.744088135834998</v>
      </c>
      <c r="H104">
        <f t="shared" si="15"/>
        <v>3.9669000000000003E-2</v>
      </c>
      <c r="I104">
        <f t="shared" si="15"/>
        <v>3.7058E-3</v>
      </c>
      <c r="J104">
        <f t="shared" si="15"/>
        <v>0</v>
      </c>
      <c r="K104">
        <f>SUM(B104:J104)</f>
        <v>116.509357105291</v>
      </c>
      <c r="N104" t="s">
        <v>98</v>
      </c>
    </row>
    <row r="105" spans="1:14" x14ac:dyDescent="0.4">
      <c r="A105">
        <v>2030</v>
      </c>
      <c r="B105">
        <f>B77*B83</f>
        <v>0</v>
      </c>
      <c r="C105">
        <f>C77*C83</f>
        <v>1.6093268496000002</v>
      </c>
      <c r="D105">
        <f>D77*D83</f>
        <v>1.6313686499999998</v>
      </c>
      <c r="E105">
        <f>E77*E83</f>
        <v>1.0113157424000001</v>
      </c>
      <c r="F105">
        <f t="shared" ref="B105:J105" si="16">F77*F83*0.893208</f>
        <v>126.04392478278962</v>
      </c>
      <c r="G105">
        <f>G77*G83*0.62367</f>
        <v>12.310059698157298</v>
      </c>
      <c r="H105">
        <f>H77*H83</f>
        <v>6.5780850000000002E-2</v>
      </c>
      <c r="I105">
        <f>I77*I83</f>
        <v>3.8145319999999998E-3</v>
      </c>
      <c r="J105">
        <f>J77*J83</f>
        <v>0</v>
      </c>
      <c r="K105">
        <f>SUM(B105:J105)</f>
        <v>142.67559110494693</v>
      </c>
      <c r="L105">
        <f>(K105-K104)/K104</f>
        <v>0.22458482863319867</v>
      </c>
      <c r="N105" t="s">
        <v>97</v>
      </c>
    </row>
    <row r="106" spans="1:14" x14ac:dyDescent="0.4">
      <c r="A106">
        <v>2050</v>
      </c>
      <c r="B106">
        <f>B78*B83</f>
        <v>0</v>
      </c>
      <c r="C106">
        <f>C78*C83</f>
        <v>2.6166908800000002</v>
      </c>
      <c r="D106">
        <f>D78*D83</f>
        <v>2.8797131999999999</v>
      </c>
      <c r="E106">
        <f>E78*E83</f>
        <v>2.0987504000000001</v>
      </c>
      <c r="F106">
        <f t="shared" ref="B106:J106" si="17">F78*F83*0.893208</f>
        <v>172.02116311574639</v>
      </c>
      <c r="G106">
        <f>G78*G83*0.62367</f>
        <v>15.427547586642897</v>
      </c>
      <c r="H106">
        <f>H78*H83</f>
        <v>0.12777469999999999</v>
      </c>
      <c r="I106">
        <f>I78*I83</f>
        <v>3.7185679999999998E-3</v>
      </c>
      <c r="J106">
        <f>J78*J83</f>
        <v>0</v>
      </c>
      <c r="K106">
        <f>SUM(B106:J106)</f>
        <v>195.1753584503893</v>
      </c>
      <c r="L106">
        <f>(K106-K104)/K104</f>
        <v>0.67519041645733924</v>
      </c>
    </row>
    <row r="110" spans="1:14" x14ac:dyDescent="0.4">
      <c r="A110" t="s">
        <v>91</v>
      </c>
    </row>
    <row r="111" spans="1:14" x14ac:dyDescent="0.4">
      <c r="A111" t="s">
        <v>43</v>
      </c>
      <c r="B111" t="s">
        <v>24</v>
      </c>
      <c r="C111" t="s">
        <v>27</v>
      </c>
      <c r="D111" t="s">
        <v>93</v>
      </c>
      <c r="E111" t="s">
        <v>31</v>
      </c>
      <c r="F111" t="s">
        <v>33</v>
      </c>
      <c r="G111" t="s">
        <v>35</v>
      </c>
      <c r="H111" t="s">
        <v>37</v>
      </c>
      <c r="I111" t="s">
        <v>39</v>
      </c>
      <c r="J111" t="s">
        <v>41</v>
      </c>
      <c r="K111" t="s">
        <v>92</v>
      </c>
    </row>
    <row r="112" spans="1:14" x14ac:dyDescent="0.4">
      <c r="A112">
        <v>2021</v>
      </c>
      <c r="B112">
        <f t="shared" ref="B112:J112" si="18">B76*B84</f>
        <v>0</v>
      </c>
      <c r="C112">
        <f t="shared" si="18"/>
        <v>0</v>
      </c>
      <c r="D112">
        <f t="shared" si="18"/>
        <v>8.7961523999999999E-2</v>
      </c>
      <c r="E112">
        <f t="shared" si="18"/>
        <v>0</v>
      </c>
      <c r="F112">
        <f t="shared" si="18"/>
        <v>3.0710064000000004</v>
      </c>
      <c r="G112">
        <f t="shared" si="18"/>
        <v>1.0835482999999999</v>
      </c>
      <c r="H112">
        <f t="shared" si="18"/>
        <v>3.9668999999999998E-3</v>
      </c>
      <c r="I112">
        <f t="shared" si="18"/>
        <v>3.7058E-3</v>
      </c>
      <c r="J112">
        <f t="shared" si="18"/>
        <v>0</v>
      </c>
      <c r="K112">
        <f>SUM(B112:J112)</f>
        <v>4.2501889239999997</v>
      </c>
    </row>
    <row r="113" spans="1:12" x14ac:dyDescent="0.4">
      <c r="A113">
        <v>2030</v>
      </c>
      <c r="B113">
        <f t="shared" ref="B113:J113" si="19">B77*B84</f>
        <v>0</v>
      </c>
      <c r="C113">
        <f t="shared" si="19"/>
        <v>0</v>
      </c>
      <c r="D113">
        <f t="shared" si="19"/>
        <v>0.12615917560000001</v>
      </c>
      <c r="E113">
        <f t="shared" si="19"/>
        <v>0</v>
      </c>
      <c r="F113">
        <f t="shared" si="19"/>
        <v>3.79368924</v>
      </c>
      <c r="G113">
        <f t="shared" si="19"/>
        <v>1.2414775539999998</v>
      </c>
      <c r="H113">
        <f t="shared" si="19"/>
        <v>6.578085E-3</v>
      </c>
      <c r="I113">
        <f t="shared" si="19"/>
        <v>3.8145319999999998E-3</v>
      </c>
      <c r="J113">
        <f t="shared" si="19"/>
        <v>0</v>
      </c>
      <c r="K113">
        <f>SUM(B113:J113)</f>
        <v>5.1717185865999999</v>
      </c>
      <c r="L113">
        <f>(K113-K112)/K112</f>
        <v>0.21682087057267016</v>
      </c>
    </row>
    <row r="114" spans="1:12" x14ac:dyDescent="0.4">
      <c r="A114">
        <v>2050</v>
      </c>
      <c r="B114">
        <f t="shared" ref="B114:J114" si="20">B78*B84</f>
        <v>0</v>
      </c>
      <c r="C114">
        <f t="shared" si="20"/>
        <v>0</v>
      </c>
      <c r="D114">
        <f t="shared" si="20"/>
        <v>0.2226978208</v>
      </c>
      <c r="E114">
        <f t="shared" si="20"/>
        <v>0</v>
      </c>
      <c r="F114">
        <f t="shared" si="20"/>
        <v>5.1775191600000001</v>
      </c>
      <c r="G114">
        <f t="shared" si="20"/>
        <v>1.5558782419999997</v>
      </c>
      <c r="H114">
        <f t="shared" si="20"/>
        <v>1.2777469999999999E-2</v>
      </c>
      <c r="I114">
        <f t="shared" si="20"/>
        <v>3.7185679999999998E-3</v>
      </c>
      <c r="J114">
        <f t="shared" si="20"/>
        <v>0</v>
      </c>
      <c r="K114">
        <f>SUM(B114:J114)</f>
        <v>6.9725912607999989</v>
      </c>
      <c r="L114">
        <f>(K114-K112)/K112</f>
        <v>0.6405367821244643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宏观产量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dongs</dc:creator>
  <cp:lastModifiedBy>dongs</cp:lastModifiedBy>
  <dcterms:created xsi:type="dcterms:W3CDTF">2022-12-04T06:50:22Z</dcterms:created>
  <dcterms:modified xsi:type="dcterms:W3CDTF">2022-12-12T01:33:44Z</dcterms:modified>
</cp:coreProperties>
</file>